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11055" tabRatio="899" firstSheet="11"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9" i="78" l="1"/>
  <c r="L8" i="78"/>
  <c r="L7" i="78"/>
  <c r="L6" i="78"/>
  <c r="L5" i="78"/>
  <c r="L4" i="78"/>
  <c r="L3" i="78"/>
  <c r="L2" i="78"/>
  <c r="E73" i="78"/>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24" i="31"/>
  <c r="F71" i="78"/>
  <c r="E71" i="78"/>
  <c r="A90" i="31"/>
  <c r="A91" i="31"/>
  <c r="A9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24" i="31"/>
  <c r="C34" i="34"/>
  <c r="A3" i="3"/>
  <c r="I13" i="3"/>
  <c r="C5" i="77" l="1"/>
  <c r="G14" i="77"/>
  <c r="I12" i="77"/>
  <c r="I4" i="77"/>
  <c r="K12" i="77"/>
  <c r="H13" i="3"/>
  <c r="G13" i="3" s="1"/>
  <c r="C6" i="77"/>
  <c r="H14" i="3"/>
  <c r="G14" i="3" s="1"/>
  <c r="G8" i="77"/>
  <c r="B2" i="49"/>
  <c r="B13" i="49" s="1"/>
  <c r="E4" i="4" s="1"/>
  <c r="B5" i="62" s="1"/>
  <c r="B73" i="72" s="1"/>
  <c r="F19" i="6"/>
  <c r="E19" i="6"/>
  <c r="D3" i="34" s="1"/>
  <c r="F10" i="34"/>
  <c r="AA10" i="34"/>
  <c r="F11" i="34"/>
  <c r="AA11" i="34"/>
  <c r="D80" i="34"/>
  <c r="F17" i="34"/>
  <c r="AA17" i="34"/>
  <c r="D82" i="34"/>
  <c r="E82" i="34"/>
  <c r="F19" i="34"/>
  <c r="AA19" i="34"/>
  <c r="D84" i="34"/>
  <c r="F21" i="34"/>
  <c r="AA21" i="34"/>
  <c r="D86" i="34"/>
  <c r="F23" i="34"/>
  <c r="AA23" i="34"/>
  <c r="F25" i="34"/>
  <c r="AA25" i="34"/>
  <c r="F28" i="34"/>
  <c r="AA28" i="34"/>
  <c r="F33" i="34"/>
  <c r="AA33" i="34"/>
  <c r="F35" i="34"/>
  <c r="AA35" i="34"/>
  <c r="F36" i="34"/>
  <c r="AA36" i="34"/>
  <c r="D112" i="34"/>
  <c r="E112" i="34"/>
  <c r="F112" i="34"/>
  <c r="G112" i="34"/>
  <c r="F37" i="34"/>
  <c r="AA37" i="34"/>
  <c r="F38" i="34"/>
  <c r="AA38" i="34"/>
  <c r="F39" i="34"/>
  <c r="AA39" i="34"/>
  <c r="F40" i="34"/>
  <c r="AA40" i="34"/>
  <c r="D120" i="34"/>
  <c r="F41" i="34"/>
  <c r="AA41" i="34"/>
  <c r="F43" i="34"/>
  <c r="AA43" i="34"/>
  <c r="D126" i="34"/>
  <c r="F44" i="34"/>
  <c r="AA44" i="34"/>
  <c r="F34" i="34"/>
  <c r="AA34" i="34" s="1"/>
  <c r="R49" i="34" s="1"/>
  <c r="D78" i="34"/>
  <c r="E78" i="34"/>
  <c r="F15" i="34"/>
  <c r="AA15" i="34"/>
  <c r="R48" i="34"/>
  <c r="H10" i="34"/>
  <c r="AB10" i="34"/>
  <c r="H11" i="34"/>
  <c r="AB11" i="34"/>
  <c r="H17" i="34"/>
  <c r="AB17" i="34"/>
  <c r="H19" i="34"/>
  <c r="AB19" i="34"/>
  <c r="H21" i="34"/>
  <c r="AB21" i="34"/>
  <c r="H23" i="34"/>
  <c r="AB23" i="34"/>
  <c r="H25" i="34"/>
  <c r="AB25" i="34"/>
  <c r="H28" i="34"/>
  <c r="AB28" i="34"/>
  <c r="H33" i="34"/>
  <c r="AB33" i="34"/>
  <c r="H35" i="34"/>
  <c r="AB35" i="34"/>
  <c r="H36" i="34"/>
  <c r="AB36" i="34"/>
  <c r="H37" i="34"/>
  <c r="AB37" i="34"/>
  <c r="H38" i="34"/>
  <c r="AB38" i="34"/>
  <c r="H39" i="34"/>
  <c r="AB39" i="34"/>
  <c r="H40" i="34"/>
  <c r="AB40" i="34"/>
  <c r="H41" i="34"/>
  <c r="AB41" i="34"/>
  <c r="H43" i="34"/>
  <c r="AB43" i="34"/>
  <c r="H44" i="34"/>
  <c r="AB44" i="34"/>
  <c r="H34" i="34"/>
  <c r="AB34" i="34" s="1"/>
  <c r="T49" i="34" s="1"/>
  <c r="G49" i="34" s="1"/>
  <c r="H15" i="34"/>
  <c r="AB15" i="34"/>
  <c r="T48" i="34"/>
  <c r="J10" i="34"/>
  <c r="AC10" i="34"/>
  <c r="J11" i="34"/>
  <c r="AC11" i="34"/>
  <c r="J17" i="34"/>
  <c r="AC17" i="34"/>
  <c r="J19" i="34"/>
  <c r="AC19" i="34"/>
  <c r="J21" i="34"/>
  <c r="AC21" i="34"/>
  <c r="J23" i="34"/>
  <c r="AC23" i="34"/>
  <c r="J25" i="34"/>
  <c r="AC25" i="34"/>
  <c r="J28" i="34"/>
  <c r="AC28" i="34"/>
  <c r="J33" i="34"/>
  <c r="AC33" i="34"/>
  <c r="J35" i="34"/>
  <c r="AC35" i="34"/>
  <c r="J36" i="34"/>
  <c r="AC36" i="34"/>
  <c r="J37" i="34"/>
  <c r="AC37" i="34"/>
  <c r="J38" i="34"/>
  <c r="AC38" i="34"/>
  <c r="J39" i="34"/>
  <c r="AC39" i="34"/>
  <c r="J40" i="34"/>
  <c r="AC40" i="34"/>
  <c r="J41" i="34"/>
  <c r="AC41" i="34"/>
  <c r="J43" i="34"/>
  <c r="AC43" i="34"/>
  <c r="J44" i="34"/>
  <c r="AC44" i="34"/>
  <c r="J34" i="34"/>
  <c r="AC34" i="34" s="1"/>
  <c r="V49" i="34" s="1"/>
  <c r="I49" i="34" s="1"/>
  <c r="J15" i="34"/>
  <c r="AC15" i="34"/>
  <c r="V48" i="34"/>
  <c r="BB13" i="3"/>
  <c r="BA13" i="3" s="1"/>
  <c r="AZ13" i="3" s="1"/>
  <c r="BB14" i="3"/>
  <c r="F17" i="15"/>
  <c r="F33" i="15"/>
  <c r="L19" i="6"/>
  <c r="C17" i="9"/>
  <c r="D17" i="9"/>
  <c r="C18" i="9"/>
  <c r="D18" i="9"/>
  <c r="C25" i="31"/>
  <c r="C26" i="31"/>
  <c r="C27" i="31"/>
  <c r="C28" i="31"/>
  <c r="C29" i="31"/>
  <c r="C30" i="31"/>
  <c r="C31" i="3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C38" i="43"/>
  <c r="F39" i="43"/>
  <c r="C39" i="43"/>
  <c r="G39" i="43"/>
  <c r="I39" i="43"/>
  <c r="F38" i="43"/>
  <c r="F37" i="43"/>
  <c r="C37" i="43"/>
  <c r="G37" i="43"/>
  <c r="I37" i="43"/>
  <c r="D5" i="43"/>
  <c r="F36" i="43"/>
  <c r="C36" i="43"/>
  <c r="G36" i="43"/>
  <c r="I36" i="43"/>
  <c r="F35" i="43"/>
  <c r="F34" i="43"/>
  <c r="C34" i="43"/>
  <c r="G34" i="43"/>
  <c r="I34" i="43"/>
  <c r="M47" i="67"/>
  <c r="J53" i="67"/>
  <c r="M47" i="15"/>
  <c r="F15" i="4"/>
  <c r="F6" i="1"/>
  <c r="J50" i="15"/>
  <c r="J51" i="15"/>
  <c r="C18" i="43"/>
  <c r="AD5" i="3"/>
  <c r="AH5" i="3"/>
  <c r="AL5" i="3"/>
  <c r="AP5" i="3"/>
  <c r="I5" i="3"/>
  <c r="K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7" i="71"/>
  <c r="AG7" i="71"/>
  <c r="AE7" i="71"/>
  <c r="AF7" i="71"/>
  <c r="AD7" i="71"/>
  <c r="BC13" i="3"/>
  <c r="BD13" i="3"/>
  <c r="BE13" i="3"/>
  <c r="BF13" i="3"/>
  <c r="BG13" i="3"/>
  <c r="BH13" i="3"/>
  <c r="BI13" i="3"/>
  <c r="BJ13" i="3"/>
  <c r="BK13" i="3"/>
  <c r="BM13" i="3"/>
  <c r="BN13" i="3"/>
  <c r="BO13" i="3"/>
  <c r="BP13" i="3"/>
  <c r="BQ13" i="3"/>
  <c r="BR13" i="3"/>
  <c r="BS13" i="3"/>
  <c r="BT13" i="3"/>
  <c r="BL13"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s="1"/>
  <c r="BB17" i="3"/>
  <c r="BC17" i="3"/>
  <c r="BD17" i="3"/>
  <c r="BE17" i="3"/>
  <c r="BF17" i="3"/>
  <c r="BG17" i="3"/>
  <c r="BH17" i="3"/>
  <c r="BI17" i="3"/>
  <c r="BJ17" i="3"/>
  <c r="BK17" i="3"/>
  <c r="BA17" i="3"/>
  <c r="BM17" i="3"/>
  <c r="BN17" i="3"/>
  <c r="BO17" i="3"/>
  <c r="BP17" i="3"/>
  <c r="BQ17" i="3"/>
  <c r="BR17" i="3"/>
  <c r="BS17" i="3"/>
  <c r="BT17" i="3"/>
  <c r="BL17" i="3"/>
  <c r="AZ17" i="3" s="1"/>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s="1"/>
  <c r="H17" i="3"/>
  <c r="AC17" i="3"/>
  <c r="G17" i="3" s="1"/>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C32" i="31"/>
  <c r="Q32" i="31"/>
  <c r="C33" i="31"/>
  <c r="Q33" i="31"/>
  <c r="C34" i="31"/>
  <c r="Q34"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A7" i="43"/>
  <c r="F61" i="15"/>
  <c r="M19" i="15"/>
  <c r="M10" i="1"/>
  <c r="O10" i="1"/>
  <c r="B22" i="1"/>
  <c r="B23" i="1"/>
  <c r="B24" i="1"/>
  <c r="B43" i="1"/>
  <c r="D78" i="9"/>
  <c r="E20" i="6"/>
  <c r="E21" i="6"/>
  <c r="K8" i="1"/>
  <c r="M8" i="1" s="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7" i="34"/>
  <c r="AA27"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F27" i="6" s="1"/>
  <c r="BR5" i="3"/>
  <c r="G28"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s="1"/>
  <c r="O9" i="1"/>
  <c r="P9" i="1"/>
  <c r="AE9" i="1"/>
  <c r="D93" i="9"/>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R12" i="1"/>
  <c r="B12" i="1"/>
  <c r="E12" i="1"/>
  <c r="S10" i="1"/>
  <c r="AQ10" i="1" s="1"/>
  <c r="R10" i="1"/>
  <c r="B10" i="1"/>
  <c r="E10" i="1"/>
  <c r="D1" i="66"/>
  <c r="E10" i="66"/>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AA45" i="34"/>
  <c r="W34" i="34"/>
  <c r="U28" i="34"/>
  <c r="S17" i="34"/>
  <c r="AA29"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E5" i="6"/>
  <c r="D9" i="11" s="1"/>
  <c r="C9" i="11" s="1"/>
  <c r="P10" i="1"/>
  <c r="E32" i="6"/>
  <c r="G1" i="68"/>
  <c r="K1" i="12"/>
  <c r="F30" i="6"/>
  <c r="E28" i="6"/>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51" i="40"/>
  <c r="B6" i="1"/>
  <c r="E6" i="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W33" i="34"/>
  <c r="AC14" i="34"/>
  <c r="AC32" i="34"/>
  <c r="AC29" i="34"/>
  <c r="W29" i="34"/>
  <c r="W46" i="34"/>
  <c r="AC46" i="34"/>
  <c r="S32" i="34"/>
  <c r="AA32" i="34"/>
  <c r="U30" i="34"/>
  <c r="AB30" i="34"/>
  <c r="S37" i="34"/>
  <c r="U38" i="34"/>
  <c r="W40" i="34"/>
  <c r="S19" i="34"/>
  <c r="S36" i="34"/>
  <c r="AA8" i="34"/>
  <c r="S8" i="34"/>
  <c r="AB9"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10" i="49"/>
  <c r="O6" i="1"/>
  <c r="P6" i="1"/>
  <c r="F30" i="68"/>
  <c r="C30" i="68"/>
  <c r="F30" i="11"/>
  <c r="C48" i="11"/>
  <c r="F28" i="67"/>
  <c r="C28" i="67"/>
  <c r="F31" i="12"/>
  <c r="F52" i="9"/>
  <c r="C31" i="12"/>
  <c r="M18" i="67"/>
  <c r="F32" i="67"/>
  <c r="F60" i="67"/>
  <c r="F30" i="69"/>
  <c r="C48" i="69"/>
  <c r="F32" i="15"/>
  <c r="F60" i="15"/>
  <c r="M18" i="15"/>
  <c r="F28" i="15"/>
  <c r="T11" i="1"/>
  <c r="D68" i="39"/>
  <c r="D70" i="39"/>
  <c r="C28" i="15"/>
  <c r="E30" i="6"/>
  <c r="K15" i="1"/>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P14" i="1"/>
  <c r="BL5" i="3"/>
  <c r="J59" i="9"/>
  <c r="J61" i="9"/>
  <c r="AR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T11" i="43"/>
  <c r="V11" i="43"/>
  <c r="T16" i="43"/>
  <c r="V16" i="43"/>
  <c r="T14" i="43"/>
  <c r="V14" i="43"/>
  <c r="T12" i="43"/>
  <c r="V12" i="43"/>
  <c r="T9" i="43"/>
  <c r="V9" i="43"/>
  <c r="T8" i="43"/>
  <c r="V8" i="43"/>
  <c r="T15" i="43"/>
  <c r="V15" i="43"/>
  <c r="T13" i="43"/>
  <c r="V13" i="43"/>
  <c r="T10" i="43"/>
  <c r="V10" i="43"/>
  <c r="E39"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F1" i="67"/>
  <c r="Q52" i="67"/>
  <c r="E37" i="43"/>
  <c r="AA7" i="36"/>
  <c r="R36" i="36"/>
  <c r="E36" i="36"/>
  <c r="E40" i="36"/>
  <c r="F40" i="36"/>
  <c r="AC11" i="37"/>
  <c r="W11" i="37"/>
  <c r="AB7" i="37"/>
  <c r="T42" i="37"/>
  <c r="G42" i="37"/>
  <c r="G46" i="37"/>
  <c r="H46" i="37"/>
  <c r="W11" i="34"/>
  <c r="AB7" i="36"/>
  <c r="T36" i="36"/>
  <c r="R7" i="1"/>
  <c r="C13" i="12"/>
  <c r="F34" i="11"/>
  <c r="F11" i="12"/>
  <c r="F34" i="68"/>
  <c r="C36" i="68" s="1"/>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G36" i="36"/>
  <c r="R37" i="36"/>
  <c r="AB7"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AD3" i="71"/>
  <c r="P21" i="43"/>
  <c r="P22" i="43"/>
  <c r="P23" i="43"/>
  <c r="B71" i="39"/>
  <c r="P24" i="43"/>
  <c r="B66" i="40"/>
  <c r="P25" i="43"/>
  <c r="E38" i="43"/>
  <c r="G38" i="43"/>
  <c r="I38" i="43"/>
  <c r="C33" i="43"/>
  <c r="C35" i="43"/>
  <c r="E11" i="49"/>
  <c r="B6" i="49"/>
  <c r="E21" i="49"/>
  <c r="B9" i="49"/>
  <c r="E7" i="49"/>
  <c r="B22" i="49"/>
  <c r="C36" i="11"/>
  <c r="E35" i="43"/>
  <c r="G35" i="43"/>
  <c r="I35" i="43"/>
  <c r="E33" i="43"/>
  <c r="G33" i="43"/>
  <c r="I33" i="43"/>
  <c r="B9" i="76"/>
  <c r="B8" i="76"/>
  <c r="AO12" i="1"/>
  <c r="F38" i="15"/>
  <c r="F8" i="15"/>
  <c r="AO10" i="1"/>
  <c r="D2" i="37"/>
  <c r="M27" i="67"/>
  <c r="M23" i="15"/>
  <c r="F5" i="73"/>
  <c r="D4" i="73"/>
  <c r="F42" i="15"/>
  <c r="C76" i="67"/>
  <c r="M26" i="67"/>
  <c r="D6" i="73"/>
  <c r="M28" i="15"/>
  <c r="E10" i="76"/>
  <c r="F13" i="15"/>
  <c r="F41" i="67"/>
  <c r="F8" i="67"/>
  <c r="F6" i="73"/>
  <c r="L48" i="67"/>
  <c r="B13" i="76"/>
  <c r="AO7" i="1"/>
  <c r="F6" i="67"/>
  <c r="M22" i="67"/>
  <c r="F40" i="15"/>
  <c r="F7" i="67"/>
  <c r="M27" i="15"/>
  <c r="D7" i="73"/>
  <c r="J15" i="15"/>
  <c r="D2" i="36"/>
  <c r="E11" i="76"/>
  <c r="AO9" i="1"/>
  <c r="M23" i="67"/>
  <c r="F26" i="67"/>
  <c r="M22" i="15"/>
  <c r="M29" i="67"/>
  <c r="E7" i="76"/>
  <c r="F3" i="73"/>
  <c r="L47" i="15"/>
  <c r="D5" i="73"/>
  <c r="C76" i="15"/>
  <c r="F37" i="67"/>
  <c r="AO8" i="1"/>
  <c r="F6" i="15"/>
  <c r="J15" i="67"/>
  <c r="D2" i="21"/>
  <c r="L48" i="15"/>
  <c r="E2" i="69"/>
  <c r="AO11" i="1"/>
  <c r="M9" i="67"/>
  <c r="F20" i="31"/>
  <c r="AO13" i="1"/>
  <c r="M26" i="15"/>
  <c r="F37" i="15"/>
  <c r="E12" i="76"/>
  <c r="F13" i="67"/>
  <c r="E9" i="76"/>
  <c r="F43" i="67"/>
  <c r="F40" i="67"/>
  <c r="M24" i="15"/>
  <c r="F36" i="15"/>
  <c r="E8" i="76"/>
  <c r="M28" i="67"/>
  <c r="F9" i="15"/>
  <c r="L47" i="67"/>
  <c r="M21" i="67"/>
  <c r="M9" i="15"/>
  <c r="M8" i="67"/>
  <c r="D3" i="73"/>
  <c r="G1" i="73"/>
  <c r="F9" i="67"/>
  <c r="B12" i="76"/>
  <c r="F42" i="67"/>
  <c r="F26" i="15"/>
  <c r="F16" i="67"/>
  <c r="M8" i="15"/>
  <c r="B11" i="76"/>
  <c r="F4" i="73"/>
  <c r="F38" i="67"/>
  <c r="B7" i="76"/>
  <c r="F35" i="67"/>
  <c r="M6" i="15"/>
  <c r="F36" i="67"/>
  <c r="M6" i="67"/>
  <c r="B10" i="76"/>
  <c r="E13" i="76"/>
  <c r="E2" i="68"/>
  <c r="D2" i="35"/>
  <c r="F16" i="15"/>
  <c r="F7" i="73"/>
  <c r="D2" i="34"/>
  <c r="M24" i="67"/>
  <c r="D2" i="33"/>
  <c r="C36" i="69" l="1"/>
  <c r="P16" i="1"/>
  <c r="C11" i="12" s="1"/>
  <c r="C12" i="12" s="1"/>
  <c r="T13" i="1"/>
  <c r="AR11" i="1"/>
  <c r="AQ13" i="1"/>
  <c r="E56" i="39"/>
  <c r="F31" i="6"/>
  <c r="E14" i="6"/>
  <c r="E64" i="39" s="1"/>
  <c r="E11" i="6"/>
  <c r="E61" i="39" s="1"/>
  <c r="T9" i="1"/>
  <c r="B15" i="74"/>
  <c r="U26" i="31"/>
  <c r="B7" i="49"/>
  <c r="C4" i="4" s="1"/>
  <c r="B4" i="62" s="1"/>
  <c r="B71" i="72" s="1"/>
  <c r="B16" i="49"/>
  <c r="E6" i="49"/>
  <c r="B11" i="49"/>
  <c r="E9" i="49"/>
  <c r="B8" i="49"/>
  <c r="B4" i="49"/>
  <c r="E16" i="49"/>
  <c r="B10" i="49"/>
  <c r="E4" i="49"/>
  <c r="E5" i="49"/>
  <c r="E8" i="49"/>
  <c r="B5" i="49"/>
  <c r="B14" i="49"/>
  <c r="B23" i="49"/>
  <c r="O16" i="1"/>
  <c r="K6" i="1"/>
  <c r="H16" i="1" s="1"/>
  <c r="I53" i="34"/>
  <c r="J53" i="34" s="1"/>
  <c r="G53" i="34"/>
  <c r="H53" i="34" s="1"/>
  <c r="G54" i="34"/>
  <c r="H54" i="34" s="1"/>
  <c r="R50" i="34"/>
  <c r="C49" i="34" s="1"/>
  <c r="E49" i="34"/>
  <c r="I54" i="34" s="1"/>
  <c r="J54" i="34" s="1"/>
  <c r="AR7" i="1"/>
  <c r="AQ9" i="1"/>
  <c r="T7" i="1"/>
  <c r="I4" i="6"/>
  <c r="G3" i="43" s="1"/>
  <c r="B113" i="43" s="1"/>
  <c r="M7" i="1"/>
  <c r="D19" i="12"/>
  <c r="C19" i="12" s="1"/>
  <c r="E56" i="40"/>
  <c r="D9" i="68"/>
  <c r="C9" i="68" s="1"/>
  <c r="E59" i="40"/>
  <c r="D9" i="69"/>
  <c r="C9" i="69" s="1"/>
  <c r="E12" i="6"/>
  <c r="C42" i="40"/>
  <c r="C43" i="40"/>
  <c r="B53" i="40" s="1"/>
  <c r="F53" i="40" s="1"/>
  <c r="G5" i="3"/>
  <c r="B3" i="3" s="1"/>
  <c r="E16" i="3" s="1"/>
  <c r="I46" i="40"/>
  <c r="J46" i="40" s="1"/>
  <c r="I47" i="40"/>
  <c r="J47" i="40" s="1"/>
  <c r="G47" i="40"/>
  <c r="H47" i="40" s="1"/>
  <c r="E47" i="40"/>
  <c r="F47" i="40" s="1"/>
  <c r="G46" i="40"/>
  <c r="H46" i="40" s="1"/>
  <c r="BA5" i="3"/>
  <c r="E27" i="6" s="1"/>
  <c r="AZ14" i="3"/>
  <c r="AZ5" i="3" s="1"/>
  <c r="E13" i="6"/>
  <c r="E15" i="6"/>
  <c r="C15" i="12"/>
  <c r="C23" i="12"/>
  <c r="B40" i="1"/>
  <c r="B7" i="70"/>
  <c r="J20" i="67"/>
  <c r="I54" i="67"/>
  <c r="J57" i="67"/>
  <c r="J55" i="67" s="1"/>
  <c r="J58" i="67" s="1"/>
  <c r="Q50" i="67" s="1"/>
  <c r="L56" i="67"/>
  <c r="N59" i="67"/>
  <c r="L58" i="67"/>
  <c r="M59" i="67"/>
  <c r="L59" i="67"/>
  <c r="F51" i="67"/>
  <c r="F64" i="15"/>
  <c r="F69" i="67"/>
  <c r="F68" i="67"/>
  <c r="F71" i="67"/>
  <c r="B2" i="35"/>
  <c r="B3" i="35" s="1"/>
  <c r="F65" i="15"/>
  <c r="B13" i="70"/>
  <c r="Q71" i="67"/>
  <c r="B11" i="70"/>
  <c r="J57" i="15"/>
  <c r="J55" i="15" s="1"/>
  <c r="J58" i="15" s="1"/>
  <c r="Q50" i="15" s="1"/>
  <c r="J53" i="15"/>
  <c r="L56" i="15"/>
  <c r="L60" i="15"/>
  <c r="L57" i="15"/>
  <c r="I54" i="15"/>
  <c r="E20" i="43"/>
  <c r="F64" i="67"/>
  <c r="B8" i="70"/>
  <c r="C34" i="67"/>
  <c r="F63" i="67"/>
  <c r="C62" i="67" s="1"/>
  <c r="F65" i="67"/>
  <c r="Q71" i="15"/>
  <c r="L58" i="15"/>
  <c r="M59" i="15"/>
  <c r="L59" i="15"/>
  <c r="N59" i="15"/>
  <c r="F66" i="67"/>
  <c r="I1" i="73"/>
  <c r="B39" i="1" s="1"/>
  <c r="C27" i="67"/>
  <c r="B10" i="70"/>
  <c r="B9" i="70"/>
  <c r="C27" i="15"/>
  <c r="F51" i="15"/>
  <c r="B2" i="36"/>
  <c r="B3" i="36" s="1"/>
  <c r="F70" i="67"/>
  <c r="F66" i="15"/>
  <c r="M7" i="67"/>
  <c r="J6" i="67" s="1"/>
  <c r="F50" i="67"/>
  <c r="B12" i="70"/>
  <c r="F68" i="15"/>
  <c r="C6" i="67"/>
  <c r="F7" i="15"/>
  <c r="C16" i="67"/>
  <c r="F43" i="15"/>
  <c r="M29" i="15"/>
  <c r="C14" i="67"/>
  <c r="C17" i="67"/>
  <c r="B60" i="40" l="1"/>
  <c r="C50" i="34"/>
  <c r="B3" i="34" s="1"/>
  <c r="I101" i="43"/>
  <c r="F101" i="43"/>
  <c r="K4" i="4"/>
  <c r="B46" i="48" s="1"/>
  <c r="B4" i="72" s="1"/>
  <c r="M7" i="15"/>
  <c r="J6" i="15" s="1"/>
  <c r="C6" i="15"/>
  <c r="F50" i="15"/>
  <c r="C49" i="15" s="1"/>
  <c r="F71" i="15"/>
  <c r="N104" i="46"/>
  <c r="E22" i="43"/>
  <c r="C34" i="69"/>
  <c r="G16" i="1"/>
  <c r="Q16" i="1"/>
  <c r="F28" i="12" s="1"/>
  <c r="C29" i="12" s="1"/>
  <c r="D28" i="12" s="1"/>
  <c r="K16" i="1"/>
  <c r="M16" i="1"/>
  <c r="L16" i="1" s="1"/>
  <c r="M6" i="1"/>
  <c r="E54" i="34"/>
  <c r="F54" i="34" s="1"/>
  <c r="E53" i="34"/>
  <c r="F53" i="34" s="1"/>
  <c r="B2" i="34"/>
  <c r="G22" i="43"/>
  <c r="H101" i="43"/>
  <c r="G101" i="43"/>
  <c r="G103" i="43" s="1"/>
  <c r="D101" i="43"/>
  <c r="C101" i="43"/>
  <c r="H22" i="43"/>
  <c r="E101" i="43"/>
  <c r="M101" i="43"/>
  <c r="L101" i="43"/>
  <c r="J101" i="43"/>
  <c r="N101" i="43"/>
  <c r="K101" i="43"/>
  <c r="F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AC11" i="43"/>
  <c r="AC13" i="43" s="1"/>
  <c r="Y11" i="43"/>
  <c r="Y13" i="43" s="1"/>
  <c r="H10" i="40"/>
  <c r="J10" i="40"/>
  <c r="F10" i="40"/>
  <c r="J10" i="39"/>
  <c r="E57" i="40"/>
  <c r="E62" i="39"/>
  <c r="B55" i="40"/>
  <c r="F55" i="40" s="1"/>
  <c r="B57" i="40"/>
  <c r="B59" i="40"/>
  <c r="F59" i="40" s="1"/>
  <c r="B56" i="40"/>
  <c r="F56" i="40" s="1"/>
  <c r="B54" i="40"/>
  <c r="F54" i="40" s="1"/>
  <c r="B58" i="40"/>
  <c r="B52" i="40"/>
  <c r="F52" i="40" s="1"/>
  <c r="B51" i="40"/>
  <c r="F51" i="40" s="1"/>
  <c r="E13" i="3"/>
  <c r="F5" i="77"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O6" i="3"/>
  <c r="E574" i="3"/>
  <c r="E359" i="3"/>
  <c r="E285" i="3"/>
  <c r="E97" i="3"/>
  <c r="E390" i="3"/>
  <c r="S6" i="3"/>
  <c r="E523" i="3"/>
  <c r="E506" i="3"/>
  <c r="E418" i="3"/>
  <c r="E338" i="3"/>
  <c r="E321" i="3"/>
  <c r="E298" i="3"/>
  <c r="E169"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06" i="3"/>
  <c r="E422" i="3"/>
  <c r="E438" i="3"/>
  <c r="E408" i="3"/>
  <c r="E424" i="3"/>
  <c r="E440" i="3"/>
  <c r="E457" i="3"/>
  <c r="E451" i="3"/>
  <c r="E465" i="3"/>
  <c r="E490" i="3"/>
  <c r="E288" i="3"/>
  <c r="E360" i="3"/>
  <c r="E344" i="3"/>
  <c r="E376" i="3"/>
  <c r="E562" i="3"/>
  <c r="E556" i="3"/>
  <c r="E587" i="3"/>
  <c r="AH6" i="3"/>
  <c r="W6" i="3"/>
  <c r="E497" i="3"/>
  <c r="AE6" i="3"/>
  <c r="J6" i="3"/>
  <c r="E57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88" i="3"/>
  <c r="E555" i="3"/>
  <c r="E410" i="3"/>
  <c r="E337" i="3"/>
  <c r="E143" i="3"/>
  <c r="E270" i="3"/>
  <c r="E533" i="3"/>
  <c r="AR6" i="3"/>
  <c r="E561" i="3"/>
  <c r="E538" i="3"/>
  <c r="E439" i="3"/>
  <c r="E380" i="3"/>
  <c r="E231" i="3"/>
  <c r="E216"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E31" i="3"/>
  <c r="E74" i="3"/>
  <c r="E93" i="3"/>
  <c r="E32" i="3"/>
  <c r="E75" i="3"/>
  <c r="E409" i="3"/>
  <c r="E473" i="3"/>
  <c r="E15" i="3"/>
  <c r="E455" i="3"/>
  <c r="E79" i="3"/>
  <c r="E38" i="3"/>
  <c r="E100" i="3"/>
  <c r="E170" i="3"/>
  <c r="E137" i="3"/>
  <c r="E194" i="3"/>
  <c r="E234" i="3"/>
  <c r="E219"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5" i="39"/>
  <c r="E60" i="40"/>
  <c r="F60" i="40" s="1"/>
  <c r="AY6" i="3"/>
  <c r="E3" i="6"/>
  <c r="G102" i="43"/>
  <c r="G105" i="43"/>
  <c r="G106" i="43"/>
  <c r="G107" i="43"/>
  <c r="F102" i="43"/>
  <c r="F105" i="43"/>
  <c r="F104" i="43"/>
  <c r="F107" i="43"/>
  <c r="F103" i="43"/>
  <c r="F106" i="43"/>
  <c r="F109" i="43"/>
  <c r="D103" i="43"/>
  <c r="D105" i="43"/>
  <c r="D107" i="43"/>
  <c r="D109" i="43"/>
  <c r="D102" i="43"/>
  <c r="D104" i="43"/>
  <c r="D106" i="43"/>
  <c r="D22" i="43"/>
  <c r="C104" i="43"/>
  <c r="C103" i="43"/>
  <c r="C107" i="43"/>
  <c r="C102" i="43"/>
  <c r="C106" i="43"/>
  <c r="C105" i="43"/>
  <c r="C109" i="43"/>
  <c r="I109" i="43"/>
  <c r="I104" i="43"/>
  <c r="I107" i="43"/>
  <c r="I105" i="43"/>
  <c r="I102" i="43"/>
  <c r="I106" i="43"/>
  <c r="I103" i="43"/>
  <c r="H102" i="43"/>
  <c r="H107" i="43"/>
  <c r="H105" i="43"/>
  <c r="H106" i="43"/>
  <c r="H109" i="43"/>
  <c r="H103" i="43"/>
  <c r="H104" i="43"/>
  <c r="E58" i="40"/>
  <c r="F58" i="40" s="1"/>
  <c r="E63" i="39"/>
  <c r="E16" i="6"/>
  <c r="K19" i="6"/>
  <c r="K20" i="6"/>
  <c r="M20" i="6" s="1"/>
  <c r="I20" i="6" s="1"/>
  <c r="S20" i="6" s="1"/>
  <c r="K24" i="6"/>
  <c r="M24" i="6" s="1"/>
  <c r="I24" i="6" s="1"/>
  <c r="S24" i="6" s="1"/>
  <c r="K26" i="6"/>
  <c r="M26" i="6" s="1"/>
  <c r="I26" i="6" s="1"/>
  <c r="S26" i="6" s="1"/>
  <c r="K25" i="6"/>
  <c r="M25" i="6" s="1"/>
  <c r="I25" i="6" s="1"/>
  <c r="S25" i="6" s="1"/>
  <c r="K23" i="6"/>
  <c r="M23" i="6" s="1"/>
  <c r="I23" i="6" s="1"/>
  <c r="S23" i="6" s="1"/>
  <c r="E31" i="6"/>
  <c r="K21" i="6"/>
  <c r="M21" i="6" s="1"/>
  <c r="I21" i="6" s="1"/>
  <c r="S21" i="6" s="1"/>
  <c r="K22" i="6"/>
  <c r="M22" i="6" s="1"/>
  <c r="I22" i="6" s="1"/>
  <c r="S22" i="6" s="1"/>
  <c r="E102" i="43"/>
  <c r="E106" i="43"/>
  <c r="E103" i="43"/>
  <c r="E109" i="43"/>
  <c r="E104" i="43"/>
  <c r="E107" i="43"/>
  <c r="E105" i="43"/>
  <c r="M102" i="43"/>
  <c r="M106" i="43"/>
  <c r="M103" i="43"/>
  <c r="M109" i="43"/>
  <c r="M104" i="43"/>
  <c r="M107" i="43"/>
  <c r="M105" i="43"/>
  <c r="L105" i="43"/>
  <c r="L109" i="43"/>
  <c r="L102" i="43"/>
  <c r="L104" i="43"/>
  <c r="L107" i="43"/>
  <c r="L106" i="43"/>
  <c r="L103" i="43"/>
  <c r="J107" i="43"/>
  <c r="J102" i="43"/>
  <c r="J104" i="43"/>
  <c r="J105" i="43"/>
  <c r="J103" i="43"/>
  <c r="J106" i="43"/>
  <c r="J109" i="43"/>
  <c r="N105" i="43"/>
  <c r="N104" i="43"/>
  <c r="N102" i="43"/>
  <c r="N106" i="43"/>
  <c r="N107" i="43"/>
  <c r="N103" i="43"/>
  <c r="N109" i="43"/>
  <c r="K107" i="43"/>
  <c r="K104" i="43"/>
  <c r="K106" i="43"/>
  <c r="K103" i="43"/>
  <c r="K102" i="43"/>
  <c r="K109" i="43"/>
  <c r="K105" i="43"/>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B115" i="43"/>
  <c r="D115" i="43"/>
  <c r="E115" i="43" s="1"/>
  <c r="F115" i="43" s="1"/>
  <c r="G115" i="43" s="1"/>
  <c r="H115" i="43" s="1"/>
  <c r="D116" i="43"/>
  <c r="E116" i="43" s="1"/>
  <c r="F116" i="43" s="1"/>
  <c r="G116" i="43" s="1"/>
  <c r="H116" i="43" s="1"/>
  <c r="D117" i="43"/>
  <c r="E117" i="43" s="1"/>
  <c r="F117" i="43" s="1"/>
  <c r="G117" i="43" s="1"/>
  <c r="H117" i="43" s="1"/>
  <c r="D118" i="43"/>
  <c r="E118" i="43" s="1"/>
  <c r="F118" i="43" s="1"/>
  <c r="B118" i="43"/>
  <c r="C118" i="43" s="1"/>
  <c r="B116" i="43"/>
  <c r="C116" i="43" s="1"/>
  <c r="B117" i="43"/>
  <c r="C117" i="43" s="1"/>
  <c r="C49" i="67"/>
  <c r="C18" i="67"/>
  <c r="C15" i="67"/>
  <c r="F11" i="15"/>
  <c r="C53" i="15" s="1"/>
  <c r="M11" i="15"/>
  <c r="F11" i="67"/>
  <c r="M11" i="67"/>
  <c r="J10" i="67" s="1"/>
  <c r="J5" i="67" s="1"/>
  <c r="Q57" i="15"/>
  <c r="Q66" i="15"/>
  <c r="F1" i="15"/>
  <c r="Q52" i="15"/>
  <c r="Q61" i="67"/>
  <c r="Q74" i="67"/>
  <c r="Q60" i="67"/>
  <c r="Q73" i="67"/>
  <c r="F24" i="15"/>
  <c r="C24" i="15" s="1"/>
  <c r="F24" i="67"/>
  <c r="C24" i="67" s="1"/>
  <c r="F22" i="69"/>
  <c r="F25" i="12"/>
  <c r="F22" i="11"/>
  <c r="F22" i="68"/>
  <c r="Q61" i="15"/>
  <c r="Q74" i="15"/>
  <c r="Q60" i="15"/>
  <c r="Q73" i="15"/>
  <c r="O17" i="43"/>
  <c r="P17" i="43"/>
  <c r="M17" i="43"/>
  <c r="N17" i="43"/>
  <c r="C19" i="9"/>
  <c r="C16" i="15"/>
  <c r="C20" i="9"/>
  <c r="AE6" i="1"/>
  <c r="F57" i="40" l="1"/>
  <c r="F27" i="11"/>
  <c r="C29" i="11" s="1"/>
  <c r="D27" i="11" s="1"/>
  <c r="G109" i="43"/>
  <c r="G104" i="43"/>
  <c r="J10" i="15"/>
  <c r="J5" i="15" s="1"/>
  <c r="J18" i="15" s="1"/>
  <c r="F27" i="68"/>
  <c r="C29" i="68" s="1"/>
  <c r="D27" i="68" s="1"/>
  <c r="F27" i="69"/>
  <c r="C29" i="69" s="1"/>
  <c r="D27" i="69" s="1"/>
  <c r="N16" i="1"/>
  <c r="F10" i="39"/>
  <c r="H10" i="39"/>
  <c r="C34" i="11"/>
  <c r="C34" i="68"/>
  <c r="C35" i="69"/>
  <c r="C38" i="69"/>
  <c r="C103" i="9"/>
  <c r="C102" i="9"/>
  <c r="C47" i="11"/>
  <c r="D45" i="11" s="1"/>
  <c r="AC10" i="39"/>
  <c r="V47" i="39" s="1"/>
  <c r="I47" i="39" s="1"/>
  <c r="I51" i="39" s="1"/>
  <c r="J51" i="39" s="1"/>
  <c r="W10" i="39"/>
  <c r="W10" i="40"/>
  <c r="AC10" i="40"/>
  <c r="AA10" i="40"/>
  <c r="S10" i="40"/>
  <c r="U10" i="40"/>
  <c r="AB10" i="40"/>
  <c r="E66" i="39"/>
  <c r="AC6" i="3"/>
  <c r="H6" i="3"/>
  <c r="M5" i="77"/>
  <c r="G6" i="77"/>
  <c r="F6" i="77" s="1"/>
  <c r="C115" i="43"/>
  <c r="D113" i="43" s="1"/>
  <c r="J22" i="43" s="1"/>
  <c r="D3" i="6"/>
  <c r="AY103" i="3"/>
  <c r="AY98" i="3"/>
  <c r="AY67" i="3"/>
  <c r="AY82" i="3"/>
  <c r="AY50" i="3"/>
  <c r="AY18" i="3"/>
  <c r="AY196" i="3"/>
  <c r="AY191" i="3"/>
  <c r="AY160" i="3"/>
  <c r="AY171" i="3"/>
  <c r="AY139" i="3"/>
  <c r="AY132" i="3"/>
  <c r="AY289" i="3"/>
  <c r="AY90" i="3"/>
  <c r="AY74" i="3"/>
  <c r="AY31" i="3"/>
  <c r="AY183" i="3"/>
  <c r="AY163" i="3"/>
  <c r="AY123" i="3"/>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1" i="3"/>
  <c r="AY55" i="3"/>
  <c r="AY38" i="3"/>
  <c r="AY184" i="3"/>
  <c r="AY148" i="3"/>
  <c r="AY128" i="3"/>
  <c r="AY277" i="3"/>
  <c r="AY241" i="3"/>
  <c r="AY224" i="3"/>
  <c r="AY391" i="3"/>
  <c r="AY354" i="3"/>
  <c r="AY338" i="3"/>
  <c r="AY490" i="3"/>
  <c r="AY448" i="3"/>
  <c r="AY429" i="3"/>
  <c r="BD6" i="3"/>
  <c r="AY511" i="3"/>
  <c r="AY586" i="3"/>
  <c r="AY587" i="3"/>
  <c r="AY86" i="3"/>
  <c r="AY70" i="3"/>
  <c r="AY27" i="3"/>
  <c r="AY179" i="3"/>
  <c r="AY159" i="3"/>
  <c r="AY119" i="3"/>
  <c r="AY273" i="3"/>
  <c r="AY256" i="3"/>
  <c r="AY213" i="3"/>
  <c r="AY367" i="3"/>
  <c r="AY323" i="3"/>
  <c r="AY306" i="3"/>
  <c r="AY459" i="3"/>
  <c r="AY416" i="3"/>
  <c r="AY550" i="3"/>
  <c r="BC6" i="3"/>
  <c r="AY504" i="3"/>
  <c r="AY498" i="3"/>
  <c r="S6" i="1"/>
  <c r="M19" i="6"/>
  <c r="K27" i="6"/>
  <c r="S4" i="43"/>
  <c r="T4" i="43" s="1"/>
  <c r="V4" i="43" s="1"/>
  <c r="S7" i="43"/>
  <c r="T7" i="43" s="1"/>
  <c r="V7" i="43" s="1"/>
  <c r="S5" i="43"/>
  <c r="T5" i="43" s="1"/>
  <c r="V5" i="43" s="1"/>
  <c r="S6" i="43"/>
  <c r="T6" i="43" s="1"/>
  <c r="V6" i="43" s="1"/>
  <c r="S3" i="43"/>
  <c r="T3" i="43" s="1"/>
  <c r="V3" i="43" s="1"/>
  <c r="C23" i="43"/>
  <c r="C21" i="43" s="1"/>
  <c r="S2" i="43"/>
  <c r="T2" i="43" s="1"/>
  <c r="V2" i="43" s="1"/>
  <c r="M18" i="9"/>
  <c r="B118" i="9" s="1"/>
  <c r="B14" i="74" s="1"/>
  <c r="B1" i="74" s="1"/>
  <c r="D3" i="33"/>
  <c r="B2" i="33" s="1"/>
  <c r="B3" i="33" s="1"/>
  <c r="D19" i="11"/>
  <c r="C19" i="11" s="1"/>
  <c r="C24" i="11" s="1"/>
  <c r="D37" i="11"/>
  <c r="C37" i="11" s="1"/>
  <c r="D14" i="12"/>
  <c r="E6" i="6"/>
  <c r="C17" i="4"/>
  <c r="B4" i="52" s="1"/>
  <c r="B43" i="72" s="1"/>
  <c r="L18" i="9"/>
  <c r="D3" i="21"/>
  <c r="B2" i="21" s="1"/>
  <c r="B3" i="21" s="1"/>
  <c r="D3" i="37"/>
  <c r="B2" i="37" s="1"/>
  <c r="B3" i="37" s="1"/>
  <c r="C48" i="15"/>
  <c r="C66" i="15" s="1"/>
  <c r="C10" i="15"/>
  <c r="C5" i="15" s="1"/>
  <c r="C33" i="15" s="1"/>
  <c r="C19" i="67"/>
  <c r="C26" i="68"/>
  <c r="D22" i="68" s="1"/>
  <c r="C44" i="68"/>
  <c r="D41" i="68" s="1"/>
  <c r="C23" i="68"/>
  <c r="C26" i="12"/>
  <c r="D25" i="12" s="1"/>
  <c r="C53" i="67"/>
  <c r="C48" i="67" s="1"/>
  <c r="C10" i="67"/>
  <c r="C5" i="67" s="1"/>
  <c r="J18" i="67"/>
  <c r="J24" i="67"/>
  <c r="J26" i="67"/>
  <c r="J29" i="67" s="1"/>
  <c r="C44" i="11"/>
  <c r="D41" i="11" s="1"/>
  <c r="C23" i="11"/>
  <c r="C26" i="11"/>
  <c r="D22" i="11" s="1"/>
  <c r="C26" i="69"/>
  <c r="D22" i="69" s="1"/>
  <c r="C44" i="69"/>
  <c r="D41" i="69" s="1"/>
  <c r="F41" i="15"/>
  <c r="C17" i="15"/>
  <c r="E6" i="3" l="1"/>
  <c r="F69" i="15"/>
  <c r="C60" i="15"/>
  <c r="J26" i="15"/>
  <c r="J29" i="15" s="1"/>
  <c r="C47" i="69"/>
  <c r="D45" i="69" s="1"/>
  <c r="J24" i="15"/>
  <c r="C47" i="68"/>
  <c r="D45" i="68" s="1"/>
  <c r="C35" i="11"/>
  <c r="C38" i="11"/>
  <c r="C33" i="11" s="1"/>
  <c r="C42" i="11" s="1"/>
  <c r="S10" i="39"/>
  <c r="AA10" i="39"/>
  <c r="R47" i="39" s="1"/>
  <c r="C38" i="68"/>
  <c r="C35" i="68"/>
  <c r="AB10" i="39"/>
  <c r="T47" i="39" s="1"/>
  <c r="G47" i="39" s="1"/>
  <c r="G51" i="39" s="1"/>
  <c r="H51" i="39" s="1"/>
  <c r="U10" i="39"/>
  <c r="F50" i="69"/>
  <c r="F50" i="11"/>
  <c r="F50" i="68"/>
  <c r="M7" i="77"/>
  <c r="M8" i="77"/>
  <c r="M12" i="77"/>
  <c r="M9" i="77"/>
  <c r="M6" i="77"/>
  <c r="M10" i="77"/>
  <c r="M11" i="77"/>
  <c r="D17" i="12"/>
  <c r="C17" i="12" s="1"/>
  <c r="C14" i="12"/>
  <c r="C16" i="12" s="1"/>
  <c r="C7" i="74"/>
  <c r="C8" i="74"/>
  <c r="D10" i="11"/>
  <c r="C10" i="11" s="1"/>
  <c r="D20" i="12"/>
  <c r="C20" i="12" s="1"/>
  <c r="C18" i="12" s="1"/>
  <c r="D10" i="69"/>
  <c r="D10" i="68"/>
  <c r="I19" i="6"/>
  <c r="H19" i="6" s="1"/>
  <c r="M27" i="6"/>
  <c r="M19" i="9"/>
  <c r="C118" i="9" s="1"/>
  <c r="C14" i="74" s="1"/>
  <c r="D19" i="6"/>
  <c r="H20" i="6"/>
  <c r="D26" i="6"/>
  <c r="C18" i="4"/>
  <c r="D8" i="6"/>
  <c r="D23" i="6"/>
  <c r="D14" i="6"/>
  <c r="D5" i="6"/>
  <c r="D12" i="6"/>
  <c r="D11" i="6"/>
  <c r="D13" i="6"/>
  <c r="D28" i="6"/>
  <c r="E61" i="40"/>
  <c r="F61" i="40" s="1"/>
  <c r="B2" i="40" s="1"/>
  <c r="B3" i="40" s="1"/>
  <c r="H23" i="6"/>
  <c r="H26" i="6"/>
  <c r="D25" i="6"/>
  <c r="D15" i="6"/>
  <c r="D22" i="6"/>
  <c r="D21" i="6"/>
  <c r="D24" i="6"/>
  <c r="D20" i="6"/>
  <c r="D6" i="6"/>
  <c r="D9" i="6"/>
  <c r="D10" i="6"/>
  <c r="L19" i="9"/>
  <c r="C21" i="9" s="1"/>
  <c r="D29" i="6"/>
  <c r="H25" i="6"/>
  <c r="H22" i="6"/>
  <c r="H21" i="6"/>
  <c r="H24" i="6"/>
  <c r="C20" i="11"/>
  <c r="C25" i="11" s="1"/>
  <c r="C22" i="11" s="1"/>
  <c r="C29" i="43"/>
  <c r="T6" i="1"/>
  <c r="AQ6" i="1"/>
  <c r="E6" i="70"/>
  <c r="E2" i="70" s="1"/>
  <c r="AR6" i="1"/>
  <c r="S16" i="1"/>
  <c r="C32" i="15"/>
  <c r="C20" i="67"/>
  <c r="C26" i="67" s="1"/>
  <c r="C38" i="15"/>
  <c r="C60" i="67"/>
  <c r="C66" i="67"/>
  <c r="C38" i="67"/>
  <c r="C32" i="67"/>
  <c r="C14" i="15"/>
  <c r="G52" i="39" l="1"/>
  <c r="H52" i="39" s="1"/>
  <c r="C39" i="11"/>
  <c r="C43" i="11" s="1"/>
  <c r="C41" i="11" s="1"/>
  <c r="E47" i="39"/>
  <c r="R48" i="39"/>
  <c r="R20" i="6"/>
  <c r="R25" i="6"/>
  <c r="C15" i="74"/>
  <c r="B2" i="74" s="1"/>
  <c r="C18" i="15"/>
  <c r="C15" i="15"/>
  <c r="R21" i="6"/>
  <c r="D30" i="6"/>
  <c r="R23" i="6"/>
  <c r="A7" i="51"/>
  <c r="B7" i="72" s="1"/>
  <c r="C4" i="52"/>
  <c r="B45" i="72" s="1"/>
  <c r="A10" i="51"/>
  <c r="B9" i="72" s="1"/>
  <c r="R19" i="6"/>
  <c r="D27" i="6"/>
  <c r="D31" i="6" s="1"/>
  <c r="C46" i="11"/>
  <c r="C45" i="11" s="1"/>
  <c r="C10" i="68"/>
  <c r="D19" i="68"/>
  <c r="C21" i="12"/>
  <c r="E29" i="43"/>
  <c r="C26" i="43" s="1"/>
  <c r="C30" i="43"/>
  <c r="E30" i="43" s="1"/>
  <c r="C27" i="43" s="1"/>
  <c r="T16" i="1"/>
  <c r="C28" i="11"/>
  <c r="C27" i="11" s="1"/>
  <c r="C31" i="11" s="1"/>
  <c r="R24" i="6"/>
  <c r="R22" i="6"/>
  <c r="D16" i="6"/>
  <c r="R26" i="6"/>
  <c r="H27" i="6"/>
  <c r="S19" i="6"/>
  <c r="S27" i="6" s="1"/>
  <c r="I27" i="6"/>
  <c r="D19" i="69"/>
  <c r="C10" i="69"/>
  <c r="C8" i="69" s="1"/>
  <c r="C5" i="69" s="1"/>
  <c r="C23" i="67"/>
  <c r="C29" i="67" s="1"/>
  <c r="E6" i="76"/>
  <c r="C49" i="11" l="1"/>
  <c r="C51" i="11" s="1"/>
  <c r="C52" i="11" s="1"/>
  <c r="B2" i="11" s="1"/>
  <c r="B3" i="11" s="1"/>
  <c r="E52" i="39"/>
  <c r="F52" i="39" s="1"/>
  <c r="E51" i="39"/>
  <c r="F51" i="39" s="1"/>
  <c r="I52" i="39"/>
  <c r="J52" i="39" s="1"/>
  <c r="C47" i="39"/>
  <c r="C48" i="39"/>
  <c r="C19" i="15"/>
  <c r="C20" i="15" s="1"/>
  <c r="C23" i="15" s="1"/>
  <c r="D8" i="74"/>
  <c r="D7" i="74"/>
  <c r="E2" i="76"/>
  <c r="C23" i="69"/>
  <c r="C19" i="69"/>
  <c r="D37" i="69"/>
  <c r="C37" i="69" s="1"/>
  <c r="C33" i="69" s="1"/>
  <c r="C22" i="12"/>
  <c r="C30" i="12" s="1"/>
  <c r="C28" i="12" s="1"/>
  <c r="I6" i="6"/>
  <c r="I5" i="6"/>
  <c r="B2" i="43"/>
  <c r="C19" i="68"/>
  <c r="D37" i="68"/>
  <c r="C37" i="68" s="1"/>
  <c r="C33" i="68" s="1"/>
  <c r="R6" i="1"/>
  <c r="R27" i="6"/>
  <c r="J14" i="67"/>
  <c r="C33" i="67"/>
  <c r="C31" i="67" s="1"/>
  <c r="C13" i="67"/>
  <c r="C57" i="67"/>
  <c r="C36" i="67"/>
  <c r="J19" i="67"/>
  <c r="J17" i="67" s="1"/>
  <c r="Q49" i="67"/>
  <c r="J59" i="67"/>
  <c r="J60" i="67" s="1"/>
  <c r="M21" i="15"/>
  <c r="B6" i="76"/>
  <c r="F35" i="15"/>
  <c r="B65" i="39" l="1"/>
  <c r="F65" i="39" s="1"/>
  <c r="B59" i="39"/>
  <c r="F59" i="39" s="1"/>
  <c r="B60" i="39"/>
  <c r="F60" i="39" s="1"/>
  <c r="B56" i="39"/>
  <c r="F56" i="39" s="1"/>
  <c r="F66" i="39" s="1"/>
  <c r="B2" i="39" s="1"/>
  <c r="B3" i="39" s="1"/>
  <c r="B58" i="39"/>
  <c r="F58" i="39" s="1"/>
  <c r="B61" i="39"/>
  <c r="F61" i="39" s="1"/>
  <c r="B63" i="39"/>
  <c r="F63" i="39" s="1"/>
  <c r="B64" i="39"/>
  <c r="F64" i="39" s="1"/>
  <c r="B62" i="39"/>
  <c r="F62" i="39" s="1"/>
  <c r="B57" i="39"/>
  <c r="F57" i="39" s="1"/>
  <c r="C56" i="11"/>
  <c r="C57" i="11" s="1"/>
  <c r="C27" i="12"/>
  <c r="C25" i="12" s="1"/>
  <c r="C32" i="12" s="1"/>
  <c r="B2" i="12" s="1"/>
  <c r="B3" i="12" s="1"/>
  <c r="B2" i="76"/>
  <c r="B3" i="76" s="1"/>
  <c r="C34" i="15"/>
  <c r="C31" i="15" s="1"/>
  <c r="F63" i="15"/>
  <c r="C62" i="15" s="1"/>
  <c r="J20" i="15"/>
  <c r="C20" i="68"/>
  <c r="C24" i="68"/>
  <c r="C39" i="69"/>
  <c r="C43" i="69" s="1"/>
  <c r="C42" i="69"/>
  <c r="C26" i="15"/>
  <c r="C29" i="15" s="1"/>
  <c r="C39" i="68"/>
  <c r="C43" i="68" s="1"/>
  <c r="C42" i="68"/>
  <c r="C46" i="68"/>
  <c r="C45" i="68" s="1"/>
  <c r="B3" i="43"/>
  <c r="C20" i="69"/>
  <c r="C25" i="69" s="1"/>
  <c r="C24" i="69"/>
  <c r="R16" i="1"/>
  <c r="L46" i="67"/>
  <c r="Q48" i="67"/>
  <c r="C64" i="67"/>
  <c r="C61" i="67"/>
  <c r="C59" i="67" s="1"/>
  <c r="C75" i="67"/>
  <c r="C56" i="67"/>
  <c r="C65" i="67" s="1"/>
  <c r="Q70" i="67"/>
  <c r="C37" i="67"/>
  <c r="C30" i="67" s="1"/>
  <c r="C39" i="67" s="1"/>
  <c r="J13" i="67"/>
  <c r="J23" i="67" s="1"/>
  <c r="J22" i="67"/>
  <c r="L51" i="67"/>
  <c r="C28" i="69" l="1"/>
  <c r="C27" i="69" s="1"/>
  <c r="C22" i="69"/>
  <c r="C41" i="68"/>
  <c r="C49" i="68" s="1"/>
  <c r="C51" i="68" s="1"/>
  <c r="C41" i="69"/>
  <c r="J59" i="15"/>
  <c r="J60" i="15" s="1"/>
  <c r="C57" i="15"/>
  <c r="C13" i="15"/>
  <c r="J14" i="15"/>
  <c r="C36" i="15"/>
  <c r="Q49" i="15"/>
  <c r="J19" i="15"/>
  <c r="J17" i="15" s="1"/>
  <c r="C28" i="68"/>
  <c r="C27" i="68" s="1"/>
  <c r="C25" i="68"/>
  <c r="C22" i="68" s="1"/>
  <c r="C46" i="69"/>
  <c r="C45" i="69" s="1"/>
  <c r="C80" i="67"/>
  <c r="C79" i="67" s="1"/>
  <c r="Q67" i="67"/>
  <c r="L57" i="67"/>
  <c r="L60" i="67" s="1"/>
  <c r="Q66" i="67" s="1"/>
  <c r="J16" i="67"/>
  <c r="J25" i="67" s="1"/>
  <c r="Q69" i="67"/>
  <c r="Q68" i="67" s="1"/>
  <c r="C40" i="67"/>
  <c r="C58" i="67"/>
  <c r="C67" i="67" s="1"/>
  <c r="C68" i="67" s="1"/>
  <c r="C31" i="69" l="1"/>
  <c r="C49" i="69"/>
  <c r="C51" i="69" s="1"/>
  <c r="C52" i="69" s="1"/>
  <c r="B2" i="69" s="1"/>
  <c r="B3" i="69" s="1"/>
  <c r="C31" i="68"/>
  <c r="C52" i="68" s="1"/>
  <c r="B2" i="68" s="1"/>
  <c r="B3" i="68" s="1"/>
  <c r="J22" i="15"/>
  <c r="J13" i="15"/>
  <c r="J23" i="15" s="1"/>
  <c r="C64" i="15"/>
  <c r="C61" i="15"/>
  <c r="C59" i="15" s="1"/>
  <c r="Q70" i="15"/>
  <c r="C56" i="15"/>
  <c r="C65" i="15" s="1"/>
  <c r="C75" i="15"/>
  <c r="C37" i="15"/>
  <c r="C30" i="15" s="1"/>
  <c r="C39" i="15" s="1"/>
  <c r="L46" i="15"/>
  <c r="Q48" i="15"/>
  <c r="Q57" i="67"/>
  <c r="D2" i="67"/>
  <c r="Q56" i="67"/>
  <c r="C83" i="67"/>
  <c r="C82" i="67" s="1"/>
  <c r="C43" i="67"/>
  <c r="Q47" i="67"/>
  <c r="Q53" i="67" s="1"/>
  <c r="Q65" i="67"/>
  <c r="Q75" i="67" s="1"/>
  <c r="C71" i="67"/>
  <c r="C45" i="67"/>
  <c r="C46" i="67" s="1"/>
  <c r="L51" i="15"/>
  <c r="J16" i="15" l="1"/>
  <c r="J25" i="15" s="1"/>
  <c r="C57" i="68"/>
  <c r="C56" i="68" s="1"/>
  <c r="C57" i="69"/>
  <c r="C56" i="69" s="1"/>
  <c r="Q67" i="15"/>
  <c r="C58" i="15"/>
  <c r="C67" i="15" s="1"/>
  <c r="C68" i="15" s="1"/>
  <c r="C80" i="15"/>
  <c r="C79" i="15" s="1"/>
  <c r="C40" i="15"/>
  <c r="Q69" i="15"/>
  <c r="Q68" i="15" s="1"/>
  <c r="Q62" i="67"/>
  <c r="B3" i="67"/>
  <c r="B2" i="67"/>
  <c r="B2" i="15" l="1"/>
  <c r="Q56" i="15"/>
  <c r="Q62" i="15" s="1"/>
  <c r="C43" i="15"/>
  <c r="Q65" i="15"/>
  <c r="Q75" i="15" s="1"/>
  <c r="Q47" i="15"/>
  <c r="Q53" i="15" s="1"/>
  <c r="C83" i="15"/>
  <c r="C82" i="15" s="1"/>
  <c r="C71" i="15"/>
  <c r="C46" i="15"/>
  <c r="D19" i="9"/>
  <c r="AO6" i="1"/>
  <c r="D21" i="9" l="1"/>
  <c r="D102" i="9"/>
  <c r="G19" i="9"/>
  <c r="D22" i="9"/>
  <c r="B6" i="70"/>
  <c r="B2" i="70" s="1"/>
  <c r="B3" i="70" s="1"/>
  <c r="B3" i="15"/>
  <c r="D34" i="9"/>
  <c r="D35" i="9"/>
  <c r="D20" i="9"/>
  <c r="G20" i="9" l="1"/>
  <c r="R24" i="31" s="1"/>
  <c r="G2" i="78" s="1"/>
  <c r="D103" i="9"/>
  <c r="G21" i="9"/>
  <c r="C32" i="9"/>
  <c r="R33" i="31" l="1"/>
  <c r="R35" i="31"/>
  <c r="G13" i="78" s="1"/>
  <c r="R37" i="31"/>
  <c r="G15" i="78" s="1"/>
  <c r="R39" i="31"/>
  <c r="G17" i="78" s="1"/>
  <c r="R41" i="31"/>
  <c r="G19" i="78" s="1"/>
  <c r="R43" i="31"/>
  <c r="R45" i="31"/>
  <c r="R47" i="31"/>
  <c r="R49" i="31"/>
  <c r="R51" i="31"/>
  <c r="R53" i="31"/>
  <c r="R55" i="31"/>
  <c r="R57" i="31"/>
  <c r="G35" i="78" s="1"/>
  <c r="R59" i="31"/>
  <c r="G37" i="78" s="1"/>
  <c r="R61" i="31"/>
  <c r="G39" i="78" s="1"/>
  <c r="R63" i="31"/>
  <c r="G41" i="78" s="1"/>
  <c r="R65" i="31"/>
  <c r="G43" i="78" s="1"/>
  <c r="R67" i="31"/>
  <c r="G45" i="78" s="1"/>
  <c r="R69" i="31"/>
  <c r="G47" i="78" s="1"/>
  <c r="R71" i="31"/>
  <c r="G49" i="78" s="1"/>
  <c r="R73" i="31"/>
  <c r="G51" i="78" s="1"/>
  <c r="R75" i="31"/>
  <c r="G53" i="78" s="1"/>
  <c r="R77" i="31"/>
  <c r="G55" i="78" s="1"/>
  <c r="R79" i="31"/>
  <c r="G57" i="78" s="1"/>
  <c r="R81" i="31"/>
  <c r="G59" i="78" s="1"/>
  <c r="R83" i="31"/>
  <c r="G61" i="78" s="1"/>
  <c r="R85" i="31"/>
  <c r="G63" i="78" s="1"/>
  <c r="R87" i="31"/>
  <c r="G65" i="78" s="1"/>
  <c r="R89" i="31"/>
  <c r="G67" i="78" s="1"/>
  <c r="R91" i="31"/>
  <c r="R93" i="31"/>
  <c r="R95" i="31"/>
  <c r="R32" i="31"/>
  <c r="R34" i="31"/>
  <c r="G12" i="78" s="1"/>
  <c r="R36" i="31"/>
  <c r="G14" i="78" s="1"/>
  <c r="R38" i="31"/>
  <c r="G16" i="78" s="1"/>
  <c r="R40" i="31"/>
  <c r="G18" i="78" s="1"/>
  <c r="R42" i="31"/>
  <c r="R44" i="31"/>
  <c r="R46" i="31"/>
  <c r="R48" i="31"/>
  <c r="R50" i="31"/>
  <c r="R52" i="31"/>
  <c r="R54" i="31"/>
  <c r="R56" i="31"/>
  <c r="R58" i="31"/>
  <c r="G36" i="78" s="1"/>
  <c r="R60" i="31"/>
  <c r="G38" i="78" s="1"/>
  <c r="R62" i="31"/>
  <c r="G40" i="78" s="1"/>
  <c r="R64" i="31"/>
  <c r="G42" i="78" s="1"/>
  <c r="R66" i="31"/>
  <c r="G44" i="78" s="1"/>
  <c r="R68" i="31"/>
  <c r="G46" i="78" s="1"/>
  <c r="R70" i="31"/>
  <c r="G48" i="78" s="1"/>
  <c r="R72" i="31"/>
  <c r="G50" i="78" s="1"/>
  <c r="R74" i="31"/>
  <c r="G52" i="78" s="1"/>
  <c r="R76" i="31"/>
  <c r="G54" i="78" s="1"/>
  <c r="R78" i="31"/>
  <c r="G56" i="78" s="1"/>
  <c r="R80" i="31"/>
  <c r="G58" i="78" s="1"/>
  <c r="R82" i="31"/>
  <c r="G60" i="78" s="1"/>
  <c r="R84" i="31"/>
  <c r="G62" i="78" s="1"/>
  <c r="R86" i="31"/>
  <c r="G64" i="78" s="1"/>
  <c r="R88" i="31"/>
  <c r="G66" i="78" s="1"/>
  <c r="R90" i="31"/>
  <c r="R92" i="31"/>
  <c r="R94" i="31"/>
  <c r="R25" i="31"/>
  <c r="R26" i="31"/>
  <c r="R31" i="31"/>
  <c r="R28" i="31"/>
  <c r="S24" i="31"/>
  <c r="H2" i="78" s="1"/>
  <c r="R29" i="31"/>
  <c r="R30" i="31"/>
  <c r="R27" i="31"/>
  <c r="H118" i="9"/>
  <c r="C35" i="9"/>
  <c r="F118" i="9" s="1"/>
  <c r="S27" i="31" l="1"/>
  <c r="H5" i="78" s="1"/>
  <c r="G5" i="78"/>
  <c r="S29" i="31"/>
  <c r="H7" i="78" s="1"/>
  <c r="G7" i="78"/>
  <c r="S28" i="31"/>
  <c r="H6" i="78" s="1"/>
  <c r="G6" i="78"/>
  <c r="S26" i="31"/>
  <c r="H4" i="78" s="1"/>
  <c r="G4" i="78"/>
  <c r="S94" i="31"/>
  <c r="S90" i="31"/>
  <c r="H68" i="78" s="1"/>
  <c r="G68" i="78"/>
  <c r="S86" i="31"/>
  <c r="H64" i="78" s="1"/>
  <c r="S82" i="31"/>
  <c r="H60" i="78" s="1"/>
  <c r="S78" i="31"/>
  <c r="H56" i="78" s="1"/>
  <c r="S74" i="31"/>
  <c r="H52" i="78" s="1"/>
  <c r="S70" i="31"/>
  <c r="H48" i="78" s="1"/>
  <c r="S66" i="31"/>
  <c r="H44" i="78" s="1"/>
  <c r="S62" i="31"/>
  <c r="H40" i="78" s="1"/>
  <c r="S58" i="31"/>
  <c r="H36" i="78" s="1"/>
  <c r="S54" i="31"/>
  <c r="H32" i="78" s="1"/>
  <c r="G32" i="78"/>
  <c r="S50" i="31"/>
  <c r="H28" i="78" s="1"/>
  <c r="G28" i="78"/>
  <c r="S46" i="31"/>
  <c r="H24" i="78" s="1"/>
  <c r="G24" i="78"/>
  <c r="S42" i="31"/>
  <c r="H20" i="78" s="1"/>
  <c r="G20" i="78"/>
  <c r="S38" i="31"/>
  <c r="H16" i="78" s="1"/>
  <c r="S34" i="31"/>
  <c r="H12" i="78" s="1"/>
  <c r="S95" i="31"/>
  <c r="S91" i="31"/>
  <c r="H69" i="78" s="1"/>
  <c r="G69" i="78"/>
  <c r="S87" i="31"/>
  <c r="H65" i="78" s="1"/>
  <c r="S83" i="31"/>
  <c r="H61" i="78" s="1"/>
  <c r="S79" i="31"/>
  <c r="H57" i="78" s="1"/>
  <c r="S75" i="31"/>
  <c r="H53" i="78" s="1"/>
  <c r="S71" i="31"/>
  <c r="H49" i="78" s="1"/>
  <c r="S67" i="31"/>
  <c r="H45" i="78" s="1"/>
  <c r="S63" i="31"/>
  <c r="H41" i="78" s="1"/>
  <c r="S59" i="31"/>
  <c r="H37" i="78" s="1"/>
  <c r="S55" i="31"/>
  <c r="H33" i="78" s="1"/>
  <c r="G33" i="78"/>
  <c r="S51" i="31"/>
  <c r="H29" i="78" s="1"/>
  <c r="G29" i="78"/>
  <c r="S47" i="31"/>
  <c r="H25" i="78" s="1"/>
  <c r="G25" i="78"/>
  <c r="S43" i="31"/>
  <c r="H21" i="78" s="1"/>
  <c r="G21" i="78"/>
  <c r="S39" i="31"/>
  <c r="H17" i="78" s="1"/>
  <c r="S35" i="31"/>
  <c r="H13" i="78" s="1"/>
  <c r="S30" i="31"/>
  <c r="H8" i="78" s="1"/>
  <c r="G8" i="78"/>
  <c r="S31" i="31"/>
  <c r="H9" i="78" s="1"/>
  <c r="G9" i="78"/>
  <c r="S25" i="31"/>
  <c r="H3" i="78" s="1"/>
  <c r="G3" i="78"/>
  <c r="S92" i="31"/>
  <c r="H70" i="78" s="1"/>
  <c r="G70" i="78"/>
  <c r="S88" i="31"/>
  <c r="H66" i="78" s="1"/>
  <c r="S84" i="31"/>
  <c r="H62" i="78" s="1"/>
  <c r="S80" i="31"/>
  <c r="H58" i="78" s="1"/>
  <c r="S76" i="31"/>
  <c r="H54" i="78" s="1"/>
  <c r="S72" i="31"/>
  <c r="H50" i="78" s="1"/>
  <c r="S68" i="31"/>
  <c r="H46" i="78" s="1"/>
  <c r="S64" i="31"/>
  <c r="H42" i="78" s="1"/>
  <c r="S60" i="31"/>
  <c r="H38" i="78" s="1"/>
  <c r="S56" i="31"/>
  <c r="H34" i="78" s="1"/>
  <c r="G34" i="78"/>
  <c r="S52" i="31"/>
  <c r="H30" i="78" s="1"/>
  <c r="G30" i="78"/>
  <c r="S48" i="31"/>
  <c r="H26" i="78" s="1"/>
  <c r="G26" i="78"/>
  <c r="S44" i="31"/>
  <c r="H22" i="78" s="1"/>
  <c r="G22" i="78"/>
  <c r="S40" i="31"/>
  <c r="H18" i="78" s="1"/>
  <c r="S36" i="31"/>
  <c r="H14" i="78" s="1"/>
  <c r="S32" i="31"/>
  <c r="H10" i="78" s="1"/>
  <c r="G10" i="78"/>
  <c r="S93" i="31"/>
  <c r="S89" i="31"/>
  <c r="H67" i="78" s="1"/>
  <c r="S85" i="31"/>
  <c r="H63" i="78" s="1"/>
  <c r="S81" i="31"/>
  <c r="H59" i="78" s="1"/>
  <c r="S77" i="31"/>
  <c r="H55" i="78" s="1"/>
  <c r="S73" i="31"/>
  <c r="H51" i="78" s="1"/>
  <c r="S69" i="31"/>
  <c r="H47" i="78" s="1"/>
  <c r="S65" i="31"/>
  <c r="H43" i="78" s="1"/>
  <c r="S61" i="31"/>
  <c r="H39" i="78" s="1"/>
  <c r="S57" i="31"/>
  <c r="H35" i="78" s="1"/>
  <c r="S53" i="31"/>
  <c r="H31" i="78" s="1"/>
  <c r="G31" i="78"/>
  <c r="S49" i="31"/>
  <c r="H27" i="78" s="1"/>
  <c r="G27" i="78"/>
  <c r="S45" i="31"/>
  <c r="H23" i="78" s="1"/>
  <c r="G23" i="78"/>
  <c r="S41" i="31"/>
  <c r="H19" i="78" s="1"/>
  <c r="S37" i="31"/>
  <c r="H15" i="78" s="1"/>
  <c r="S33" i="31"/>
  <c r="H11" i="78" s="1"/>
  <c r="G11" i="78"/>
  <c r="F119" i="9"/>
  <c r="F5" i="52" s="1"/>
  <c r="B53" i="72" s="1"/>
  <c r="G118" i="9"/>
  <c r="G4" i="52" s="1"/>
  <c r="B52" i="72" s="1"/>
  <c r="F4" i="52"/>
  <c r="B51" i="72" s="1"/>
  <c r="C34" i="9"/>
  <c r="D118" i="9" s="1"/>
  <c r="I118" i="9"/>
  <c r="D14" i="74"/>
  <c r="C104" i="9"/>
  <c r="H119" i="9"/>
  <c r="H5" i="52" s="1"/>
  <c r="H4" i="52"/>
  <c r="H101" i="9"/>
  <c r="S22" i="31" l="1"/>
  <c r="R22" i="31" s="1"/>
  <c r="H71" i="78"/>
  <c r="H73" i="78" s="1"/>
  <c r="C105" i="9"/>
  <c r="I4" i="52"/>
  <c r="E118" i="9"/>
  <c r="E4" i="52" s="1"/>
  <c r="B48" i="72" s="1"/>
  <c r="H102" i="9"/>
  <c r="D7" i="53" s="1"/>
  <c r="B21" i="72" s="1"/>
  <c r="H107" i="9"/>
  <c r="D5" i="53"/>
  <c r="M48" i="9"/>
  <c r="D45" i="9"/>
  <c r="F14" i="74"/>
  <c r="E14" i="74"/>
  <c r="D119" i="9"/>
  <c r="D5" i="52" s="1"/>
  <c r="B49" i="72" s="1"/>
  <c r="D4" i="52"/>
  <c r="B47" i="72" s="1"/>
  <c r="D15" i="74" l="1"/>
  <c r="B5" i="74" s="1"/>
  <c r="C5" i="74" s="1"/>
  <c r="B20" i="31"/>
  <c r="B21" i="31"/>
  <c r="U27" i="31"/>
  <c r="U28" i="31" s="1"/>
  <c r="C72" i="9"/>
  <c r="C93" i="9"/>
  <c r="C86" i="9" s="1"/>
  <c r="C85" i="9"/>
  <c r="D55" i="9"/>
  <c r="M53" i="9" s="1"/>
  <c r="D53" i="9"/>
  <c r="C64" i="9"/>
  <c r="C63" i="9" s="1"/>
  <c r="C67" i="9" s="1"/>
  <c r="C68" i="9" s="1"/>
  <c r="D54" i="9" s="1"/>
  <c r="D52" i="9"/>
  <c r="C78" i="9"/>
  <c r="C73" i="9" s="1"/>
  <c r="B20" i="72"/>
  <c r="D6" i="53"/>
  <c r="B22" i="72" s="1"/>
  <c r="D5" i="74"/>
  <c r="D13" i="53"/>
  <c r="D122" i="9"/>
  <c r="H108" i="9"/>
  <c r="D15" i="53" s="1"/>
  <c r="B31" i="72" s="1"/>
  <c r="G15" i="74"/>
  <c r="E15" i="74" l="1"/>
  <c r="F15" i="74"/>
  <c r="C95" i="9"/>
  <c r="C96" i="9" s="1"/>
  <c r="E96" i="9" s="1"/>
  <c r="E97" i="9" s="1"/>
  <c r="D123" i="9"/>
  <c r="D9" i="52" s="1"/>
  <c r="G14" i="74"/>
  <c r="B6" i="74" s="1"/>
  <c r="D8" i="52"/>
  <c r="D14" i="53"/>
  <c r="B32" i="72" s="1"/>
  <c r="B30" i="72"/>
  <c r="C79" i="9"/>
  <c r="C97" i="9" l="1"/>
  <c r="D58" i="9" s="1"/>
  <c r="D56" i="9" s="1"/>
  <c r="M54" i="9" s="1"/>
  <c r="N57" i="9" s="1"/>
  <c r="N59" i="9" s="1"/>
  <c r="C80" i="9"/>
  <c r="E80" i="9" s="1"/>
  <c r="E81" i="9" s="1"/>
  <c r="D6" i="74"/>
  <c r="C6" i="74"/>
  <c r="P57" i="9" l="1"/>
  <c r="N58"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<sst xmlns="http://schemas.openxmlformats.org/spreadsheetml/2006/main" count="7602" uniqueCount="3339">
  <si>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</si>
  <si>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</si>
  <si>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</si>
  <si>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</si>
  <si>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</si>
  <si>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</si>
  <si>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</si>
  <si>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</si>
  <si>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</si>
  <si>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</si>
  <si>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</si>
  <si>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</si>
  <si>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</si>
  <si>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</si>
  <si>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</si>
  <si>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</si>
  <si>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</si>
  <si>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</si>
  <si>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</si>
  <si>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</si>
  <si>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</si>
  <si>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</si>
  <si>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</si>
  <si>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</si>
  <si>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</si>
  <si>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</si>
  <si>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</si>
  <si>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</si>
  <si>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</si>
  <si>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</si>
  <si>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</si>
  <si>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</si>
  <si>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</si>
  <si>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</si>
  <si>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</si>
  <si>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</si>
  <si>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</si>
  <si>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</si>
  <si>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</si>
  <si>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</si>
  <si>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</si>
  <si>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</si>
  <si>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</si>
  <si>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</si>
  <si>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</si>
  <si>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</si>
  <si>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</si>
  <si>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</si>
  <si>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</si>
  <si>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</si>
  <si>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</si>
  <si>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</si>
  <si>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</si>
  <si>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</si>
  <si>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</si>
  <si>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</si>
  <si>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</si>
  <si>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</si>
  <si>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</si>
  <si>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</si>
  <si>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</si>
  <si>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</si>
  <si>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</si>
  <si>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</si>
  <si>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</si>
  <si>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</si>
  <si>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</si>
  <si>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</si>
  <si>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</si>
  <si>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</si>
  <si>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</si>
  <si>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</si>
  <si>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</si>
  <si>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</si>
  <si>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</si>
  <si>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</si>
  <si>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</si>
  <si>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</si>
  <si>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</si>
  <si>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</si>
  <si>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</si>
  <si>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</si>
  <si>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</si>
  <si>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</si>
  <si>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</si>
  <si>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</si>
  <si>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</si>
  <si>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</si>
  <si>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</si>
  <si>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</si>
  <si>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</si>
  <si>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</si>
  <si>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</si>
  <si>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</si>
  <si>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</si>
  <si>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</si>
  <si>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</si>
  <si>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</si>
  <si>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</si>
  <si>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</si>
  <si>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</si>
  <si>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</si>
  <si>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</si>
  <si>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</si>
  <si>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</si>
  <si>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</si>
  <si>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</si>
  <si>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</si>
  <si>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</si>
  <si>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</si>
  <si>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</si>
  <si>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</si>
  <si>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</si>
  <si>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</si>
  <si>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</si>
  <si>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</si>
  <si>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</si>
  <si>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</si>
  <si>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</si>
  <si>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</si>
  <si>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</si>
  <si>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</si>
  <si>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</si>
  <si>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</si>
  <si>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</si>
  <si>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</si>
  <si>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</si>
  <si>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</si>
  <si>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</si>
  <si>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</si>
  <si>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</si>
  <si>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</si>
  <si>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</si>
  <si>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</si>
  <si>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</si>
  <si>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</si>
  <si>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</si>
  <si>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</si>
  <si>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</si>
  <si>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</si>
  <si>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</si>
  <si>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</si>
  <si>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</si>
  <si>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</si>
  <si>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</si>
  <si>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</si>
  <si>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</si>
  <si>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</si>
  <si>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</si>
  <si>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</si>
  <si>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</si>
  <si>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</si>
  <si>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</si>
  <si>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</si>
  <si>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</si>
  <si>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</si>
  <si>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</si>
  <si>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</si>
  <si>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</si>
  <si>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</si>
  <si>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</si>
  <si>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</si>
  <si>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</si>
  <si>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</si>
  <si>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</si>
  <si>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</si>
  <si>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</si>
  <si>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</si>
  <si>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</si>
  <si>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</si>
  <si>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</si>
  <si>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</si>
  <si>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</si>
  <si>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</si>
  <si>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</si>
  <si>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</si>
  <si>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</si>
  <si>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</si>
  <si>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</si>
  <si>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</si>
  <si>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</si>
  <si>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</si>
  <si>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</si>
  <si>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</si>
  <si>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</si>
  <si>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</si>
  <si>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</si>
  <si>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</si>
  <si>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</si>
  <si>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</si>
  <si>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</si>
  <si>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</si>
  <si>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</si>
  <si>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</si>
  <si>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</si>
  <si>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</si>
  <si>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</si>
  <si>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</si>
  <si>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</si>
  <si>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</si>
  <si>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</si>
  <si>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</si>
  <si>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</si>
  <si>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</si>
  <si>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</si>
  <si>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</si>
  <si>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</si>
  <si>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</si>
  <si>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</si>
  <si>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</si>
  <si>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</si>
  <si>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</si>
  <si>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</si>
  <si>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</si>
  <si>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</si>
  <si>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</si>
  <si>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</si>
  <si>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</si>
  <si>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</si>
  <si>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</si>
  <si>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</si>
  <si>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</si>
  <si>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</si>
  <si>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</si>
  <si>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</si>
  <si>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</si>
  <si>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</si>
  <si>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</si>
  <si>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</si>
  <si>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</si>
  <si>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</si>
  <si>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</si>
  <si>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</si>
  <si>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</si>
  <si>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</si>
  <si>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</si>
  <si>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</si>
  <si>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</si>
  <si>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</si>
  <si>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</si>
  <si>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</si>
  <si>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</si>
  <si>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</si>
  <si>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</si>
  <si>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</si>
  <si>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</si>
  <si>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</si>
  <si>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</si>
  <si>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</si>
  <si>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</si>
  <si>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</si>
  <si>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</si>
  <si>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</si>
  <si>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</si>
  <si>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</si>
  <si>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</si>
  <si>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</si>
  <si>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</si>
  <si>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</si>
  <si>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</si>
  <si>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</si>
  <si>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</si>
  <si>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</si>
  <si>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</si>
  <si>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</si>
  <si>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</si>
  <si>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</si>
  <si>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</si>
  <si>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</si>
  <si>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</si>
  <si>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</si>
  <si>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</si>
  <si>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</si>
  <si>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</si>
  <si>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</si>
  <si>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</si>
  <si>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</si>
  <si>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</si>
  <si>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</si>
  <si>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</si>
  <si>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</si>
  <si>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</si>
  <si>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</si>
  <si>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</si>
  <si>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</si>
  <si>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</si>
  <si>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</si>
  <si>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</si>
  <si>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</si>
  <si>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</si>
  <si>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</si>
  <si>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</si>
  <si>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</si>
  <si>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</si>
  <si>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</si>
  <si>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</si>
  <si>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</si>
  <si>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</si>
  <si>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</si>
  <si>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</si>
  <si>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</si>
  <si>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</si>
  <si>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</si>
  <si>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</si>
  <si>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</si>
  <si>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</si>
  <si>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</si>
  <si>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</si>
  <si>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</si>
  <si>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</si>
  <si>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</si>
  <si>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</si>
  <si>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</si>
  <si>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</si>
  <si>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</si>
  <si>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</si>
  <si>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</si>
  <si>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</si>
  <si>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</si>
  <si>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</si>
  <si>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</si>
  <si>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</si>
  <si>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</si>
  <si>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</si>
  <si>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</si>
  <si>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</si>
  <si>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</si>
  <si>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</si>
  <si>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</si>
  <si>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</si>
  <si>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</si>
  <si>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</si>
  <si>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</si>
  <si>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</si>
  <si>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</si>
  <si>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</si>
  <si>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</si>
  <si>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</si>
  <si>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</si>
  <si>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</si>
  <si>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</si>
  <si>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</si>
  <si>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</si>
  <si>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</si>
  <si>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</si>
  <si>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</si>
  <si>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</si>
  <si>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</si>
  <si>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</si>
  <si>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</si>
  <si>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</si>
  <si>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</si>
  <si>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</si>
  <si>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</si>
  <si>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</si>
  <si>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</si>
  <si>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</si>
  <si>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</si>
  <si>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</si>
  <si>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</si>
  <si>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</si>
  <si>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</si>
  <si>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</si>
  <si>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</si>
  <si>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</si>
  <si>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</si>
  <si>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</si>
  <si>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</si>
  <si>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</si>
  <si>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</si>
  <si>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</si>
  <si>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</si>
  <si>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</si>
  <si>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</si>
  <si>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</si>
  <si>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</si>
  <si>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</si>
  <si>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</si>
  <si>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</si>
  <si>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</si>
  <si>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</si>
  <si>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</si>
  <si>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</si>
  <si>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</si>
  <si>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</si>
  <si>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</si>
  <si>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</si>
  <si>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</si>
  <si>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</si>
  <si>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</si>
  <si>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</si>
  <si>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</si>
  <si>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</si>
  <si>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</si>
  <si>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</si>
  <si>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</si>
  <si>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</si>
  <si>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</si>
  <si>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</si>
  <si>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</si>
  <si>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</si>
  <si>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</si>
  <si>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</si>
  <si>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</si>
  <si>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</si>
  <si>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</si>
  <si>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</si>
  <si>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</si>
  <si>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</si>
  <si>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</si>
  <si>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</si>
  <si>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</si>
  <si>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</si>
  <si>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</si>
  <si>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</si>
  <si>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</si>
  <si>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</si>
  <si>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</si>
  <si>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</si>
  <si>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</si>
  <si>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</si>
  <si>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</si>
  <si>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</si>
  <si>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</si>
  <si>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</si>
  <si>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</si>
  <si>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</si>
  <si>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</si>
  <si>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</si>
  <si>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</si>
  <si>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</si>
  <si>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</si>
  <si>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</si>
  <si>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</si>
  <si>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</si>
  <si>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</si>
  <si>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</si>
  <si>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</si>
  <si>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</si>
  <si>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</si>
  <si>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</si>
  <si>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</si>
  <si>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</si>
  <si>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</si>
  <si>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</si>
  <si>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</si>
  <si>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</si>
  <si>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</si>
  <si>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</si>
  <si>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</si>
  <si>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</si>
  <si>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</si>
  <si>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</si>
  <si>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</si>
  <si>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</si>
  <si>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</si>
  <si>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</si>
  <si>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</si>
  <si>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</si>
  <si>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</si>
  <si>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</si>
  <si>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</si>
  <si>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</si>
  <si>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</si>
  <si>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</si>
  <si>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</si>
  <si>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</si>
  <si>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</si>
  <si>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</si>
  <si>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</si>
  <si>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</si>
  <si>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</si>
  <si>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</si>
  <si>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</si>
  <si>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</si>
  <si>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</si>
  <si>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</si>
  <si>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</si>
  <si>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</si>
  <si>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</si>
  <si>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</si>
  <si>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</si>
  <si>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</si>
  <si>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</si>
  <si>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</si>
  <si>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</si>
  <si>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</si>
  <si>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</si>
  <si>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</si>
  <si>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</si>
  <si>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</si>
  <si>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</si>
  <si>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</si>
  <si>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</si>
  <si>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</si>
  <si>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</si>
  <si>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</si>
  <si>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</si>
  <si>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</si>
  <si>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</si>
  <si>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</si>
  <si>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</si>
  <si>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</si>
  <si>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</si>
  <si>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</si>
  <si>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</si>
  <si>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</si>
  <si>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</si>
  <si>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</si>
  <si>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</si>
  <si>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</si>
  <si>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</si>
  <si>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</si>
  <si>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</si>
  <si>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</si>
  <si>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</si>
  <si>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</si>
  <si>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</si>
  <si>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</si>
  <si>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</si>
  <si>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</si>
  <si>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</si>
  <si>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</si>
  <si>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</si>
  <si>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</si>
  <si>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</si>
  <si>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</si>
  <si>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</si>
  <si>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</si>
  <si>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</si>
  <si>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</si>
  <si>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</si>
  <si>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</si>
  <si>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</si>
  <si>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</si>
  <si>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</si>
  <si>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</si>
  <si>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</si>
  <si>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</si>
  <si>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</si>
  <si>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</si>
  <si>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</si>
  <si>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</si>
  <si>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</si>
  <si>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</si>
  <si>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</si>
  <si>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</si>
  <si>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</si>
  <si>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</si>
  <si>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</si>
  <si>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</si>
  <si>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</si>
  <si>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</si>
  <si>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</si>
  <si>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</si>
  <si>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</si>
  <si>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</si>
  <si>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</si>
  <si>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</si>
  <si>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</si>
  <si>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</si>
  <si>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</si>
  <si>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</si>
  <si>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</si>
  <si>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</si>
  <si>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</si>
  <si>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</si>
  <si>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</si>
  <si>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</si>
  <si>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</si>
  <si>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</si>
  <si>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</si>
  <si>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</si>
  <si>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</si>
  <si>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</si>
  <si>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</si>
  <si>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</si>
  <si>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</si>
  <si>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</si>
  <si>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</si>
  <si>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</si>
  <si>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</si>
  <si>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</si>
  <si>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</si>
  <si>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</si>
  <si>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</si>
  <si>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</si>
  <si>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</si>
  <si>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</si>
  <si>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</si>
  <si>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</si>
  <si>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</si>
  <si>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</si>
  <si>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</si>
  <si>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</si>
  <si>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</si>
  <si>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</si>
  <si>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</si>
  <si>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</si>
  <si>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</si>
  <si>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</si>
  <si>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</si>
  <si>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</si>
  <si>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</si>
  <si>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</si>
  <si>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</si>
  <si>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</si>
  <si>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</si>
  <si>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</si>
  <si>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</si>
  <si>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</si>
  <si>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</si>
  <si>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</si>
  <si>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</si>
  <si>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</si>
  <si>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</si>
  <si>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</si>
  <si>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</si>
  <si>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</si>
  <si>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</si>
  <si>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</si>
  <si>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</si>
  <si>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</si>
  <si>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</si>
  <si>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</si>
  <si>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</si>
  <si>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</si>
  <si>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</si>
  <si>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</si>
  <si>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</si>
  <si>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</si>
  <si>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</si>
  <si>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</si>
  <si>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</si>
  <si>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</si>
  <si>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</si>
  <si>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</si>
  <si>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</si>
  <si>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</si>
  <si>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</si>
  <si>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</si>
  <si>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</si>
  <si>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</si>
  <si>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</si>
  <si>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</si>
  <si>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</si>
  <si>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</si>
  <si>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</si>
  <si>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</si>
  <si>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</si>
  <si>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</si>
  <si>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</si>
  <si>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</si>
  <si>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</si>
  <si>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</si>
  <si>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</si>
  <si>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</si>
  <si>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</si>
  <si>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</si>
  <si>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</si>
  <si>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</si>
  <si>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</si>
  <si>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</si>
  <si>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</si>
  <si>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</si>
  <si>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</si>
  <si>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</si>
  <si>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</si>
  <si>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</si>
  <si>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</si>
  <si>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</si>
  <si>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</si>
  <si>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</si>
  <si>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</si>
  <si>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</si>
  <si>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</si>
  <si>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</si>
  <si>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</si>
  <si>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</si>
  <si>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</si>
  <si>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</si>
  <si>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</si>
  <si>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</si>
  <si>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</si>
  <si>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</si>
  <si>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</si>
  <si>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</si>
  <si>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</si>
  <si>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</si>
  <si>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</si>
  <si>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</si>
  <si>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</si>
  <si>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</si>
  <si>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</si>
  <si>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</si>
  <si>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</si>
  <si>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</si>
  <si>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</si>
  <si>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</si>
  <si>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</si>
  <si>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</si>
  <si>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</si>
  <si>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</si>
  <si>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</si>
  <si>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</si>
  <si>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</si>
  <si>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</si>
  <si>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</si>
  <si>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</si>
  <si>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</si>
  <si>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</si>
  <si>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</si>
  <si>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</si>
  <si>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</si>
  <si>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</si>
  <si>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</si>
  <si>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</si>
  <si>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</si>
  <si>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</si>
  <si>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</si>
  <si>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</si>
  <si>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</si>
  <si>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</si>
  <si>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</si>
  <si>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</si>
  <si>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</si>
  <si>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</si>
  <si>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</si>
  <si>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</si>
  <si>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</si>
  <si>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</si>
  <si>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</si>
  <si>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</si>
  <si>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</si>
  <si>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</si>
  <si>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</si>
  <si>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</si>
  <si>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</si>
  <si>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</si>
  <si>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</si>
  <si>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</si>
  <si>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</si>
  <si>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</si>
  <si>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</si>
  <si>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</si>
  <si>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</si>
  <si>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</si>
  <si>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</si>
  <si>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</si>
  <si>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</si>
  <si>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</si>
  <si>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</si>
  <si>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</si>
  <si>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</si>
  <si>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</si>
  <si>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</si>
  <si>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</si>
  <si>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</si>
  <si>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</si>
  <si>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</si>
  <si>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</si>
  <si>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</si>
  <si>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</si>
  <si>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</si>
  <si>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</si>
  <si>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</si>
  <si>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</si>
  <si>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</si>
  <si>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</si>
  <si>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</si>
  <si>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</si>
  <si>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</si>
  <si>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</si>
  <si>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</si>
  <si>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</si>
  <si>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</si>
  <si>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</si>
  <si>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</si>
  <si>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</si>
  <si>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</si>
  <si>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</si>
  <si>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</si>
  <si>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</si>
  <si>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</si>
  <si>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</si>
  <si>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</si>
  <si>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</si>
  <si>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</si>
  <si>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</si>
  <si>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</si>
  <si>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</si>
  <si>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</si>
  <si>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</si>
  <si>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</si>
  <si>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</si>
  <si>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</si>
  <si>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</si>
  <si>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</si>
  <si>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</si>
  <si>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</si>
  <si>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</si>
  <si>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</si>
  <si>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</si>
  <si>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</si>
  <si>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</si>
  <si>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</si>
  <si>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</si>
  <si>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</si>
  <si>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</si>
  <si>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</si>
  <si>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</si>
  <si>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</si>
  <si>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</si>
  <si>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</si>
  <si>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</si>
  <si>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</si>
  <si>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</si>
  <si>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</si>
  <si>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</si>
  <si>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</si>
  <si>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</si>
  <si>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</si>
  <si>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</si>
  <si>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</si>
  <si>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</si>
  <si>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</si>
  <si>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</si>
  <si>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</si>
  <si>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</si>
  <si>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</si>
  <si>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</si>
  <si>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</si>
  <si>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</si>
  <si>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</si>
  <si>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</si>
  <si>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</si>
  <si>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</si>
  <si>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</si>
  <si>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</si>
  <si>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</si>
  <si>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</si>
  <si>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</si>
  <si>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</si>
  <si>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</si>
  <si>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</si>
  <si>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</si>
  <si>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</si>
  <si>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</si>
  <si>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</si>
  <si>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</si>
  <si>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</si>
  <si>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</si>
  <si>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</si>
  <si>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</si>
  <si>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</si>
  <si>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</si>
  <si>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</si>
  <si>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</si>
  <si>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</si>
  <si>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</si>
  <si>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</si>
  <si>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</si>
  <si>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</si>
  <si>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</si>
  <si>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</si>
  <si>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</si>
  <si>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</si>
  <si>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</si>
  <si>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</si>
  <si>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</si>
  <si>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</si>
  <si>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</si>
  <si>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</si>
  <si>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</si>
  <si>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</si>
  <si>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</si>
  <si>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</si>
  <si>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</si>
  <si>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</si>
  <si>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</si>
  <si>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</si>
  <si>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</si>
  <si>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</si>
  <si>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</si>
  <si>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</si>
  <si>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</si>
  <si>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</si>
  <si>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</si>
  <si>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</si>
  <si>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</si>
  <si>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</si>
  <si>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</si>
  <si>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</si>
  <si>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</si>
  <si>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</si>
  <si>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</si>
  <si>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</si>
  <si>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</si>
  <si>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</si>
  <si>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</si>
  <si>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</si>
  <si>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</si>
  <si>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</si>
  <si>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</si>
  <si>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</si>
  <si>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</si>
  <si>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</si>
  <si>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</si>
  <si>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</si>
  <si>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</si>
  <si>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</si>
  <si>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</si>
  <si>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</si>
  <si>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</si>
  <si>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</si>
  <si>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</si>
  <si>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</si>
  <si>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</si>
  <si>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</si>
  <si>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</si>
  <si>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</si>
  <si>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</si>
  <si>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</si>
  <si>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</si>
  <si>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</si>
  <si>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</si>
  <si>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</si>
  <si>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</si>
  <si>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</si>
  <si>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</si>
  <si>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</si>
  <si>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</si>
  <si>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</si>
  <si>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</si>
  <si>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</si>
  <si>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</si>
  <si>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</si>
  <si>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</si>
  <si>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</si>
  <si>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</si>
  <si>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</si>
  <si>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</si>
  <si>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</si>
  <si>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</si>
  <si>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</si>
  <si>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</si>
  <si>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</si>
  <si>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</si>
  <si>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</si>
  <si>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</si>
  <si>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</si>
  <si>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</si>
  <si>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</si>
  <si>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</si>
  <si>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</si>
  <si>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</si>
  <si>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</si>
  <si>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</si>
  <si>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</si>
  <si>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</si>
  <si>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</si>
  <si>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</si>
  <si>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</si>
  <si>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</si>
  <si>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</si>
  <si>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</si>
  <si>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</si>
  <si>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</si>
  <si>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</si>
  <si>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</si>
  <si>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</si>
  <si>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</si>
  <si>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</si>
  <si>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</si>
  <si>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</si>
  <si>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</si>
  <si>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</si>
  <si>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</si>
  <si>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</si>
  <si>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</si>
  <si>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</si>
  <si>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</si>
  <si>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</si>
  <si>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</si>
  <si>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</si>
  <si>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</si>
  <si>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</si>
  <si>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</si>
  <si>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</si>
  <si>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</si>
  <si>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</si>
  <si>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</si>
  <si>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</si>
  <si>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</si>
  <si>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</si>
  <si>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</si>
  <si>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</si>
  <si>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</si>
  <si>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</si>
  <si>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</si>
  <si>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</si>
  <si>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</si>
  <si>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</si>
  <si>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</si>
  <si>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</si>
  <si>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</si>
  <si>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</si>
  <si>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</si>
  <si>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</si>
  <si>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</si>
  <si>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</si>
  <si>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</si>
  <si>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</si>
  <si>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</si>
  <si>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</si>
  <si>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</si>
  <si>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</si>
  <si>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</si>
  <si>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</si>
  <si>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</si>
  <si>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</si>
  <si>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</si>
  <si>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</si>
  <si>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</si>
  <si>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</si>
  <si>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</si>
  <si>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</si>
  <si>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</si>
  <si>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</si>
  <si>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</si>
  <si>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</si>
  <si>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</si>
  <si>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</si>
  <si>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</si>
  <si>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</si>
  <si>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</si>
  <si>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</si>
  <si>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</si>
  <si>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</si>
  <si>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</si>
  <si>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</si>
  <si>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</si>
  <si>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</si>
  <si>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</si>
  <si>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</si>
  <si>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</si>
  <si>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</si>
  <si>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</si>
  <si>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</si>
  <si>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</si>
  <si>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</si>
  <si>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</si>
  <si>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</si>
  <si>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</si>
  <si>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</si>
  <si>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</si>
  <si>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</si>
  <si>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</si>
  <si>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</si>
  <si>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</si>
  <si>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</si>
  <si>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</si>
  <si>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</si>
  <si>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</si>
  <si>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</si>
  <si>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</si>
  <si>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</si>
  <si>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</si>
  <si>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</si>
  <si>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</si>
  <si>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</si>
  <si>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</si>
  <si>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</si>
  <si>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</si>
  <si>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</si>
  <si>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</si>
  <si>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</si>
  <si>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</si>
  <si>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</si>
  <si>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</si>
  <si>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</si>
  <si>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</si>
  <si>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</si>
  <si>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</si>
  <si>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</si>
  <si>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</si>
  <si>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</si>
  <si>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</si>
  <si>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</si>
  <si>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</si>
  <si>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</si>
  <si>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</si>
  <si>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</si>
  <si>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</si>
  <si>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</si>
  <si>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</si>
  <si>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</si>
  <si>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</si>
  <si>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</si>
  <si>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</si>
  <si>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</si>
  <si>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</si>
  <si>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</si>
  <si>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</si>
  <si>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</si>
  <si>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</si>
  <si>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</si>
  <si>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</si>
  <si>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</si>
  <si>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</si>
  <si>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</si>
  <si>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</si>
  <si>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</si>
  <si>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</si>
  <si>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</si>
  <si>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</si>
  <si>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</si>
  <si>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</si>
  <si>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</si>
  <si>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</si>
  <si>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</si>
  <si>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</si>
  <si>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</si>
  <si>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</si>
  <si>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</si>
  <si>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</si>
  <si>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</si>
  <si>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</si>
  <si>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</si>
  <si>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</si>
  <si>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</si>
  <si>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</si>
  <si>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</si>
  <si>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</si>
  <si>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</si>
  <si>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</si>
  <si>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</si>
  <si>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</si>
  <si>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</si>
  <si>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</si>
  <si>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</si>
  <si>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</si>
  <si>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</si>
  <si>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</si>
  <si>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</si>
  <si>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</si>
  <si>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</si>
  <si>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</si>
  <si>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</si>
  <si>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</si>
  <si>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</si>
  <si>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</si>
  <si>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</si>
  <si>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</si>
  <si>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</si>
  <si>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</si>
  <si>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</si>
  <si>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</si>
  <si>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</si>
  <si>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</si>
  <si>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</si>
  <si>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</si>
  <si>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</si>
  <si>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</si>
  <si>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</si>
  <si>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</si>
  <si>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</si>
  <si>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</si>
  <si>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</si>
  <si>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</si>
  <si>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</si>
  <si>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</si>
  <si>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</si>
  <si>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</si>
  <si>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</si>
  <si>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</si>
  <si>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</si>
  <si>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</si>
  <si>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</si>
  <si>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</si>
  <si>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</si>
  <si>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</si>
  <si>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</si>
  <si>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</si>
  <si>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</si>
  <si>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</si>
  <si>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</si>
  <si>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</si>
  <si>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</si>
  <si>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</si>
  <si>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</si>
  <si>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</si>
  <si>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</si>
  <si>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</si>
  <si>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</si>
  <si>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</si>
  <si>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</si>
  <si>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</si>
  <si>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</si>
  <si>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</si>
  <si>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</si>
  <si>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</si>
  <si>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</si>
  <si>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</si>
  <si>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</si>
  <si>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</si>
  <si>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</si>
  <si>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</si>
  <si>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</si>
  <si>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</si>
  <si>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</si>
  <si>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</si>
  <si>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</si>
  <si>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</si>
  <si>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</si>
  <si>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</si>
  <si>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</si>
  <si>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</si>
  <si>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</si>
  <si>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</si>
  <si>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</si>
  <si>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</si>
  <si>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</si>
  <si>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</si>
  <si>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</si>
  <si>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</si>
  <si>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</si>
  <si>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</si>
  <si>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</si>
  <si>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</si>
  <si>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</si>
  <si>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</si>
  <si>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</si>
  <si>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</si>
  <si>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</si>
  <si>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</si>
  <si>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</si>
  <si>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</si>
  <si>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</si>
  <si>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</si>
  <si>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</si>
  <si>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</si>
  <si>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</si>
  <si>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</si>
  <si>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</si>
  <si>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</si>
  <si>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</si>
  <si>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</si>
  <si>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</si>
  <si>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</si>
  <si>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</si>
  <si>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</si>
  <si>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</si>
  <si>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</si>
  <si>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</si>
  <si>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</si>
  <si>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</si>
  <si>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</si>
  <si>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</si>
  <si>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</si>
  <si>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</si>
  <si>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</si>
  <si>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</si>
  <si>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</si>
  <si>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</si>
  <si>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</si>
  <si>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</si>
  <si>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</si>
  <si>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</si>
  <si>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</si>
  <si>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</si>
  <si>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</si>
  <si>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</si>
  <si>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</si>
  <si>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</si>
  <si>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</si>
  <si>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</si>
  <si>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</si>
  <si>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</si>
  <si>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</si>
  <si>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</si>
  <si>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</si>
  <si>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</si>
  <si>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</si>
  <si>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</si>
  <si>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</si>
  <si>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</si>
  <si>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</si>
  <si>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</si>
  <si>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</si>
  <si>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</si>
  <si>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</si>
  <si>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</si>
  <si>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</si>
  <si>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</si>
  <si>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</si>
  <si>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</si>
  <si>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</si>
  <si>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</si>
  <si>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</si>
  <si>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</si>
  <si>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</si>
  <si>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</si>
  <si>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</si>
  <si>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</si>
  <si>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</si>
  <si>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</si>
  <si>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</si>
  <si>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</si>
  <si>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</si>
  <si>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</si>
  <si>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</si>
  <si>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</si>
  <si>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</si>
  <si>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</si>
  <si>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</si>
  <si>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</si>
  <si>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</si>
  <si>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</si>
  <si>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</si>
  <si>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</si>
  <si>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</si>
  <si>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</si>
  <si>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</si>
  <si>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</si>
  <si>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</si>
  <si>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</si>
  <si>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</si>
  <si>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</si>
  <si>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</si>
  <si>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</si>
  <si>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</si>
  <si>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</si>
  <si>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</si>
  <si>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</si>
  <si>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</si>
  <si>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</si>
  <si>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</si>
  <si>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</si>
  <si>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</si>
  <si>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</si>
  <si>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</si>
  <si>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</si>
  <si>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</si>
  <si>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</si>
  <si>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</si>
  <si>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</si>
  <si>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</si>
  <si>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</si>
  <si>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</si>
  <si>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</si>
  <si>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</si>
  <si>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</si>
  <si>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</si>
  <si>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</si>
  <si>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</si>
  <si>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</si>
  <si>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</si>
  <si>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</si>
  <si>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</si>
  <si>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</si>
  <si>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</si>
  <si>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</si>
  <si>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</si>
  <si>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</si>
  <si>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</si>
  <si>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</si>
  <si>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</si>
  <si>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</si>
  <si>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</si>
  <si>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</si>
  <si>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</si>
  <si>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</si>
  <si>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</si>
  <si>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</si>
  <si>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</si>
  <si>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</si>
  <si>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</si>
  <si>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</si>
  <si>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</si>
  <si>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</si>
  <si>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</si>
  <si>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</si>
  <si>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</si>
  <si>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</si>
  <si>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</si>
  <si>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</si>
  <si>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</si>
  <si>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</si>
  <si>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</si>
  <si>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</si>
  <si>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</si>
  <si>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</si>
  <si>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</si>
  <si>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</si>
  <si>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</si>
  <si>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</si>
  <si>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</si>
  <si>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</si>
  <si>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</si>
  <si>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</si>
  <si>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</si>
  <si>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</si>
  <si>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</si>
  <si>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</si>
  <si>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</si>
  <si>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</si>
  <si>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</si>
  <si>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</si>
  <si>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</si>
  <si>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</si>
  <si>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</si>
  <si>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</si>
  <si>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</si>
  <si>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</si>
  <si>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</si>
  <si>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</si>
  <si>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</si>
  <si>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</si>
  <si>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</si>
  <si>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</si>
  <si>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</si>
  <si>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</si>
  <si>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</si>
  <si>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</si>
  <si>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</si>
  <si>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</si>
  <si>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</si>
  <si>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</si>
  <si>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</si>
  <si>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</si>
  <si>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</si>
  <si>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</si>
  <si>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</si>
  <si>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</si>
  <si>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</si>
  <si>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</si>
  <si>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</si>
  <si>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</si>
  <si>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</si>
  <si>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</si>
  <si>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</si>
  <si>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</si>
  <si>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</si>
  <si>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</si>
  <si>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</si>
  <si>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</si>
  <si>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</si>
  <si>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</si>
  <si>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</si>
  <si>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</si>
  <si>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</si>
  <si>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</si>
  <si>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</si>
  <si>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</si>
  <si>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</si>
  <si>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</si>
  <si>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</si>
  <si>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</si>
  <si>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</si>
  <si>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</si>
  <si>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</si>
  <si>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</si>
  <si>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</si>
  <si>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</si>
  <si>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</si>
  <si>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</si>
  <si>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</si>
  <si>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</si>
  <si>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</si>
  <si>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</si>
  <si>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</si>
  <si>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</si>
  <si>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</si>
  <si>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</si>
  <si>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</si>
  <si>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</si>
  <si>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</si>
  <si>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</si>
  <si>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</si>
  <si>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</si>
  <si>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</si>
  <si>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</si>
  <si>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</si>
  <si>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</si>
  <si>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</si>
  <si>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</si>
  <si>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</si>
  <si>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</si>
  <si>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</si>
  <si>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</si>
  <si>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</si>
  <si>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</si>
  <si>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</si>
  <si>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</si>
  <si>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</si>
  <si>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</si>
  <si>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</si>
  <si>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</si>
  <si>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</si>
  <si>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</si>
  <si>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</si>
  <si>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</si>
  <si>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</si>
  <si>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</si>
  <si>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</si>
  <si>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</si>
  <si>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</si>
  <si>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</si>
  <si>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</si>
  <si>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</si>
  <si>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</si>
  <si>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</si>
  <si>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</si>
  <si>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</si>
  <si>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</si>
  <si>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</si>
  <si>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</si>
  <si>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</si>
  <si>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</si>
  <si>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</si>
  <si>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</si>
  <si>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</si>
  <si>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</si>
  <si>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</si>
  <si>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</si>
  <si>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</si>
  <si>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</si>
  <si>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</si>
  <si>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</si>
  <si>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</si>
  <si>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</si>
  <si>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</si>
  <si>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</si>
  <si>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</si>
  <si>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</si>
  <si>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</si>
  <si>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</si>
  <si>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</si>
  <si>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</si>
  <si>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</si>
  <si>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</si>
  <si>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</si>
  <si>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</si>
  <si>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</si>
  <si>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</si>
  <si>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</si>
  <si>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</si>
  <si>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</si>
  <si>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</si>
  <si>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</si>
  <si>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</si>
  <si>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</si>
  <si>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</si>
  <si>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</si>
  <si>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</si>
  <si>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</si>
  <si>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</si>
  <si>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</si>
  <si>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</si>
  <si>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</si>
  <si>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</si>
  <si>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</si>
  <si>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</si>
  <si>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</si>
  <si>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</si>
  <si>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</si>
  <si>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</si>
  <si>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</si>
  <si>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</si>
  <si>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</si>
  <si>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</si>
  <si>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</si>
  <si>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</si>
  <si>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</si>
  <si>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</si>
  <si>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</si>
  <si>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</si>
  <si>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</si>
  <si>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</si>
  <si>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</si>
  <si>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</si>
  <si>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</si>
  <si>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</si>
  <si>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</si>
  <si>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</si>
  <si>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</si>
  <si>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</si>
  <si>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</si>
  <si>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</si>
  <si>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</si>
  <si>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</si>
  <si>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</si>
  <si>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</si>
  <si>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</si>
  <si>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</si>
  <si>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</si>
  <si>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</si>
  <si>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</si>
  <si>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</si>
  <si>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</si>
  <si>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</si>
  <si>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</si>
  <si>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</si>
  <si>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</si>
  <si>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</si>
  <si>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</si>
  <si>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</si>
  <si>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</si>
  <si>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</si>
  <si>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</si>
  <si>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</si>
  <si>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</si>
  <si>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</si>
  <si>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</si>
  <si>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</si>
  <si>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</si>
  <si>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</si>
  <si>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</si>
  <si>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</si>
  <si>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</si>
  <si>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</si>
  <si>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</si>
  <si>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</si>
  <si>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</si>
  <si>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</si>
  <si>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</si>
  <si>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</si>
  <si>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</si>
  <si>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</si>
  <si>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</si>
  <si>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</si>
  <si>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</si>
  <si>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</si>
  <si>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</si>
  <si>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</si>
  <si>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</si>
  <si>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</si>
  <si>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</si>
  <si>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</si>
  <si>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</si>
  <si>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</si>
  <si>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</si>
  <si>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</si>
  <si>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</si>
  <si>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</si>
  <si>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</si>
  <si>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</si>
  <si>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</si>
  <si>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</si>
  <si>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</si>
  <si>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</si>
  <si>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</si>
  <si>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</si>
  <si>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</si>
  <si>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</si>
  <si>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</si>
  <si>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</si>
  <si>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</si>
  <si>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</si>
  <si>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</si>
  <si>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</si>
  <si>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</si>
  <si>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</si>
  <si>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</si>
  <si>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</si>
  <si>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</si>
  <si>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</si>
  <si>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</si>
  <si>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</si>
  <si>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</si>
  <si>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</si>
  <si>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</si>
  <si>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</si>
  <si>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</si>
  <si>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</si>
  <si>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</si>
  <si>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</si>
  <si>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</si>
  <si>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</si>
  <si>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</si>
  <si>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</si>
  <si>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</si>
  <si>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</si>
  <si>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</si>
  <si>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</si>
  <si>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</si>
  <si>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</si>
  <si>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</si>
  <si>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</si>
  <si>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</si>
  <si>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</si>
  <si>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</si>
  <si>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</si>
  <si>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</si>
  <si>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</si>
  <si>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</si>
  <si>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</si>
  <si>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</si>
  <si>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</si>
  <si>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</si>
  <si>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</si>
  <si>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</si>
  <si>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</si>
  <si>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</si>
  <si>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</si>
  <si>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</si>
  <si>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</si>
  <si>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</si>
  <si>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</si>
  <si>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</si>
  <si>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</si>
  <si>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</si>
  <si>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</si>
  <si>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</si>
  <si>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</si>
  <si>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</si>
  <si>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</si>
  <si>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</si>
  <si>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</si>
  <si>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</si>
  <si>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</si>
  <si>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</si>
  <si>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</si>
  <si>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</si>
  <si>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</si>
  <si>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</si>
  <si>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</si>
  <si>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</si>
  <si>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</si>
  <si>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</si>
  <si>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</si>
  <si>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</si>
  <si>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</si>
  <si>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</si>
  <si>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</si>
  <si>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</si>
  <si>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</si>
  <si>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</si>
  <si>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</si>
  <si>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</si>
  <si>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</si>
  <si>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</si>
  <si>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</si>
  <si>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</si>
  <si>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</si>
  <si>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</si>
  <si>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</si>
  <si>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</si>
  <si>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</si>
  <si>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</si>
  <si>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</si>
  <si>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</si>
  <si>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</si>
  <si>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</si>
  <si>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</si>
  <si>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</si>
  <si>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</si>
  <si>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</si>
  <si>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</si>
  <si>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</si>
  <si>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</si>
  <si>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</si>
  <si>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</si>
  <si>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</si>
  <si>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</si>
  <si>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</si>
  <si>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</si>
  <si>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</si>
  <si>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</si>
  <si>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</si>
  <si>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</si>
  <si>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</si>
  <si>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</si>
  <si>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</si>
  <si>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</si>
  <si>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</si>
  <si>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</si>
  <si>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</si>
  <si>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</si>
  <si>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</si>
  <si>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</si>
  <si>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</si>
  <si>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</si>
  <si>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</si>
  <si>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</si>
  <si>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</si>
  <si>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</si>
  <si>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</si>
  <si>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</si>
  <si>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</si>
  <si>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</si>
  <si>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</si>
  <si>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</si>
  <si>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</si>
  <si>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</si>
  <si>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</si>
  <si>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</si>
  <si>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</si>
  <si>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</si>
  <si>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</si>
  <si>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</si>
  <si>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</si>
  <si>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</si>
  <si>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</si>
  <si>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</si>
  <si>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</si>
  <si>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</si>
  <si>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</si>
  <si>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</si>
  <si>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</si>
  <si>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</si>
  <si>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</si>
  <si>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</si>
  <si>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</si>
  <si>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</si>
  <si>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</si>
  <si>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</si>
  <si>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</si>
  <si>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</si>
  <si>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</si>
  <si>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</si>
  <si>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</si>
  <si>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</si>
  <si>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</si>
  <si>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</si>
  <si>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</si>
  <si>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</si>
  <si>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</si>
  <si>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</si>
  <si>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</si>
  <si>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</si>
  <si>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</si>
  <si>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</si>
  <si>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</si>
  <si>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</si>
  <si>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</si>
  <si>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</si>
  <si>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</si>
  <si>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</si>
  <si>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</si>
  <si>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</si>
  <si>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</si>
  <si>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</si>
  <si>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</si>
  <si>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</si>
  <si>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</si>
  <si>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</si>
  <si>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</si>
  <si>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</si>
  <si>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</si>
  <si>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</si>
  <si>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</si>
  <si>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</si>
  <si>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</si>
  <si>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</si>
  <si>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</si>
  <si>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</si>
  <si>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</si>
  <si>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</si>
  <si>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</si>
  <si>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</si>
  <si>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</si>
  <si>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</si>
  <si>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</si>
  <si>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</si>
  <si>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</si>
  <si>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</si>
  <si>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</si>
  <si>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</si>
  <si>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</si>
  <si>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</si>
  <si>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</si>
  <si>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</si>
  <si>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</si>
  <si>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</si>
  <si>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</si>
  <si>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</si>
  <si>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</si>
  <si>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</si>
  <si>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</si>
  <si>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</si>
  <si>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</si>
  <si>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</si>
  <si>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</si>
  <si>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</si>
  <si>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</si>
  <si>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</si>
  <si>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</si>
  <si>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</si>
  <si>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</si>
  <si>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</si>
  <si>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</si>
  <si>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</si>
  <si>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</si>
  <si>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</si>
  <si>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</si>
  <si>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</si>
  <si>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</si>
  <si>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</si>
  <si>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</si>
  <si>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</si>
  <si>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</si>
  <si>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</si>
  <si>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</si>
  <si>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</si>
  <si>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</si>
  <si>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</si>
  <si>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</si>
  <si>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</si>
  <si>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</si>
  <si>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</si>
  <si>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</si>
  <si>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</si>
  <si>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</si>
  <si>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</si>
  <si>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</si>
  <si>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</si>
  <si>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</si>
  <si>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</si>
  <si>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</si>
  <si>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</si>
  <si>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</si>
  <si>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</si>
  <si>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</si>
  <si>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</si>
  <si>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</si>
  <si>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</si>
  <si>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</si>
  <si>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</si>
  <si>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</si>
  <si>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</si>
  <si>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</si>
  <si>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</si>
  <si>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</si>
  <si>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</si>
  <si>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</si>
  <si>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</si>
  <si>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</si>
  <si>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</si>
  <si>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</si>
  <si>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</si>
  <si>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</si>
  <si>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</si>
  <si>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</si>
  <si>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</si>
  <si>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</si>
  <si>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</si>
  <si>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</si>
  <si>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</si>
  <si>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</si>
  <si>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</si>
  <si>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</si>
  <si>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</si>
  <si>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</si>
  <si>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</si>
  <si>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</si>
  <si>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</si>
  <si>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</si>
  <si>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</si>
  <si>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</si>
  <si>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</si>
  <si>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</si>
  <si>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</si>
  <si>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</si>
  <si>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</si>
  <si>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</si>
  <si>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</si>
  <si>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</si>
  <si>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</si>
  <si>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</si>
  <si>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</si>
  <si>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</si>
  <si>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</si>
  <si>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</si>
  <si>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</si>
  <si>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</si>
  <si>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</si>
  <si>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</si>
  <si>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</si>
  <si>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</si>
  <si>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</si>
  <si>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</si>
  <si>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</si>
  <si>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</si>
  <si>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</si>
  <si>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</si>
  <si>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</si>
  <si>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</si>
  <si>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</si>
  <si>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</si>
  <si>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</si>
  <si>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</si>
  <si>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</si>
  <si>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</si>
  <si>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</si>
  <si>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</si>
  <si>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</si>
  <si>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</si>
  <si>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</si>
  <si>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</si>
  <si>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</si>
  <si>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</si>
  <si>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</si>
  <si>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</si>
  <si>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</si>
  <si>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</si>
  <si>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</si>
  <si>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</si>
  <si>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</si>
  <si>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</si>
  <si>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</si>
  <si>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</si>
  <si>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</si>
  <si>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</si>
  <si>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</si>
  <si>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</si>
  <si>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</si>
  <si>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</si>
  <si>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</si>
  <si>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</si>
  <si>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</si>
  <si>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</si>
  <si>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</si>
  <si>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</si>
  <si>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</si>
  <si>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</si>
  <si>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</si>
  <si>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</si>
  <si>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</si>
  <si>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</si>
  <si>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</si>
  <si>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</si>
  <si>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</si>
  <si>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</si>
  <si>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</si>
  <si>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</si>
  <si>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</si>
  <si>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</si>
  <si>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</si>
  <si>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</si>
  <si>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</si>
  <si>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</si>
  <si>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</si>
  <si>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</si>
  <si>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</si>
  <si>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</si>
  <si>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</si>
  <si>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</si>
  <si>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</si>
  <si>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</si>
  <si>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</si>
  <si>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</si>
  <si>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</si>
  <si>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</si>
  <si>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</si>
  <si>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</si>
  <si>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</si>
  <si>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</si>
  <si>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</si>
  <si>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</si>
  <si>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</si>
  <si>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</si>
  <si>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</si>
  <si>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</si>
  <si>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</si>
  <si>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</si>
  <si>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</si>
  <si>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</si>
  <si>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</si>
  <si>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</si>
  <si>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</si>
  <si>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</si>
  <si>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</si>
  <si>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</si>
  <si>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</si>
  <si>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</si>
  <si>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</si>
  <si>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</si>
  <si>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</si>
  <si>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</si>
  <si>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</si>
  <si>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</si>
  <si>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</si>
  <si>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</si>
  <si>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</si>
  <si>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</si>
  <si>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</si>
  <si>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</si>
  <si>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</si>
  <si>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</si>
  <si>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</si>
  <si>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</si>
  <si>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</si>
  <si>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</si>
  <si>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</si>
  <si>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</si>
  <si>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</si>
  <si>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</si>
  <si>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</si>
  <si>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</si>
  <si>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</si>
  <si>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</si>
  <si>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</si>
  <si>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</si>
  <si>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</si>
  <si>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</si>
  <si>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</si>
  <si>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</si>
  <si>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</si>
  <si>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</si>
  <si>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</si>
  <si>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</si>
  <si>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</si>
  <si>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</si>
  <si>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</si>
  <si>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</si>
  <si>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</si>
  <si>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</si>
  <si>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</si>
  <si>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</si>
  <si>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</si>
  <si>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</si>
  <si>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</si>
  <si>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</si>
  <si>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</si>
  <si>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</si>
  <si>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</si>
  <si>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</si>
  <si>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</si>
  <si>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</si>
  <si>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</si>
  <si>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</si>
  <si>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</si>
  <si>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</si>
  <si>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</si>
  <si>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</si>
  <si>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</si>
  <si>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</si>
  <si>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</si>
  <si>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</si>
  <si>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</si>
  <si>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</si>
  <si>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</si>
  <si>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</si>
  <si>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</si>
  <si>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</si>
  <si>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</si>
  <si>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</si>
  <si>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</si>
  <si>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</si>
  <si>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</si>
  <si>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</si>
  <si>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</si>
  <si>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</si>
  <si>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</si>
  <si>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</si>
  <si>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</si>
  <si>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</si>
  <si>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</si>
  <si>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</si>
  <si>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</si>
  <si>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</si>
  <si>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</si>
  <si>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</si>
  <si>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</si>
  <si>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</si>
  <si>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</si>
  <si>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</si>
  <si>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</si>
  <si>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</si>
  <si>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</si>
  <si>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</si>
  <si>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</si>
  <si>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</si>
  <si>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</si>
  <si>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</si>
  <si>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</si>
  <si>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</si>
  <si>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</si>
  <si>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</si>
  <si>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</si>
  <si>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</si>
  <si>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</si>
  <si>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</si>
  <si>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</si>
  <si>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</si>
  <si>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</si>
  <si>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</si>
  <si>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</si>
  <si>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</si>
  <si>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</si>
  <si>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</si>
  <si>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</si>
  <si>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</si>
  <si>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</si>
  <si>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</si>
  <si>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</si>
  <si>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</si>
  <si>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</si>
  <si>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</si>
  <si>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</si>
  <si>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</si>
  <si>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</si>
  <si>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</si>
  <si>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</si>
  <si>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</si>
  <si>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</si>
  <si>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</si>
  <si>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</si>
  <si>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</si>
  <si>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</si>
  <si>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</si>
  <si>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</si>
  <si>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</si>
  <si>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</si>
  <si>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</si>
  <si>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</si>
  <si>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</si>
  <si>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</si>
  <si>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</si>
  <si>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</si>
  <si>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</si>
  <si>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</si>
  <si>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</si>
  <si>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</si>
  <si>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</si>
  <si>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</si>
  <si>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</si>
  <si>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</si>
  <si>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</si>
  <si>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</si>
  <si>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</si>
  <si>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</si>
  <si>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</si>
  <si>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</si>
  <si>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</si>
  <si>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</si>
  <si>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</si>
  <si>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</si>
  <si>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</si>
  <si>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</si>
  <si>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</si>
  <si>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</si>
  <si>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</si>
  <si>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</si>
  <si>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</si>
  <si>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</si>
  <si>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</si>
  <si>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</si>
  <si>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</si>
  <si>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</si>
  <si>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</si>
  <si>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</si>
  <si>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</si>
  <si>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</si>
  <si>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</si>
  <si>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</si>
  <si>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</si>
  <si>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</si>
  <si>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</si>
  <si>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</si>
  <si>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</si>
  <si>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</si>
  <si>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</si>
  <si>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</si>
  <si>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</si>
  <si>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</si>
  <si>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</si>
  <si>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</si>
  <si>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</si>
  <si>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</si>
  <si>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</si>
  <si>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</si>
  <si>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</si>
  <si>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</si>
  <si>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</si>
  <si>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</si>
  <si>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</si>
  <si>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</si>
  <si>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</si>
  <si>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</si>
  <si>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</si>
  <si>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</si>
  <si>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</si>
  <si>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</si>
  <si>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</si>
  <si>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</si>
  <si>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</si>
  <si>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</si>
  <si>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</si>
  <si>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</si>
  <si>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</si>
  <si>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</si>
  <si>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</si>
  <si>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</si>
  <si>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</si>
  <si>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</si>
  <si>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</si>
  <si>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</si>
  <si>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</si>
  <si>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</si>
  <si>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</si>
  <si>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</si>
  <si>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</si>
  <si>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</si>
  <si>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</si>
  <si>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</si>
  <si>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</si>
  <si>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</si>
  <si>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</si>
  <si>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</si>
  <si>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</si>
  <si>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</si>
  <si>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</si>
  <si>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</si>
  <si>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</si>
  <si>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</si>
  <si>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</si>
  <si>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</si>
  <si>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</si>
  <si>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</si>
  <si>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</si>
  <si>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</si>
  <si>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</si>
  <si>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</si>
  <si>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</si>
  <si>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</si>
  <si>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</si>
  <si>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</si>
  <si>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</si>
  <si>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</si>
  <si>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</si>
  <si>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</si>
  <si>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</si>
  <si>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</si>
  <si>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</si>
  <si>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</si>
  <si>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</si>
  <si>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</si>
  <si>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</si>
  <si>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</si>
  <si>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</si>
  <si>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</si>
  <si>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</si>
  <si>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</si>
  <si>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</si>
  <si>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</si>
  <si>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</si>
  <si>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</si>
  <si>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</si>
  <si>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</si>
  <si>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</si>
  <si>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</si>
  <si>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</si>
  <si>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</si>
  <si>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</si>
  <si>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</si>
  <si>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</si>
  <si>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</si>
  <si>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</si>
  <si>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</si>
  <si>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</si>
  <si>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</si>
  <si>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</si>
  <si>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</si>
  <si>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</si>
  <si>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</si>
  <si>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</si>
  <si>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</si>
  <si>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</si>
  <si>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</si>
  <si>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</si>
  <si>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</si>
  <si>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</si>
  <si>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</si>
  <si>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</si>
  <si>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</si>
  <si>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</si>
  <si>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</si>
  <si>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</si>
  <si>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</si>
  <si>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</si>
  <si>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</si>
  <si>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</si>
  <si>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</si>
  <si>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</si>
  <si>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</si>
  <si>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</si>
  <si>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</si>
  <si>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</si>
  <si>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</si>
  <si>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</si>
  <si>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</si>
  <si>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</si>
  <si>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</si>
  <si>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</si>
  <si>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</si>
  <si>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</si>
  <si>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</si>
  <si>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</si>
  <si>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</si>
  <si>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</si>
  <si>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</si>
  <si>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</si>
  <si>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</si>
  <si>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</si>
  <si>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</si>
  <si>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</si>
  <si>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</si>
  <si>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</si>
  <si>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</si>
  <si>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</si>
  <si>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</si>
  <si>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</si>
  <si>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</si>
  <si>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</si>
  <si>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</si>
  <si>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</si>
  <si>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</si>
  <si>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</si>
  <si>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</si>
  <si>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</si>
  <si>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</si>
  <si>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</si>
  <si>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</si>
  <si>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</si>
  <si>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</si>
  <si>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</si>
  <si>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</si>
  <si>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</si>
  <si>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</si>
  <si>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</si>
  <si>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</si>
  <si>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</si>
  <si>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</si>
  <si>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</si>
  <si>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</si>
  <si>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</si>
  <si>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</si>
  <si>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</si>
  <si>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</si>
  <si>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</si>
  <si>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</si>
  <si>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</si>
  <si>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</si>
  <si>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</si>
  <si>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</si>
  <si>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</si>
  <si>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</si>
  <si>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</si>
  <si>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</si>
  <si>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</si>
  <si>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</si>
  <si>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</si>
  <si>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</si>
  <si>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</si>
  <si>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</si>
  <si>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</si>
  <si>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</si>
  <si>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</si>
  <si>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</si>
  <si>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</si>
  <si>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</si>
  <si>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</si>
  <si>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</si>
  <si>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</si>
  <si>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</si>
  <si>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</si>
  <si>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</si>
  <si>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</si>
  <si>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</si>
  <si>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</si>
  <si>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</si>
  <si>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</si>
  <si>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</si>
  <si>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</si>
  <si>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</si>
  <si>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</si>
  <si>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</si>
  <si>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</si>
  <si>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</si>
  <si>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</si>
  <si>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</si>
  <si>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</si>
  <si>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</si>
  <si>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</si>
  <si>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</si>
  <si>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</si>
  <si>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</si>
  <si>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</si>
  <si>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</si>
  <si>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</si>
  <si>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</si>
  <si>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</si>
  <si>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</si>
  <si>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</si>
  <si>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</si>
  <si>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</si>
  <si>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</si>
  <si>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</si>
  <si>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</si>
  <si>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</si>
  <si>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</si>
  <si>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</si>
  <si>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</si>
  <si>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</si>
  <si>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</si>
  <si>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</si>
  <si>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</si>
  <si>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</si>
  <si>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</si>
  <si>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</si>
  <si>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</si>
  <si>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</si>
  <si>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</si>
  <si>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</si>
  <si>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</si>
  <si>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</si>
  <si>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</si>
  <si>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</si>
  <si>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</si>
  <si>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</si>
  <si>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</si>
  <si>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</si>
  <si>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</si>
  <si>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</si>
  <si>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</si>
  <si>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</si>
  <si>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</si>
  <si>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</si>
  <si>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</si>
  <si>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</si>
  <si>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</si>
  <si>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</si>
  <si>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</si>
  <si>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</si>
  <si>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</si>
  <si>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</si>
  <si>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</si>
  <si>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</si>
  <si>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</si>
  <si>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</si>
  <si>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</si>
  <si>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</si>
  <si>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</si>
  <si>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</si>
  <si>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</si>
  <si>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</si>
  <si>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</si>
  <si>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</si>
  <si>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</si>
  <si>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</si>
  <si>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</si>
  <si>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</si>
  <si>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</si>
  <si>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</si>
  <si>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</si>
  <si>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</si>
  <si>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</si>
  <si>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</si>
  <si>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</si>
  <si>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</si>
  <si>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</si>
  <si>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</si>
  <si>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</si>
  <si>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</si>
  <si>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</si>
  <si>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</si>
  <si>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</si>
  <si>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</si>
  <si>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</si>
  <si>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</si>
  <si>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</si>
  <si>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</si>
  <si>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</si>
  <si>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</si>
  <si>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</si>
  <si>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</si>
  <si>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</si>
  <si>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</si>
  <si>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</si>
  <si>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</si>
  <si>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</si>
  <si>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</si>
  <si>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</si>
  <si>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</si>
  <si>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</si>
  <si>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</si>
  <si>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</si>
  <si>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</si>
  <si>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</si>
  <si>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</si>
  <si>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</si>
  <si>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</si>
  <si>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</si>
  <si>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</si>
  <si>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</si>
  <si>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</si>
  <si>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</si>
  <si>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</si>
  <si>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</si>
  <si>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</si>
  <si>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</si>
  <si>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</si>
  <si>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</si>
  <si>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</si>
  <si>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</si>
  <si>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</si>
  <si>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</si>
  <si>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</si>
  <si>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</si>
  <si>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</si>
  <si>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</si>
  <si>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</si>
  <si>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</si>
  <si>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</si>
  <si>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</si>
  <si>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</si>
  <si>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</si>
  <si>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</si>
  <si>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</si>
  <si>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</si>
  <si>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</si>
  <si>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</si>
  <si>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</si>
  <si>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</si>
  <si>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</si>
  <si>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</si>
  <si>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</si>
  <si>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</si>
  <si>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</si>
  <si>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</si>
  <si>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</si>
  <si>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</si>
  <si>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</si>
  <si>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</si>
  <si>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</si>
  <si>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</si>
  <si>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</si>
  <si>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</si>
  <si>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</si>
  <si>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</si>
  <si>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</si>
  <si>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</si>
  <si>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</si>
  <si>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</si>
  <si>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</si>
  <si>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</si>
  <si>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</si>
  <si>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</si>
  <si>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</si>
  <si>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</si>
  <si>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</si>
  <si>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</si>
  <si>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</si>
  <si>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</si>
  <si>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</si>
  <si>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</si>
  <si>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</si>
  <si>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</si>
  <si>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</si>
  <si>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</si>
  <si>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</si>
  <si>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</si>
  <si>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</si>
  <si>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</si>
  <si>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</si>
  <si>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</si>
  <si>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</si>
  <si>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</si>
  <si>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</si>
  <si>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</si>
  <si>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</si>
  <si>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</si>
  <si>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</si>
  <si>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</si>
  <si>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</si>
  <si>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</si>
  <si>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</si>
  <si>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</si>
  <si>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</si>
  <si>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</si>
  <si>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</si>
  <si>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</si>
  <si>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</si>
  <si>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</si>
  <si>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</si>
  <si>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</si>
  <si>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</si>
  <si>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</si>
  <si>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</si>
  <si>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</si>
  <si>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</si>
  <si>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</si>
  <si>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</si>
  <si>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</si>
  <si>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</si>
  <si>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</si>
  <si>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</si>
  <si>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</si>
  <si>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</si>
  <si>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</si>
  <si>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</si>
  <si>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</si>
  <si>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</si>
  <si>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</si>
  <si>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</si>
  <si>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</si>
  <si>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</si>
  <si>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</si>
  <si>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</si>
  <si>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</si>
  <si>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</si>
  <si>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</si>
  <si>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</si>
  <si>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</si>
  <si>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</si>
  <si>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</si>
  <si>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</si>
  <si>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</si>
  <si>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</si>
  <si>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</si>
  <si>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</si>
  <si>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</si>
  <si>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</si>
  <si>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</si>
  <si>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</si>
  <si>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</si>
  <si>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</si>
  <si>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</si>
  <si>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</si>
  <si>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</si>
  <si>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</si>
  <si>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</si>
  <si>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</si>
  <si>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</si>
  <si>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</si>
  <si>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</si>
  <si>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</si>
  <si>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</si>
  <si>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</si>
  <si>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</si>
  <si>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</si>
  <si>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</si>
  <si>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</si>
  <si>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</si>
  <si>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</si>
  <si>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</si>
  <si>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</si>
  <si>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</si>
  <si>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</si>
  <si>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</si>
  <si>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</si>
  <si>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</si>
  <si>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</si>
  <si>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</si>
  <si>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</si>
  <si>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</si>
  <si>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</si>
  <si>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</si>
  <si>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</si>
  <si>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</si>
  <si>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</si>
  <si>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</si>
  <si>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</si>
  <si>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</si>
  <si>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</si>
  <si>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</si>
  <si>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</si>
  <si>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</si>
  <si>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</si>
  <si>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</si>
  <si>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</si>
  <si>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</si>
  <si>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</si>
  <si>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</si>
  <si>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</si>
  <si>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</si>
  <si>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</si>
  <si>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</si>
  <si>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</si>
  <si>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</si>
  <si>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</si>
  <si>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</si>
  <si>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</si>
  <si>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</si>
  <si>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</si>
  <si>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</si>
  <si>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</si>
  <si>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</si>
  <si>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</si>
  <si>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</si>
  <si>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</si>
  <si>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</si>
  <si>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</si>
  <si>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</si>
  <si>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</si>
  <si>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</si>
  <si>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</si>
  <si>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</si>
  <si>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</si>
  <si>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</si>
  <si>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</si>
  <si>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</si>
  <si>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</si>
  <si>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</si>
  <si>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</si>
  <si>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</si>
  <si>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</si>
  <si>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</si>
  <si>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</si>
  <si>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</si>
  <si>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</si>
  <si>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</si>
  <si>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</si>
  <si>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</si>
  <si>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</si>
  <si>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</si>
  <si>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</si>
  <si>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</si>
  <si>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</si>
  <si>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</si>
  <si>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</si>
  <si>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</si>
  <si>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</si>
  <si>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</si>
  <si>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</si>
  <si>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</si>
  <si>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</si>
  <si>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</si>
  <si>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</si>
  <si>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</si>
  <si>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</si>
  <si>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</si>
  <si>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</si>
  <si>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</si>
  <si>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</si>
  <si>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</si>
  <si>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</si>
  <si>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</si>
  <si>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</si>
  <si>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</si>
  <si>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</si>
  <si>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</si>
  <si>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</si>
  <si>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</si>
  <si>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</si>
  <si>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</si>
  <si>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</si>
  <si>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</si>
  <si>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</si>
  <si>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</si>
  <si>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</si>
  <si>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</si>
  <si>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</si>
  <si>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</si>
  <si>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</si>
  <si>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</si>
  <si>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</si>
  <si>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</si>
  <si>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</si>
  <si>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</si>
  <si>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</si>
  <si>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</si>
  <si>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</si>
  <si>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</si>
  <si>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</si>
  <si>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</si>
  <si>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</si>
  <si>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</si>
  <si>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</si>
  <si>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</si>
  <si>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</si>
  <si>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</si>
  <si>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</si>
  <si>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</si>
  <si>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</si>
  <si>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</si>
  <si>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</si>
  <si>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</si>
  <si>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</si>
  <si>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</si>
  <si>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</si>
  <si>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</si>
  <si>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</si>
  <si>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</si>
  <si>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</si>
  <si>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</si>
  <si>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</si>
  <si>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</si>
  <si>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</si>
  <si>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</si>
  <si>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</si>
  <si>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</si>
  <si>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</si>
  <si>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</si>
  <si>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</si>
  <si>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</si>
  <si>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</si>
  <si>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</si>
  <si>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</si>
  <si>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</si>
  <si>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</si>
  <si>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</si>
  <si>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</si>
  <si>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</si>
  <si>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</si>
  <si>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</si>
  <si>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</si>
  <si>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</si>
  <si>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</si>
  <si>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</si>
  <si>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</si>
  <si>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</si>
  <si>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</si>
  <si>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</si>
  <si>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</si>
  <si>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</si>
  <si>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</si>
  <si>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</si>
  <si>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</si>
  <si>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</si>
  <si>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</si>
  <si>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</si>
  <si>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</si>
  <si>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</si>
  <si>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</si>
  <si>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</si>
  <si>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</si>
  <si>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</si>
  <si>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</si>
  <si>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</si>
  <si>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</si>
  <si>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</si>
  <si>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</si>
  <si>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</si>
  <si>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</si>
  <si>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</si>
  <si>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</si>
  <si>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</si>
  <si>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</si>
  <si>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</si>
  <si>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</si>
  <si>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</si>
  <si>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</si>
  <si>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</si>
  <si>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</si>
  <si>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</si>
  <si>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</si>
  <si>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</si>
  <si>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</si>
  <si>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</si>
  <si>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</si>
  <si>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</si>
  <si>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</si>
  <si>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</si>
  <si>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</si>
  <si>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</si>
  <si>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</si>
  <si>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</si>
  <si>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</si>
  <si>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</si>
  <si>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</si>
  <si>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</si>
  <si>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</si>
  <si>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</si>
  <si>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</si>
  <si>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</si>
  <si>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</si>
  <si>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</si>
  <si>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</si>
  <si>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</si>
  <si>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</si>
  <si>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</si>
  <si>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</si>
  <si>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</si>
  <si>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</si>
  <si>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</si>
  <si>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</si>
  <si>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</si>
  <si>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</si>
  <si>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</si>
  <si>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</si>
  <si>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</si>
  <si>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</si>
  <si>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</si>
  <si>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</si>
  <si>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</si>
  <si>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</si>
  <si>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</si>
  <si>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</si>
  <si>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</si>
  <si>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</si>
  <si>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</si>
  <si>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</si>
  <si>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</si>
  <si>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</si>
  <si>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</si>
  <si>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</si>
  <si>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</si>
  <si>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</si>
  <si>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</si>
  <si>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</si>
  <si>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</si>
  <si>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</si>
  <si>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</si>
  <si>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</si>
  <si>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</si>
  <si>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</si>
  <si>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</si>
  <si>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</si>
  <si>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</si>
  <si>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</si>
  <si>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</si>
  <si>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</si>
  <si>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</si>
  <si>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</si>
  <si>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</si>
  <si>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</si>
  <si>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</si>
  <si>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</si>
  <si>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</si>
  <si>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</si>
  <si>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</si>
  <si>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</si>
  <si>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</si>
  <si>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</si>
  <si>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</si>
  <si>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</si>
  <si>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</si>
  <si>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</si>
  <si>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</si>
  <si>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</si>
  <si>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</si>
  <si>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</si>
  <si>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</si>
  <si>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</si>
  <si>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</si>
  <si>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</si>
  <si>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</si>
  <si>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</si>
  <si>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</si>
  <si>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</si>
  <si>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</si>
  <si>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</si>
  <si>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</si>
  <si>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</si>
  <si>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</si>
  <si>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</si>
  <si>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</si>
  <si>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</si>
  <si>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</si>
  <si>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</si>
  <si>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</si>
  <si>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</si>
  <si>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</si>
  <si>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</si>
  <si>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</si>
  <si>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</si>
  <si>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</si>
  <si>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</si>
  <si>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</si>
  <si>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</si>
  <si>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</si>
  <si>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</si>
  <si>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</si>
  <si>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</si>
  <si>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</si>
  <si>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</si>
  <si>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</si>
  <si>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</si>
  <si>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</si>
  <si>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</si>
  <si>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</si>
  <si>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</si>
  <si>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</si>
  <si>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</si>
  <si>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</si>
  <si>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</si>
  <si>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</si>
  <si>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</si>
  <si>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</si>
  <si>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</si>
  <si>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</si>
  <si>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</si>
  <si>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</si>
  <si>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</si>
  <si>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</si>
  <si>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</si>
  <si>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</si>
  <si>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</si>
  <si>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</si>
  <si>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</si>
  <si>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</si>
  <si>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</si>
  <si>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</si>
  <si>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</si>
  <si>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</si>
  <si>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</si>
  <si>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</si>
  <si>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</si>
  <si>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</si>
  <si>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</si>
  <si>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</si>
  <si>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</si>
  <si>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</si>
  <si>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</si>
  <si>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</si>
  <si>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</si>
  <si>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</si>
  <si>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</si>
  <si>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</si>
  <si>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</si>
  <si>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</si>
  <si>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</si>
  <si>
    <t>基准</t>
    <phoneticPr fontId="143" type="noConversion"/>
  </si>
  <si>
    <t>非标准</t>
    <phoneticPr fontId="32" type="noConversion"/>
  </si>
  <si>
    <t>标准</t>
    <phoneticPr fontId="32" type="noConversion"/>
  </si>
  <si>
    <t>按租金收入计税</t>
  </si>
  <si>
    <t>否</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</si>
  <si>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</si>
  <si>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t>序号</t>
    <phoneticPr fontId="143" type="noConversion"/>
  </si>
  <si>
    <t>坐落</t>
    <phoneticPr fontId="143" type="noConversion"/>
  </si>
  <si>
    <t>不动产权证号</t>
    <phoneticPr fontId="143" type="noConversion"/>
  </si>
  <si>
    <t>建筑面积（㎡）</t>
    <phoneticPr fontId="143" type="noConversion"/>
  </si>
  <si>
    <t>分摊土地面积（㎡）</t>
    <phoneticPr fontId="143" type="noConversion"/>
  </si>
  <si>
    <t>江岸区解放大道2066号统建·新干线办公楼栋/单元19层1号</t>
    <phoneticPr fontId="143" type="noConversion"/>
  </si>
  <si>
    <t>鄂（2018）武汉市江岸不动产权第0063019号</t>
    <phoneticPr fontId="143" type="noConversion"/>
  </si>
  <si>
    <t>江岸区解放大道2066号统建·新干线办公楼栋/单元19层2号</t>
  </si>
  <si>
    <t>鄂（2018）武汉市江岸不动产权第0062985号</t>
    <phoneticPr fontId="143" type="noConversion"/>
  </si>
  <si>
    <t>江岸区解放大道2066号统建·新干线办公楼栋/单元19层3号</t>
  </si>
  <si>
    <t>鄂（2018）武汉市江岸不动产权第0062983号</t>
    <phoneticPr fontId="143" type="noConversion"/>
  </si>
  <si>
    <t>江岸区解放大道2066号统建·新干线办公楼栋/单元19层4号</t>
  </si>
  <si>
    <t>鄂（2018）武汉市江岸不动产权第0062981号</t>
    <phoneticPr fontId="143" type="noConversion"/>
  </si>
  <si>
    <t>江岸区解放大道2066号统建·新干线办公楼栋/单元19层5号</t>
  </si>
  <si>
    <t>鄂（2018）武汉市江岸不动产权第0062979号</t>
    <phoneticPr fontId="143" type="noConversion"/>
  </si>
  <si>
    <t>江岸区解放大道2066号统建·新干线办公楼栋/单元19层6号</t>
  </si>
  <si>
    <t>鄂（2018）武汉市江岸不动产权第0062968号</t>
    <phoneticPr fontId="143" type="noConversion"/>
  </si>
  <si>
    <t>江岸区解放大道2066号统建·新干线办公楼栋/单元19层7号</t>
  </si>
  <si>
    <t>鄂（2018）武汉市江岸不动产权第0062957号</t>
    <phoneticPr fontId="143" type="noConversion"/>
  </si>
  <si>
    <t>江岸区解放大道2066号统建·新干线办公楼栋/单元19层8号</t>
  </si>
  <si>
    <t>鄂（2018）武汉市江岸不动产权第0062956号</t>
    <phoneticPr fontId="143" type="noConversion"/>
  </si>
  <si>
    <t>江岸区解放大道2066号统建·新干线办公楼栋/单元19层9号</t>
  </si>
  <si>
    <t>鄂（2018）武汉市江岸不动产权第0062962号</t>
    <phoneticPr fontId="143" type="noConversion"/>
  </si>
  <si>
    <t>江岸区解放大道2066号统建·新干线办公楼栋/单元20层1号</t>
    <phoneticPr fontId="143" type="noConversion"/>
  </si>
  <si>
    <t>鄂（2018）武汉市江岸不动产权第0062960号</t>
    <phoneticPr fontId="143" type="noConversion"/>
  </si>
  <si>
    <t>江岸区解放大道2066号统建·新干线办公楼栋/单元20层2号</t>
  </si>
  <si>
    <t>鄂（2018）武汉市江岸不动产权第0062958号</t>
    <phoneticPr fontId="143" type="noConversion"/>
  </si>
  <si>
    <t>江岸区解放大道2066号统建·新干线办公楼栋/单元20层3号</t>
  </si>
  <si>
    <t>鄂（2018）武汉市江岸不动产权第0062942号</t>
    <phoneticPr fontId="143" type="noConversion"/>
  </si>
  <si>
    <t>江岸区解放大道2066号统建·新干线办公楼栋/单元20层4号</t>
  </si>
  <si>
    <t>鄂（2018）武汉市江岸不动产权第0062943号</t>
    <phoneticPr fontId="143" type="noConversion"/>
  </si>
  <si>
    <t>江岸区解放大道2066号统建·新干线办公楼栋/单元20层5号</t>
  </si>
  <si>
    <t>鄂（2018）武汉市江岸不动产权第0062944号</t>
    <phoneticPr fontId="143" type="noConversion"/>
  </si>
  <si>
    <t>江岸区解放大道2066号统建·新干线办公楼栋/单元20层6号</t>
  </si>
  <si>
    <t>江岸区解放大道2066号统建·新干线办公楼栋/单元20层7号</t>
  </si>
  <si>
    <t>鄂（2018）武汉市江岸不动产权第0062946号</t>
    <phoneticPr fontId="143" type="noConversion"/>
  </si>
  <si>
    <t>江岸区解放大道2066号统建·新干线办公楼栋/单元20层8号</t>
  </si>
  <si>
    <t>鄂（2018）武汉市江岸不动产权第0063008号</t>
    <phoneticPr fontId="143" type="noConversion"/>
  </si>
  <si>
    <t>江岸区解放大道2066号统建·新干线办公楼栋/单元20层9号</t>
  </si>
  <si>
    <t>鄂（2018）武汉市江岸不动产权第0062560号</t>
    <phoneticPr fontId="143" type="noConversion"/>
  </si>
  <si>
    <t>江岸区解放大道2066号统建·新干线办公楼栋/单元21层1号</t>
    <phoneticPr fontId="143" type="noConversion"/>
  </si>
  <si>
    <t>鄂（2018）武汉市江岸不动产权第0062557号</t>
    <phoneticPr fontId="143" type="noConversion"/>
  </si>
  <si>
    <t>江岸区解放大道2066号统建·新干线办公楼栋/单元21层2号</t>
  </si>
  <si>
    <t>鄂（2018）武汉市江岸不动产权第0062477号</t>
    <phoneticPr fontId="143" type="noConversion"/>
  </si>
  <si>
    <t>江岸区解放大道2066号统建·新干线办公楼栋/单元21层3号</t>
  </si>
  <si>
    <t>鄂（2018）武汉市江岸不动产权第0062464号</t>
    <phoneticPr fontId="143" type="noConversion"/>
  </si>
  <si>
    <t>江岸区解放大道2066号统建·新干线办公楼栋/单元21层4号</t>
  </si>
  <si>
    <t>鄂（2018）武汉市江岸不动产权第0062600号</t>
    <phoneticPr fontId="143" type="noConversion"/>
  </si>
  <si>
    <t>江岸区解放大道2066号统建·新干线办公楼栋/单元21层5号</t>
  </si>
  <si>
    <t>鄂（2018）武汉市江岸不动产权第0062576号</t>
    <phoneticPr fontId="143" type="noConversion"/>
  </si>
  <si>
    <t>江岸区解放大道2066号统建·新干线办公楼栋/单元21层6号</t>
  </si>
  <si>
    <t>鄂（2018）武汉市江岸不动产权第0062573号</t>
    <phoneticPr fontId="143" type="noConversion"/>
  </si>
  <si>
    <t>江岸区解放大道2066号统建·新干线办公楼栋/单元21层7号</t>
  </si>
  <si>
    <t>鄂（2018）武汉市江岸不动产权第0062563号</t>
    <phoneticPr fontId="143" type="noConversion"/>
  </si>
  <si>
    <t>江岸区解放大道2066号统建·新干线办公楼栋/单元21层8号</t>
  </si>
  <si>
    <t>鄂（2018）武汉市江岸不动产权第0062677号</t>
    <phoneticPr fontId="143" type="noConversion"/>
  </si>
  <si>
    <t>江岸区解放大道2066号统建·新干线办公楼栋/单元21层9号</t>
  </si>
  <si>
    <t>鄂（2018）武汉市江岸不动产权第0062683号</t>
    <phoneticPr fontId="143" type="noConversion"/>
  </si>
  <si>
    <t>江岸区解放大道2066号统建·新干线办公楼栋/单元22层1号</t>
    <phoneticPr fontId="143" type="noConversion"/>
  </si>
  <si>
    <t>鄂（2018）武汉市江岸不动产权第0062609号</t>
    <phoneticPr fontId="143" type="noConversion"/>
  </si>
  <si>
    <t>江岸区解放大道2066号统建·新干线办公楼栋/单元22层2号</t>
  </si>
  <si>
    <t>鄂（2018）武汉市江岸不动产权第0062611号</t>
    <phoneticPr fontId="143" type="noConversion"/>
  </si>
  <si>
    <t>江岸区解放大道2066号统建·新干线办公楼栋/单元22层3号</t>
  </si>
  <si>
    <t>鄂（2018）武汉市江岸不动产权第0062825号</t>
    <phoneticPr fontId="143" type="noConversion"/>
  </si>
  <si>
    <t>江岸区解放大道2066号统建·新干线办公楼栋/单元22层4号</t>
  </si>
  <si>
    <t>鄂（2018）武汉市江岸不动产权第0062832号</t>
    <phoneticPr fontId="143" type="noConversion"/>
  </si>
  <si>
    <t>江岸区解放大道2066号统建·新干线办公楼栋/单元22层5号</t>
  </si>
  <si>
    <t>鄂（2018）武汉市江岸不动产权第0062463号</t>
    <phoneticPr fontId="143" type="noConversion"/>
  </si>
  <si>
    <t>江岸区解放大道2066号统建·新干线办公楼栋/单元22层6号</t>
  </si>
  <si>
    <t>鄂（2018）武汉市江岸不动产权第0062826号</t>
    <phoneticPr fontId="143" type="noConversion"/>
  </si>
  <si>
    <t>江岸区解放大道2066号统建·新干线办公楼栋/单元22层7号</t>
  </si>
  <si>
    <t>鄂（2018）武汉市江岸不动产权第0062827号</t>
    <phoneticPr fontId="143" type="noConversion"/>
  </si>
  <si>
    <t>江岸区解放大道2066号统建·新干线办公楼栋/单元22层8号</t>
  </si>
  <si>
    <t>江岸区解放大道2066号统建·新干线办公楼栋/单元22层9号</t>
  </si>
  <si>
    <t>鄂（2018）武汉市江岸不动产权第0062830号</t>
    <phoneticPr fontId="143" type="noConversion"/>
  </si>
  <si>
    <t>江岸区解放大道2066号统建·新干线办公楼栋/单元23层1号</t>
    <phoneticPr fontId="143" type="noConversion"/>
  </si>
  <si>
    <t>鄂（2018）武汉市江岸不动产权第0062798号</t>
    <phoneticPr fontId="143" type="noConversion"/>
  </si>
  <si>
    <t>江岸区解放大道2066号统建·新干线办公楼栋/单元23层2号</t>
  </si>
  <si>
    <t>鄂（2018）武汉市江岸不动产权第0062799号</t>
    <phoneticPr fontId="143" type="noConversion"/>
  </si>
  <si>
    <t>江岸区解放大道2066号统建·新干线办公楼栋/单元23层3号</t>
  </si>
  <si>
    <t>鄂（2018）武汉市江岸不动产权第0062800号</t>
  </si>
  <si>
    <t>江岸区解放大道2066号统建·新干线办公楼栋/单元23层4号</t>
  </si>
  <si>
    <t>鄂（2018）武汉市江岸不动产权第0062801号</t>
  </si>
  <si>
    <t>江岸区解放大道2066号统建·新干线办公楼栋/单元23层5号</t>
  </si>
  <si>
    <t>鄂（2018）武汉市江岸不动产权第0062802号</t>
  </si>
  <si>
    <t>江岸区解放大道2066号统建·新干线办公楼栋/单元23层6号</t>
  </si>
  <si>
    <t>鄂（2018）武汉市江岸不动产权第0062790号</t>
    <phoneticPr fontId="143" type="noConversion"/>
  </si>
  <si>
    <t>江岸区解放大道2066号统建·新干线办公楼栋/单元23层7号</t>
  </si>
  <si>
    <t>鄂（2018）武汉市江岸不动产权第0062791号</t>
  </si>
  <si>
    <t>江岸区解放大道2066号统建·新干线办公楼栋/单元23层8号</t>
  </si>
  <si>
    <t>鄂（2018）武汉市江岸不动产权第0062792号</t>
  </si>
  <si>
    <t>江岸区解放大道2066号统建·新干线办公楼栋/单元23层9号</t>
  </si>
  <si>
    <t>鄂（2018）武汉市江岸不动产权第0062793号</t>
  </si>
  <si>
    <t>江岸区解放大道2066号统建·新干线办公楼栋/单元24层1号</t>
    <phoneticPr fontId="143" type="noConversion"/>
  </si>
  <si>
    <t>鄂（2018）武汉市江岸不动产权第0062794号</t>
  </si>
  <si>
    <t>江岸区解放大道2066号统建·新干线办公楼栋/单元24层2号</t>
  </si>
  <si>
    <t>鄂（2018）武汉市江岸不动产权第0062702号</t>
    <phoneticPr fontId="143" type="noConversion"/>
  </si>
  <si>
    <t>江岸区解放大道2066号统建·新干线办公楼栋/单元24层3号</t>
  </si>
  <si>
    <t>鄂（2018）武汉市江岸不动产权第0062705号</t>
    <phoneticPr fontId="143" type="noConversion"/>
  </si>
  <si>
    <t>江岸区解放大道2066号统建·新干线办公楼栋/单元24层4号</t>
  </si>
  <si>
    <t>鄂（2018）武汉市江岸不动产权第0062709号</t>
    <phoneticPr fontId="143" type="noConversion"/>
  </si>
  <si>
    <t>江岸区解放大道2066号统建·新干线办公楼栋/单元24层5号</t>
  </si>
  <si>
    <t>鄂（2018）武汉市江岸不动产权第0062714号</t>
    <phoneticPr fontId="143" type="noConversion"/>
  </si>
  <si>
    <t>江岸区解放大道2066号统建·新干线办公楼栋/单元24层6号</t>
  </si>
  <si>
    <t>鄂（2018）武汉市江岸不动产权第0062602号</t>
    <phoneticPr fontId="143" type="noConversion"/>
  </si>
  <si>
    <t>江岸区解放大道2066号统建·新干线办公楼栋/单元24层7号</t>
  </si>
  <si>
    <t>鄂（2018）武汉市江岸不动产权第0062614号</t>
    <phoneticPr fontId="143" type="noConversion"/>
  </si>
  <si>
    <t>江岸区解放大道2066号统建·新干线办公楼栋/单元24层8号</t>
  </si>
  <si>
    <t>鄂（2018）武汉市江岸不动产权第0062461号</t>
    <phoneticPr fontId="143" type="noConversion"/>
  </si>
  <si>
    <t>江岸区解放大道2066号统建·新干线办公楼栋/单元24层9号</t>
  </si>
  <si>
    <t>鄂（2018）武汉市江岸不动产权第0062608号</t>
    <phoneticPr fontId="143" type="noConversion"/>
  </si>
  <si>
    <t>江岸区解放大道2066号统建·新干线办公楼栋/单元25层1号</t>
    <phoneticPr fontId="143" type="noConversion"/>
  </si>
  <si>
    <t>江岸区解放大道2066号统建·新干线办公楼栋/单元25层2号</t>
  </si>
  <si>
    <t>江岸区解放大道2066号统建·新干线办公楼栋/单元25层3号</t>
  </si>
  <si>
    <t>鄂（2018）武汉市江岸不动产权第0062676号</t>
    <phoneticPr fontId="143" type="noConversion"/>
  </si>
  <si>
    <t>江岸区解放大道2066号统建·新干线办公楼栋/单元25层4号</t>
  </si>
  <si>
    <t>江岸区解放大道2066号统建·新干线办公楼栋/单元25层5号</t>
  </si>
  <si>
    <t>江岸区解放大道2066号统建·新干线办公楼栋/单元25层6号</t>
  </si>
  <si>
    <t>鄂（2018）武汉市江岸不动产权第0062574号</t>
    <phoneticPr fontId="143" type="noConversion"/>
  </si>
  <si>
    <t>江岸区解放大道2066号统建·新干线办公楼栋/单元25层7号</t>
  </si>
  <si>
    <t>鄂（2018）武汉市江岸不动产权第0062575号</t>
    <phoneticPr fontId="143" type="noConversion"/>
  </si>
  <si>
    <t>江岸区解放大道2066号统建·新干线办公楼栋/单元25层8号</t>
  </si>
  <si>
    <t>鄂（2018）武汉市江岸不动产权第0062599号</t>
    <phoneticPr fontId="143" type="noConversion"/>
  </si>
  <si>
    <t>江岸区解放大道2066号统建·新干线办公楼栋/单元25层9号</t>
  </si>
  <si>
    <t>鄂（2018）武汉市江岸不动产权第0062601号</t>
    <phoneticPr fontId="143" type="noConversion"/>
  </si>
  <si>
    <t>江岸区解放大道2066号统建·新干线办公楼栋/单元26层1号</t>
    <phoneticPr fontId="143" type="noConversion"/>
  </si>
  <si>
    <t>鄂（2018）武汉市江岸不动产权第0062465号</t>
    <phoneticPr fontId="143" type="noConversion"/>
  </si>
  <si>
    <t>江岸区解放大道2066号统建·新干线办公楼栋/单元26层2号</t>
  </si>
  <si>
    <t>鄂（2018）武汉市江岸不动产权第0062476号</t>
    <phoneticPr fontId="143" type="noConversion"/>
  </si>
  <si>
    <t>江岸区解放大道2066号统建·新干线办公楼栋/单元26层3号</t>
  </si>
  <si>
    <t>鄂（2018）武汉市江岸不动产权第0062550号</t>
    <phoneticPr fontId="143" type="noConversion"/>
  </si>
  <si>
    <t>江岸区解放大道2066号统建·新干线办公楼栋/单元26层4号</t>
  </si>
  <si>
    <t>鄂（2018）武汉市江岸不动产权第0062554号</t>
    <phoneticPr fontId="143" type="noConversion"/>
  </si>
  <si>
    <t>江岸区解放大道2066号统建·新干线办公楼栋/单元26层5号</t>
  </si>
  <si>
    <t>鄂（2018）武汉市江岸不动产权第0062604号</t>
    <phoneticPr fontId="143" type="noConversion"/>
  </si>
  <si>
    <t>江岸区解放大道2066号统建·新干线办公楼栋/单元26层6号</t>
  </si>
  <si>
    <t>鄂（2018）武汉市江岸不动产权第0062619号</t>
    <phoneticPr fontId="143" type="noConversion"/>
  </si>
  <si>
    <t>鄂（2018）武汉市江岸不动产权第0057917号</t>
  </si>
  <si>
    <t>房号</t>
    <phoneticPr fontId="143" type="noConversion"/>
  </si>
  <si>
    <t>19-1</t>
    <phoneticPr fontId="143" type="noConversion"/>
  </si>
  <si>
    <t>19-2</t>
  </si>
  <si>
    <t>19-3</t>
  </si>
  <si>
    <t>19-4</t>
  </si>
  <si>
    <t>19-5</t>
  </si>
  <si>
    <t>19-6</t>
  </si>
  <si>
    <t>19-7</t>
  </si>
  <si>
    <t>19-8</t>
  </si>
  <si>
    <t>19-9</t>
  </si>
  <si>
    <t>20-1</t>
    <phoneticPr fontId="143" type="noConversion"/>
  </si>
  <si>
    <t>20-2</t>
  </si>
  <si>
    <t>20-3</t>
  </si>
  <si>
    <t>20-4</t>
  </si>
  <si>
    <t>20-5</t>
  </si>
  <si>
    <t>20-6</t>
  </si>
  <si>
    <t>20-7</t>
  </si>
  <si>
    <t>20-8</t>
  </si>
  <si>
    <t>20-9</t>
  </si>
  <si>
    <t>21-1</t>
    <phoneticPr fontId="143" type="noConversion"/>
  </si>
  <si>
    <t>21-2</t>
  </si>
  <si>
    <t>21-3</t>
  </si>
  <si>
    <t>21-4</t>
  </si>
  <si>
    <t>21-5</t>
  </si>
  <si>
    <t>21-6</t>
  </si>
  <si>
    <t>21-7</t>
  </si>
  <si>
    <t>21-8</t>
  </si>
  <si>
    <t>21-9</t>
  </si>
  <si>
    <t>22-1</t>
    <phoneticPr fontId="143" type="noConversion"/>
  </si>
  <si>
    <t>22-2</t>
  </si>
  <si>
    <t>22-3</t>
  </si>
  <si>
    <t>22-4</t>
  </si>
  <si>
    <t>22-5</t>
  </si>
  <si>
    <t>22-6</t>
  </si>
  <si>
    <t>22-7</t>
  </si>
  <si>
    <t>22-8</t>
  </si>
  <si>
    <t>22-9</t>
  </si>
  <si>
    <t>23-1</t>
    <phoneticPr fontId="143" type="noConversion"/>
  </si>
  <si>
    <t>23-2</t>
  </si>
  <si>
    <t>23-3</t>
  </si>
  <si>
    <t>23-4</t>
  </si>
  <si>
    <t>23-5</t>
  </si>
  <si>
    <t>23-6</t>
  </si>
  <si>
    <t>23-7</t>
  </si>
  <si>
    <t>23-8</t>
  </si>
  <si>
    <t>23-9</t>
  </si>
  <si>
    <t>24-1</t>
    <phoneticPr fontId="143" type="noConversion"/>
  </si>
  <si>
    <t>24-2</t>
  </si>
  <si>
    <t>24-3</t>
  </si>
  <si>
    <t>24-4</t>
  </si>
  <si>
    <t>24-5</t>
  </si>
  <si>
    <t>24-6</t>
  </si>
  <si>
    <t>24-7</t>
  </si>
  <si>
    <t>24-8</t>
  </si>
  <si>
    <t>24-9</t>
  </si>
  <si>
    <t>25-1</t>
    <phoneticPr fontId="143" type="noConversion"/>
  </si>
  <si>
    <t>25-2</t>
  </si>
  <si>
    <t>25-3</t>
  </si>
  <si>
    <t>25-4</t>
  </si>
  <si>
    <t>25-5</t>
  </si>
  <si>
    <t>25-6</t>
  </si>
  <si>
    <t>25-7</t>
  </si>
  <si>
    <t>25-8</t>
  </si>
  <si>
    <t>25-9</t>
  </si>
  <si>
    <t>26-1</t>
    <phoneticPr fontId="143" type="noConversion"/>
  </si>
  <si>
    <t>26-2</t>
  </si>
  <si>
    <t>26-3</t>
  </si>
  <si>
    <t>26-4</t>
  </si>
  <si>
    <t>26-5</t>
  </si>
  <si>
    <t>26-6</t>
  </si>
  <si>
    <t>评估单价（元/平方米）</t>
    <phoneticPr fontId="143" type="noConversion"/>
  </si>
  <si>
    <t>评估总价（万元）</t>
    <phoneticPr fontId="143" type="noConversion"/>
  </si>
  <si>
    <t>合计</t>
    <phoneticPr fontId="143" type="noConversion"/>
  </si>
  <si>
    <t>鄂（2018）武汉市江岸不动产权第0062679号</t>
    <phoneticPr fontId="143" type="noConversion"/>
  </si>
  <si>
    <t>鄂（2018）武汉市江岸不动产权第0062678号</t>
    <phoneticPr fontId="143" type="noConversion"/>
  </si>
  <si>
    <t>鄂（2018）武汉市江岸不动产权第0062721号</t>
    <phoneticPr fontId="143" type="noConversion"/>
  </si>
  <si>
    <t>鄂（2018）武汉市江岸不动产权第0062572号</t>
    <phoneticPr fontId="143" type="noConversion"/>
  </si>
  <si>
    <t>鄂（2018）武汉市江岸不动产权第0062828号</t>
    <phoneticPr fontId="143" type="noConversion"/>
  </si>
  <si>
    <t>鄂（2018）武汉市江岸不动产权第0062945号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</si>
</sst>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宋体"/>
      <family val="2"/>
      <scheme val="minor"/>
    </font>
    <font>
      <sz val="10"/>
      <name val="宋体"/>
      <family val="2"/>
      <scheme val="minor"/>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0" fillId="0" borderId="1" xfId="0" applyBorder="1">
      <alignment vertical="center"/>
    </xf>
    <xf numFmtId="0" fontId="99" fillId="0" borderId="1" xfId="0" applyFont="1" applyBorder="1">
      <alignment vertical="center"/>
    </xf>
    <xf numFmtId="0" fontId="98" fillId="0" borderId="44" xfId="0" applyNumberFormat="1" applyFont="1" applyFill="1" applyBorder="1" applyAlignment="1" applyProtection="1">
      <alignment horizontal="center" vertical="center" wrapText="1"/>
      <protection locked="0"/>
    </xf>
    <xf numFmtId="0" fontId="254" fillId="0" borderId="1" xfId="0" applyFont="1" applyBorder="1" applyAlignment="1"/>
    <xf numFmtId="0" fontId="254" fillId="0" borderId="0" xfId="0" applyFont="1" applyAlignment="1"/>
    <xf numFmtId="49" fontId="254" fillId="0" borderId="1" xfId="0" applyNumberFormat="1" applyFont="1" applyBorder="1" applyAlignment="1"/>
    <xf numFmtId="49" fontId="254" fillId="0" borderId="0" xfId="0" applyNumberFormat="1" applyFont="1" applyAlignment="1"/>
    <xf numFmtId="49" fontId="254" fillId="0" borderId="1" xfId="0" applyNumberFormat="1" applyFont="1" applyFill="1" applyBorder="1" applyAlignment="1"/>
    <xf numFmtId="49" fontId="192" fillId="0" borderId="1" xfId="0" applyNumberFormat="1" applyFont="1" applyFill="1" applyBorder="1" applyAlignment="1" applyProtection="1">
      <alignment horizontal="center" vertical="center"/>
      <protection locked="0"/>
    </xf>
    <xf numFmtId="0" fontId="255" fillId="8" borderId="1" xfId="0" applyFont="1" applyFill="1" applyBorder="1" applyAlignment="1"/>
    <xf numFmtId="49" fontId="255" fillId="8" borderId="1" xfId="0" applyNumberFormat="1" applyFont="1" applyFill="1" applyBorder="1" applyAlignment="1"/>
    <xf numFmtId="0" fontId="256" fillId="8"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xf>
    <xf numFmtId="0" fontId="254" fillId="0" borderId="54" xfId="0" applyFont="1" applyBorder="1" applyAlignment="1">
      <alignment horizontal="center"/>
    </xf>
    <xf numFmtId="0" fontId="254" fillId="0" borderId="3" xfId="0" applyFont="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12</xdr:col>
      <xdr:colOff>738485</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E34" sqref="E3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5.45平方米，建筑面积为107.51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5.45平方米，规划建筑面积为107.51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186</v>
      </c>
    </row>
    <row r="21" spans="1:2" s="1595" customFormat="1">
      <c r="A21" s="1593" t="s">
        <v>1235</v>
      </c>
      <c r="B21" s="1594">
        <f ca="1">'预评函-2'!D7</f>
        <v>17301</v>
      </c>
    </row>
    <row r="22" spans="1:2" s="1595" customFormat="1">
      <c r="A22" s="1593" t="s">
        <v>1236</v>
      </c>
      <c r="B22" s="1594" t="str">
        <f ca="1">'预评函-2'!D6</f>
        <v>壹佰捌拾陆万元整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186</v>
      </c>
    </row>
    <row r="31" spans="1:2" s="1595" customFormat="1">
      <c r="A31" s="1593" t="s">
        <v>1274</v>
      </c>
      <c r="B31" s="1594">
        <f ca="1">'预评函-2'!D15</f>
        <v>17301</v>
      </c>
    </row>
    <row r="32" spans="1:2" s="1595" customFormat="1">
      <c r="A32" s="1593" t="s">
        <v>1241</v>
      </c>
      <c r="B32" s="1594" t="str">
        <f ca="1">'预评函-2'!D14</f>
        <v>壹佰捌拾陆万元整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107.51</v>
      </c>
    </row>
    <row r="44" spans="1:2" s="1595" customFormat="1">
      <c r="A44" s="1593" t="s">
        <v>1273</v>
      </c>
      <c r="B44" s="1594" t="str">
        <f>'预评函-3'!C2</f>
        <v>(分摊)土地面积</v>
      </c>
    </row>
    <row r="45" spans="1:2" s="1595" customFormat="1">
      <c r="A45" s="1593" t="s">
        <v>1245</v>
      </c>
      <c r="B45" s="1594">
        <f>'预评函-3'!C4</f>
        <v>5.45</v>
      </c>
    </row>
    <row r="46" spans="1:2" s="1595" customFormat="1">
      <c r="A46" s="1593" t="s">
        <v>1271</v>
      </c>
      <c r="B46" s="1594" t="str">
        <f>'预评函-3'!D2</f>
        <v>出让国有建设用地使用权价值</v>
      </c>
    </row>
    <row r="47" spans="1:2" s="1595" customFormat="1">
      <c r="A47" s="1593" t="s">
        <v>1246</v>
      </c>
      <c r="B47" s="1594">
        <f ca="1">'预评函-3'!D4</f>
        <v>106</v>
      </c>
    </row>
    <row r="48" spans="1:2" s="1595" customFormat="1">
      <c r="A48" s="1593" t="s">
        <v>1247</v>
      </c>
      <c r="B48" s="1594">
        <f ca="1">'预评函-3'!E4</f>
        <v>9860</v>
      </c>
    </row>
    <row r="49" spans="1:2" s="1595" customFormat="1">
      <c r="A49" s="1593" t="s">
        <v>1248</v>
      </c>
      <c r="B49" s="1594" t="str">
        <f ca="1">'预评函-3'!D5</f>
        <v>壹佰零陆万元整</v>
      </c>
    </row>
    <row r="50" spans="1:2" s="1595" customFormat="1">
      <c r="A50" s="1593" t="s">
        <v>1272</v>
      </c>
      <c r="B50" s="1594" t="str">
        <f>'预评函-3'!F2</f>
        <v>在建建筑物价值</v>
      </c>
    </row>
    <row r="51" spans="1:2" s="1595" customFormat="1">
      <c r="A51" s="1593" t="s">
        <v>1249</v>
      </c>
      <c r="B51" s="1594">
        <f ca="1">'预评函-3'!F4</f>
        <v>80</v>
      </c>
    </row>
    <row r="52" spans="1:2" s="1595" customFormat="1">
      <c r="A52" s="1593" t="s">
        <v>1250</v>
      </c>
      <c r="B52" s="1594">
        <f ca="1">'预评函-3'!G4</f>
        <v>7441</v>
      </c>
    </row>
    <row r="53" spans="1:2" s="1595" customFormat="1">
      <c r="A53" s="1593" t="s">
        <v>1278</v>
      </c>
      <c r="B53" s="1594" t="str">
        <f ca="1">'预评函-3'!F5</f>
        <v>捌拾万元整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1281</v>
      </c>
    </row>
    <row r="55" spans="1:4">
      <c r="A55" s="3026"/>
      <c r="B55" s="2024" t="s">
        <v>865</v>
      </c>
      <c r="C55" s="2021" t="s">
        <v>1282</v>
      </c>
    </row>
    <row r="56" spans="1:4">
      <c r="A56" s="3026"/>
      <c r="B56" s="2024" t="s">
        <v>866</v>
      </c>
      <c r="C56" s="2021" t="s">
        <v>1286</v>
      </c>
    </row>
    <row r="57" spans="1:4">
      <c r="A57" s="302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C32" sqref="C32"/>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27"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28"/>
      <c r="D1" s="3028"/>
      <c r="E1" s="3028"/>
      <c r="F1" s="3028"/>
      <c r="G1" s="3028"/>
      <c r="H1" s="3028"/>
      <c r="I1" s="302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3099</v>
      </c>
      <c r="C4" s="1040">
        <f ca="1">SUMIF(注册房地产估价师,B4,估价师及机构信息!B3:B24)</f>
        <v>1120050019</v>
      </c>
      <c r="D4" s="2041" t="s">
        <v>3100</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6" t="s">
        <v>3104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7" t="s">
        <v>3101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3112</v>
      </c>
      <c r="C8" s="2056"/>
      <c r="D8" s="3030" t="s">
        <v>1785</v>
      </c>
      <c r="E8" s="2057"/>
      <c r="F8" s="2058"/>
      <c r="G8" s="2028"/>
      <c r="H8" s="2028"/>
      <c r="I8" s="2028"/>
      <c r="J8" s="2044"/>
      <c r="K8" s="2045"/>
      <c r="L8" s="2030"/>
      <c r="M8" s="2030"/>
      <c r="N8" s="2031"/>
      <c r="O8" s="2032"/>
      <c r="P8" s="2031"/>
      <c r="Q8" s="2031"/>
      <c r="R8" s="2031"/>
    </row>
    <row r="9" spans="1:19" ht="18" customHeight="1" thickBot="1">
      <c r="A9" s="2042" t="s">
        <v>1786</v>
      </c>
      <c r="B9" s="2059" t="s">
        <v>3113</v>
      </c>
      <c r="C9" s="2060"/>
      <c r="D9" s="3031"/>
      <c r="E9" s="2059" t="s">
        <v>70</v>
      </c>
      <c r="F9" s="2061"/>
      <c r="G9" s="2062"/>
      <c r="H9" s="2062"/>
      <c r="I9" s="2062"/>
      <c r="J9" s="2044"/>
      <c r="K9" s="2054"/>
      <c r="L9" s="2030"/>
      <c r="M9" s="2030"/>
      <c r="N9" s="2031"/>
      <c r="O9" s="2032"/>
      <c r="P9" s="2031"/>
      <c r="Q9" s="2031"/>
      <c r="R9" s="2031"/>
    </row>
    <row r="10" spans="1:19" ht="18" customHeight="1" thickTop="1">
      <c r="A10" s="2063" t="s">
        <v>1787</v>
      </c>
      <c r="B10" s="2064" t="s">
        <v>3064</v>
      </c>
      <c r="C10" s="2968" t="s">
        <v>3102</v>
      </c>
      <c r="D10" s="2048"/>
      <c r="E10" s="2065" t="s">
        <v>1788</v>
      </c>
      <c r="F10" s="2969" t="s">
        <v>3103</v>
      </c>
      <c r="G10" s="2066"/>
      <c r="H10" s="2067"/>
      <c r="I10" s="2048"/>
      <c r="J10" s="2044"/>
      <c r="K10" s="2054"/>
      <c r="L10" s="2030"/>
      <c r="M10" s="2030"/>
      <c r="N10" s="2031"/>
      <c r="O10" s="2032"/>
      <c r="P10" s="2031"/>
      <c r="Q10" s="2031"/>
      <c r="R10" s="2031"/>
    </row>
    <row r="11" spans="1:19" ht="18" customHeight="1">
      <c r="A11" s="2068" t="s">
        <v>1789</v>
      </c>
      <c r="B11" s="2069" t="s">
        <v>3065</v>
      </c>
      <c r="C11" s="2970" t="s">
        <v>3105</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3066</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37"/>
      <c r="C16" s="3038"/>
      <c r="D16" s="3039"/>
      <c r="E16" s="2083" t="s">
        <v>1802</v>
      </c>
      <c r="F16" s="3040"/>
      <c r="G16" s="3041"/>
      <c r="H16" s="3041"/>
      <c r="I16" s="3042"/>
      <c r="J16" s="2031"/>
      <c r="K16" s="2080"/>
      <c r="L16" s="2081"/>
      <c r="M16" s="2081"/>
      <c r="N16" s="2082"/>
      <c r="O16" s="2081"/>
      <c r="P16" s="2082"/>
      <c r="Q16" s="2031"/>
      <c r="R16" s="2031"/>
    </row>
    <row r="17" spans="1:22" ht="18" customHeight="1">
      <c r="A17" s="2084" t="s">
        <v>1803</v>
      </c>
      <c r="B17" s="2037" t="s">
        <v>1804</v>
      </c>
      <c r="C17" s="1057">
        <f>'数据-汇总表'!E3</f>
        <v>107.51</v>
      </c>
      <c r="D17" s="2085" t="s">
        <v>1805</v>
      </c>
      <c r="E17" s="3043" t="s">
        <v>1806</v>
      </c>
      <c r="F17" s="3044"/>
      <c r="G17" s="3044"/>
      <c r="H17" s="3044"/>
      <c r="I17" s="3045"/>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5.45</v>
      </c>
      <c r="D18" s="2088" t="s">
        <v>1805</v>
      </c>
      <c r="E18" s="3046" t="s">
        <v>1809</v>
      </c>
      <c r="F18" s="3047"/>
      <c r="G18" s="3047"/>
      <c r="H18" s="3047"/>
      <c r="I18" s="3048"/>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33" t="s">
        <v>1814</v>
      </c>
      <c r="C20" s="3034"/>
      <c r="D20" s="3035" t="s">
        <v>1815</v>
      </c>
      <c r="E20" s="3036"/>
      <c r="F20" s="2095" t="s">
        <v>1816</v>
      </c>
      <c r="G20" s="2044"/>
      <c r="H20" s="2044"/>
      <c r="I20" s="2044"/>
      <c r="J20" s="2044"/>
      <c r="K20" s="303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50"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50"/>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50"/>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51"/>
      <c r="B30" s="2037" t="s">
        <v>1833</v>
      </c>
      <c r="C30" s="3052"/>
      <c r="D30" s="305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54"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55"/>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55"/>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3106</v>
      </c>
      <c r="C34" s="2131" t="s">
        <v>3107</v>
      </c>
      <c r="D34" s="2131" t="s">
        <v>3108</v>
      </c>
      <c r="E34" s="2131" t="s">
        <v>3109</v>
      </c>
      <c r="F34" s="2131" t="s">
        <v>3110</v>
      </c>
      <c r="G34" s="2131" t="s">
        <v>3111</v>
      </c>
      <c r="H34" s="2131" t="s">
        <v>70</v>
      </c>
      <c r="I34" s="2044"/>
      <c r="J34" s="2044"/>
      <c r="K34" s="1797">
        <f>COUNTIF(B34:H34,"——")</f>
        <v>1</v>
      </c>
      <c r="L34" s="2072" t="s">
        <v>1836</v>
      </c>
      <c r="M34" s="2072" t="s">
        <v>1837</v>
      </c>
      <c r="N34" s="2072" t="s">
        <v>1838</v>
      </c>
      <c r="O34" s="2072" t="s">
        <v>1839</v>
      </c>
      <c r="P34" s="2072" t="s">
        <v>1840</v>
      </c>
      <c r="Q34" s="2072" t="s">
        <v>1841</v>
      </c>
      <c r="R34" s="2072" t="s">
        <v>1842</v>
      </c>
      <c r="S34" s="3049" t="s">
        <v>1843</v>
      </c>
      <c r="T34" s="2132" t="str">
        <f>NUMBERSTRING(7-K34,1)&amp;"通"</f>
        <v>六通</v>
      </c>
      <c r="U34" s="2031"/>
      <c r="V34" s="2031"/>
    </row>
    <row r="35" spans="1:22" ht="18" customHeight="1">
      <c r="A35" s="2133"/>
      <c r="B35" s="3056" t="s">
        <v>1844</v>
      </c>
      <c r="C35" s="3056"/>
      <c r="D35" s="3056"/>
      <c r="E35" s="3056"/>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Sheet2!F2</f>
        <v>5.45</v>
      </c>
      <c r="B3" s="14">
        <f>IF(C3="否",G5-AT5,G5)</f>
        <v>107.51</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107.51</v>
      </c>
      <c r="H5" s="16">
        <f t="shared" ref="H5:AT5" si="0">SUM(H13:H656)</f>
        <v>107.51</v>
      </c>
      <c r="I5" s="16">
        <f t="shared" si="0"/>
        <v>107.51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107.51</v>
      </c>
      <c r="BA5" s="18">
        <f t="shared" si="1"/>
        <v>107.51</v>
      </c>
      <c r="BB5" s="18">
        <f t="shared" si="1"/>
        <v>107.51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5.45</v>
      </c>
      <c r="F6" s="16" t="s">
        <v>1</v>
      </c>
      <c r="G6" s="16" t="s">
        <v>2</v>
      </c>
      <c r="H6" s="20">
        <f>SUMIF(I$12:AB$12,"总值",I6:AB6)</f>
        <v>5.45</v>
      </c>
      <c r="I6" s="16">
        <f t="shared" ref="I6:AB6" si="2">ROUND($A$3*I5/$B$3,2)</f>
        <v>5.45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5.45</v>
      </c>
      <c r="AZ6" s="16" t="s">
        <v>3</v>
      </c>
      <c r="BA6" s="16">
        <f>ROUND($AY$6*BA5/$AZ$5,2)</f>
        <v>5.45</v>
      </c>
      <c r="BB6" s="16">
        <f>ROUND($AY$6*BB5/$AZ$5,2)</f>
        <v>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3053</v>
      </c>
      <c r="J9" s="984"/>
      <c r="K9" s="2189" t="s">
        <v>3053</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3054</v>
      </c>
      <c r="J11" s="2201"/>
      <c r="K11" s="2200" t="s">
        <v>3055</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3052</v>
      </c>
      <c r="D13" s="2211" t="s">
        <v>3056</v>
      </c>
      <c r="E13" s="16">
        <f>IF($C$3="是",ROUND($A$3*G13/$B$3,2),ROUND($A$3*(G13-AT13)/$B$3,2))</f>
        <v>5.45</v>
      </c>
      <c r="F13" s="32"/>
      <c r="G13" s="33">
        <f>H13+AC13+AT13</f>
        <v>107.51</v>
      </c>
      <c r="H13" s="20">
        <f>SUMIF(I$12:AB$12,"总值",I13:AB13)</f>
        <v>107.51</v>
      </c>
      <c r="I13" s="2212">
        <f>Sheet2!E2</f>
        <v>107.51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5.45</v>
      </c>
      <c r="AZ13" s="16">
        <f>BA13+BL13</f>
        <v>107.51</v>
      </c>
      <c r="BA13" s="16">
        <f>SUM(BB13:BK13)</f>
        <v>107.51</v>
      </c>
      <c r="BB13" s="16">
        <f>IF($D13="是",I13-J13,0)</f>
        <v>107.51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c r="D14" s="2944" t="s">
        <v>3057</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c r="D15" s="2944" t="s">
        <v>3057</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c r="D16" s="2944" t="s">
        <v>3057</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c r="D17" s="2944" t="s">
        <v>3057</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68" t="s">
        <v>1940</v>
      </c>
      <c r="B2" s="3068"/>
      <c r="C2" s="3068"/>
      <c r="D2" s="970" t="s">
        <v>1916</v>
      </c>
      <c r="E2" s="2225" t="s">
        <v>1917</v>
      </c>
      <c r="F2" s="1394"/>
      <c r="G2" s="2226"/>
      <c r="H2" s="2227"/>
      <c r="I2" s="2228" t="s">
        <v>1941</v>
      </c>
      <c r="J2" s="1394"/>
      <c r="K2" s="1394"/>
      <c r="L2" s="1394"/>
      <c r="M2" s="1394"/>
      <c r="N2" s="1429"/>
      <c r="O2" s="1394"/>
      <c r="P2" s="1394"/>
    </row>
    <row r="3" spans="1:16" ht="15.75" thickBot="1">
      <c r="A3" s="3069" t="s">
        <v>1914</v>
      </c>
      <c r="B3" s="3069"/>
      <c r="C3" s="3069"/>
      <c r="D3" s="46">
        <f>'数据-基础表'!AY6</f>
        <v>5.45</v>
      </c>
      <c r="E3" s="46">
        <f>'数据-基础表'!AZ5</f>
        <v>107.51</v>
      </c>
      <c r="F3" s="1394"/>
      <c r="G3" s="1401"/>
      <c r="H3" s="1249" t="s">
        <v>1915</v>
      </c>
      <c r="I3" s="55">
        <f>ROUND('数据-基础表'!B3/'数据-基础表'!A3,2)</f>
        <v>19.73</v>
      </c>
      <c r="J3" s="1394"/>
      <c r="K3" s="1394"/>
      <c r="L3" s="1394"/>
      <c r="M3" s="1394"/>
      <c r="N3" s="1429"/>
      <c r="O3" s="1394"/>
      <c r="P3" s="1394"/>
    </row>
    <row r="4" spans="1:16" ht="15">
      <c r="A4" s="3070"/>
      <c r="B4" s="3071"/>
      <c r="C4" s="3072"/>
      <c r="D4" s="2229" t="s">
        <v>1916</v>
      </c>
      <c r="E4" s="2230" t="s">
        <v>1917</v>
      </c>
      <c r="F4" s="1394"/>
      <c r="G4" s="2231" t="s">
        <v>1942</v>
      </c>
      <c r="H4" s="1249" t="s">
        <v>1922</v>
      </c>
      <c r="I4" s="55">
        <f>ROUND(SUMIF('数据-基础表'!I9:AS9,"地上",'数据-基础表'!I5:AS5)/'数据-基础表'!A3,2)</f>
        <v>19.73</v>
      </c>
      <c r="J4" s="1394"/>
      <c r="K4" s="1394"/>
      <c r="L4" s="1394"/>
      <c r="M4" s="1394"/>
      <c r="N4" s="1429"/>
      <c r="O4" s="1394"/>
      <c r="P4" s="1394"/>
    </row>
    <row r="5" spans="1:16">
      <c r="A5" s="47" t="s">
        <v>1918</v>
      </c>
      <c r="B5" s="3073" t="s">
        <v>1919</v>
      </c>
      <c r="C5" s="3073"/>
      <c r="D5" s="48">
        <f>ROUND($D$3*E5/$E$3,2)</f>
        <v>0</v>
      </c>
      <c r="E5" s="49">
        <f>SUMIF('数据-基础表'!$11:$11,"住宅",'数据-基础表'!$5:$5)</f>
        <v>0</v>
      </c>
      <c r="F5" s="1394"/>
      <c r="G5" s="1401"/>
      <c r="H5" s="1249" t="s">
        <v>1915</v>
      </c>
      <c r="I5" s="55">
        <f>ROUND(E31/D31,2)</f>
        <v>19.73</v>
      </c>
      <c r="J5" s="1394"/>
      <c r="K5" s="1394"/>
      <c r="L5" s="1394"/>
      <c r="M5" s="1394"/>
      <c r="N5" s="1394"/>
      <c r="O5" s="1394"/>
      <c r="P5" s="1394"/>
    </row>
    <row r="6" spans="1:16" ht="15" thickBot="1">
      <c r="A6" s="2232"/>
      <c r="B6" s="3073" t="s">
        <v>1920</v>
      </c>
      <c r="C6" s="3073"/>
      <c r="D6" s="48">
        <f>ROUND($D$3*E6/$E$3,2)</f>
        <v>5.45</v>
      </c>
      <c r="E6" s="49">
        <f>E3-E5</f>
        <v>107.51</v>
      </c>
      <c r="F6" s="1394"/>
      <c r="G6" s="2233" t="s">
        <v>1921</v>
      </c>
      <c r="H6" s="1401" t="s">
        <v>1922</v>
      </c>
      <c r="I6" s="942">
        <f>ROUND(F31/D31,2)</f>
        <v>19.73</v>
      </c>
      <c r="J6" s="1394"/>
      <c r="K6" s="1394"/>
      <c r="L6" s="1394"/>
      <c r="M6" s="1394"/>
      <c r="N6" s="1394"/>
      <c r="O6" s="1394"/>
      <c r="P6" s="1394"/>
    </row>
    <row r="7" spans="1:16" ht="15">
      <c r="A7" s="3065"/>
      <c r="B7" s="3066"/>
      <c r="C7" s="3067"/>
      <c r="D7" s="2229" t="s">
        <v>1916</v>
      </c>
      <c r="E7" s="2234" t="s">
        <v>1923</v>
      </c>
      <c r="F7" s="1394"/>
      <c r="G7" s="2226" t="s">
        <v>1924</v>
      </c>
      <c r="H7" s="64"/>
      <c r="I7" s="420">
        <v>4</v>
      </c>
      <c r="J7" s="1394"/>
      <c r="K7" s="1394"/>
      <c r="L7" s="1394"/>
      <c r="M7" s="1394"/>
      <c r="N7" s="1394"/>
      <c r="O7" s="1394"/>
      <c r="P7" s="1394"/>
    </row>
    <row r="8" spans="1:16">
      <c r="A8" s="47" t="s">
        <v>1925</v>
      </c>
      <c r="B8" s="50" t="s">
        <v>1926</v>
      </c>
      <c r="C8" s="48" t="s">
        <v>1927</v>
      </c>
      <c r="D8" s="48">
        <f t="shared" ref="D8:D15" si="0">ROUND($D$3*E8/$E$3,2)</f>
        <v>5.45</v>
      </c>
      <c r="E8" s="51">
        <f>SUMIF('数据-基础表'!BB10:BK10,"地上",'数据-基础表'!BB5:BK5)</f>
        <v>107.51</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5.45</v>
      </c>
      <c r="E16" s="53">
        <f>SUM(E8:E15)</f>
        <v>107.51</v>
      </c>
      <c r="F16" s="1394"/>
      <c r="G16" s="2235"/>
      <c r="H16" s="2238" t="s">
        <v>1944</v>
      </c>
      <c r="I16" s="2239"/>
      <c r="J16" s="1394"/>
      <c r="K16" s="3062" t="s">
        <v>1944</v>
      </c>
      <c r="L16" s="3063"/>
      <c r="M16" s="3063"/>
      <c r="N16" s="3063"/>
      <c r="O16" s="3063"/>
      <c r="P16" s="3064"/>
    </row>
    <row r="17" spans="1:19" ht="15">
      <c r="A17" s="2240" t="s">
        <v>1945</v>
      </c>
      <c r="B17" s="2241" t="s">
        <v>1946</v>
      </c>
      <c r="C17" s="2242" t="s">
        <v>1947</v>
      </c>
      <c r="D17" s="2243" t="s">
        <v>1935</v>
      </c>
      <c r="E17" s="2244" t="s">
        <v>1936</v>
      </c>
      <c r="F17" s="2245"/>
      <c r="G17" s="2246"/>
      <c r="H17" s="2247" t="s">
        <v>1948</v>
      </c>
      <c r="I17" s="2248" t="s">
        <v>1933</v>
      </c>
      <c r="J17" s="1394"/>
      <c r="K17" s="3059" t="s">
        <v>1949</v>
      </c>
      <c r="L17" s="3060"/>
      <c r="M17" s="3061"/>
      <c r="N17" s="3059" t="s">
        <v>1950</v>
      </c>
      <c r="O17" s="3060"/>
      <c r="P17" s="3061"/>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3058</v>
      </c>
      <c r="D19" s="48">
        <f>ROUND($D$3*E19/$E$3,2)</f>
        <v>5.45</v>
      </c>
      <c r="E19" s="56">
        <f t="shared" ref="E19:E26" si="1">SUM(F19:G19)</f>
        <v>107.51</v>
      </c>
      <c r="F19" s="57">
        <f>'数据-基础表'!I13</f>
        <v>107.51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5.45</v>
      </c>
      <c r="S19" s="1250">
        <f t="shared" si="5"/>
        <v>107.51</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5.45</v>
      </c>
      <c r="E27" s="1396">
        <f>IF(SUM(E19:E26)='数据-基础表'!BA5,SUM(E19:E26),IF(F27="地上面积有误","面积有误","地下面积有误"))</f>
        <v>107.51</v>
      </c>
      <c r="F27" s="1395">
        <f>IF(SUM(F19:F26)=E8,SUM(F19:F26),"地上面积有误")</f>
        <v>107.51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5.45</v>
      </c>
      <c r="S27" s="1249">
        <f>IF(SUM(S19:S26)=$E$3,SUM(S19:S26),SUM(S19:S26)&amp;"误差"&amp;ROUND(SUM(S19:S26)-E3,2))</f>
        <v>107.51</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5.45</v>
      </c>
      <c r="E31" s="729">
        <f>E27+E30</f>
        <v>107.51</v>
      </c>
      <c r="F31" s="730">
        <f>F27+F30</f>
        <v>107.51</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2" sqref="A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3059</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107.51</v>
      </c>
      <c r="L6" s="803">
        <v>2500</v>
      </c>
      <c r="M6" s="75">
        <f t="shared" ref="M6:M14" si="0">ROUND(K6*L6/10000,0)</f>
        <v>27</v>
      </c>
      <c r="N6" s="801">
        <v>1</v>
      </c>
      <c r="O6" s="75" t="str">
        <f>IF($N$5="成新度","——",ROUND(M6*N6,0))</f>
        <v>——</v>
      </c>
      <c r="P6" s="76" t="str">
        <f>IF($N$5="成新度","——",M6-O6)</f>
        <v>——</v>
      </c>
      <c r="Q6" s="804">
        <v>0.1</v>
      </c>
      <c r="R6" s="77">
        <f ca="1">SUMIF('数据-汇总表'!C$19:C$33,A6,'数据-汇总表'!R$19:R$27)</f>
        <v>5.45</v>
      </c>
      <c r="S6" s="54">
        <f>IF('数据-汇总表'!$I$17="按面积比例",SUMIF('数据-汇总表'!C$19:C$33,A6,'数据-汇总表'!K$19:K$33),SUMIF('数据-汇总表'!C$19:C$33,A6,'数据-汇总表'!N$19:N$33))</f>
        <v>0</v>
      </c>
      <c r="T6" s="1445">
        <f>ROUND($L$14*S6/10000,0)</f>
        <v>0</v>
      </c>
      <c r="U6" s="78">
        <v>2.5</v>
      </c>
      <c r="V6" s="79">
        <v>0.03</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0.01</v>
      </c>
      <c r="AN6" s="2307" t="s">
        <v>3060</v>
      </c>
      <c r="AO6" s="55">
        <f ca="1">SUMIF(INDIRECT("'"&amp;AN6&amp;"'"&amp;"!A:A"),"总价",INDIRECT("'"&amp;AN6&amp;"'"&amp;"!B:B"))</f>
        <v>161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107.51</v>
      </c>
      <c r="L16" s="102">
        <f>ROUND(M16*10000/SUM(K6:K14),0)</f>
        <v>2511</v>
      </c>
      <c r="M16" s="102">
        <f>SUM(M6:M14)</f>
        <v>27</v>
      </c>
      <c r="N16" s="103">
        <f>ROUND(SUMPRODUCT(M6:M14,N6:N14)/M16,3)</f>
        <v>1</v>
      </c>
      <c r="O16" s="102">
        <f>SUM(O6:O14)</f>
        <v>0</v>
      </c>
      <c r="P16" s="102">
        <f>SUM(P6:P14)</f>
        <v>0</v>
      </c>
      <c r="Q16" s="104">
        <f>ROUND(SUMPRODUCT(Q6:Q13,K6:K13)/SUMPRODUCT((Q6:Q13&gt;0)*(K6:K13)),2)</f>
        <v>0.1</v>
      </c>
      <c r="R16" s="1257">
        <f ca="1">SUM(R6:R13)</f>
        <v>5.45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150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4" t="s">
        <v>2085</v>
      </c>
      <c r="B1" s="3075"/>
      <c r="C1" s="3075"/>
      <c r="D1" s="3075"/>
      <c r="E1" s="3075"/>
      <c r="F1" s="3075"/>
      <c r="G1" s="307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3121</v>
      </c>
      <c r="D5" s="2369"/>
      <c r="E5" s="2373"/>
      <c r="F5" s="1797" t="s">
        <v>2098</v>
      </c>
      <c r="G5" s="2374" t="s">
        <v>2099</v>
      </c>
      <c r="H5" s="2366"/>
      <c r="I5" s="2366"/>
      <c r="J5" s="2366"/>
      <c r="K5" s="2366"/>
      <c r="L5" s="2366"/>
      <c r="M5" s="2366"/>
      <c r="N5" s="2366"/>
      <c r="O5" s="2366"/>
      <c r="P5" s="2366"/>
      <c r="Q5" s="2366"/>
      <c r="R5" s="2366"/>
    </row>
    <row r="6" spans="1:29" ht="54">
      <c r="A6" s="431"/>
      <c r="B6" s="1797" t="s">
        <v>2100</v>
      </c>
      <c r="C6" s="2374" t="s">
        <v>2096</v>
      </c>
      <c r="D6" s="2369"/>
      <c r="E6" s="2373"/>
      <c r="F6" s="1797" t="s">
        <v>2101</v>
      </c>
      <c r="G6" s="2374" t="s">
        <v>2102</v>
      </c>
      <c r="H6" s="2366"/>
      <c r="I6" s="2366"/>
      <c r="J6" s="2366"/>
      <c r="K6" s="2366"/>
      <c r="L6" s="2366"/>
      <c r="M6" s="2366"/>
      <c r="N6" s="2366"/>
      <c r="O6" s="2366"/>
      <c r="P6" s="2366"/>
      <c r="Q6" s="2366"/>
      <c r="R6" s="2366"/>
    </row>
    <row r="7" spans="1:29" ht="41.25" thickBot="1">
      <c r="A7" s="431"/>
      <c r="B7" s="1797" t="s">
        <v>2098</v>
      </c>
      <c r="C7" s="2374" t="s">
        <v>2099</v>
      </c>
      <c r="D7" s="2375"/>
      <c r="E7" s="2376"/>
      <c r="F7" s="2377" t="s">
        <v>2103</v>
      </c>
      <c r="G7" s="2378" t="s">
        <v>2104</v>
      </c>
      <c r="H7" s="2366"/>
      <c r="I7" s="2366"/>
      <c r="J7" s="2366"/>
      <c r="K7" s="2366"/>
      <c r="L7" s="2366"/>
      <c r="M7" s="2366"/>
      <c r="N7" s="2366"/>
      <c r="O7" s="2366"/>
      <c r="P7" s="2366"/>
      <c r="Q7" s="2366"/>
      <c r="R7" s="2366"/>
    </row>
    <row r="8" spans="1:29" ht="27">
      <c r="A8" s="431"/>
      <c r="B8" s="1797" t="s">
        <v>2101</v>
      </c>
      <c r="C8" s="2374" t="s">
        <v>2102</v>
      </c>
      <c r="D8" s="2375"/>
      <c r="E8" s="2375"/>
      <c r="F8" s="1136"/>
      <c r="G8" s="1136"/>
      <c r="H8" s="2366"/>
      <c r="I8" s="2366"/>
      <c r="J8" s="2366"/>
      <c r="K8" s="2366"/>
      <c r="L8" s="2366"/>
      <c r="M8" s="2366"/>
      <c r="N8" s="2366"/>
      <c r="O8" s="2366"/>
      <c r="P8" s="2366"/>
      <c r="Q8" s="2366"/>
      <c r="R8" s="2366"/>
    </row>
    <row r="9" spans="1:29" ht="27">
      <c r="A9" s="431"/>
      <c r="B9" s="1797" t="s">
        <v>2105</v>
      </c>
      <c r="C9" s="2372" t="s">
        <v>2106</v>
      </c>
      <c r="D9" s="2369"/>
      <c r="E9" s="2375"/>
      <c r="F9" s="1136"/>
      <c r="G9" s="1136"/>
      <c r="H9" s="2366"/>
      <c r="I9" s="2366"/>
      <c r="J9" s="2366"/>
      <c r="K9" s="2366"/>
      <c r="L9" s="2366"/>
      <c r="M9" s="2366"/>
      <c r="N9" s="2366"/>
      <c r="O9" s="2366"/>
      <c r="P9" s="2366"/>
      <c r="Q9" s="2366"/>
      <c r="R9" s="2366"/>
    </row>
    <row r="10" spans="1:29" s="117" customFormat="1" ht="15.75" thickBot="1">
      <c r="A10" s="2379"/>
      <c r="B10" s="2380" t="s">
        <v>2107</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8" t="s">
        <v>2111</v>
      </c>
      <c r="B15" s="1269" t="s">
        <v>2089</v>
      </c>
      <c r="C15" s="2401" t="str">
        <f>C3</f>
        <v>估价对象周边居住用地比例、居住小区规模和社区发展完善程度，综合评价居住社区成熟度一般</v>
      </c>
      <c r="D15" s="2369"/>
      <c r="E15" s="2402" t="s">
        <v>2112</v>
      </c>
      <c r="F15" s="1269" t="s">
        <v>2113</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2114</v>
      </c>
      <c r="G17" s="1571"/>
    </row>
    <row r="18" spans="1:18" ht="57">
      <c r="A18" s="645"/>
      <c r="B18" s="2406" t="s">
        <v>2100</v>
      </c>
      <c r="C18" s="136" t="str">
        <f>C6</f>
        <v>估价对象周边道路状况、公共交通通达情况、停车便捷程度，综合评价交通便捷度较好</v>
      </c>
      <c r="D18" s="2375"/>
      <c r="E18" s="2405"/>
      <c r="F18" s="2406" t="s">
        <v>2103</v>
      </c>
      <c r="G18" s="136" t="str">
        <f>G7</f>
        <v>该园区内是否有污染型企业，绿化情况，卫生条件，整体环境状况判断</v>
      </c>
    </row>
    <row r="19" spans="1:18" ht="28.5">
      <c r="A19" s="645"/>
      <c r="B19" s="2406" t="s">
        <v>2115</v>
      </c>
      <c r="C19" s="1571"/>
      <c r="D19" s="2369"/>
      <c r="E19" s="2405"/>
      <c r="F19" s="1797" t="s">
        <v>2098</v>
      </c>
      <c r="G19" s="136" t="str">
        <f>G5</f>
        <v>估价对象所在区域公共配套设施齐备情况</v>
      </c>
    </row>
    <row r="20" spans="1:18" ht="28.5">
      <c r="A20" s="645"/>
      <c r="B20" s="2406" t="s">
        <v>2116</v>
      </c>
      <c r="C20" s="2404" t="str">
        <f>C9</f>
        <v>区域自然环境：；人文环境；综合评价环境状况一般</v>
      </c>
      <c r="D20" s="2375"/>
      <c r="E20" s="2405"/>
      <c r="F20" s="1797" t="s">
        <v>2117</v>
      </c>
      <c r="G20" s="136" t="str">
        <f>G6</f>
        <v>估价对象所在区域基础设施水平</v>
      </c>
    </row>
    <row r="21" spans="1:18" ht="28.5">
      <c r="A21" s="645"/>
      <c r="B21" s="1797" t="s">
        <v>2098</v>
      </c>
      <c r="C21" s="136" t="str">
        <f>C7</f>
        <v>估价对象所在区域公共配套设施齐备情况</v>
      </c>
      <c r="D21" s="2369"/>
      <c r="E21" s="2405"/>
      <c r="F21" s="2406" t="s">
        <v>2118</v>
      </c>
      <c r="G21" s="2407"/>
    </row>
    <row r="22" spans="1:18" ht="13.5" customHeight="1">
      <c r="A22" s="645"/>
      <c r="B22" s="1797" t="s">
        <v>2101</v>
      </c>
      <c r="C22" s="136" t="str">
        <f>C8</f>
        <v>估价对象所在区域基础设施水平</v>
      </c>
      <c r="D22" s="2369"/>
      <c r="E22" s="2405"/>
      <c r="F22" s="2406" t="s">
        <v>2107</v>
      </c>
      <c r="G22" s="1571"/>
    </row>
    <row r="23" spans="1:18" s="2366" customFormat="1" ht="15.75" thickBot="1">
      <c r="A23" s="645"/>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B16" sqref="B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10684.189999999995</v>
      </c>
      <c r="C1" s="1744"/>
      <c r="D1" s="1744"/>
      <c r="E1" s="1744"/>
      <c r="F1" s="1744"/>
      <c r="G1" s="1742"/>
    </row>
    <row r="2" spans="1:10" ht="16.5">
      <c r="A2" s="1745" t="s">
        <v>1353</v>
      </c>
      <c r="B2" s="1745">
        <f>SUM(C14:C23)</f>
        <v>2264.6999999999998</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18420</v>
      </c>
      <c r="C5" s="1745">
        <f ca="1">ROUND(B5*10000/$B$1,0)</f>
        <v>17240</v>
      </c>
      <c r="D5" s="1745">
        <f ca="1">ROUND(B5*10000/$B$2,0)</f>
        <v>81335</v>
      </c>
      <c r="E5" s="1744"/>
      <c r="F5" s="1742"/>
      <c r="G5" s="1742"/>
    </row>
    <row r="6" spans="1:10" ht="16.5">
      <c r="A6" s="1745" t="s">
        <v>1356</v>
      </c>
      <c r="B6" s="1745">
        <f ca="1">SUM(G14:G23)</f>
        <v>18420</v>
      </c>
      <c r="C6" s="1745">
        <f ca="1">ROUND(B6*10000/$B$1,0)</f>
        <v>17240</v>
      </c>
      <c r="D6" s="1745">
        <f ca="1">ROUND(B6*10000/$B$2,0)</f>
        <v>81335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107.51</v>
      </c>
      <c r="C14" s="1743">
        <f>结果表!C118</f>
        <v>5.45</v>
      </c>
      <c r="D14" s="1743">
        <f ca="1">结果表!H118</f>
        <v>186</v>
      </c>
      <c r="E14" s="1743">
        <f ca="1">ROUND(D14*10000/B14,0)</f>
        <v>17301</v>
      </c>
      <c r="F14" s="1743">
        <f ca="1">ROUND(D14*10000/C14,0)</f>
        <v>341284</v>
      </c>
      <c r="G14" s="1743">
        <f ca="1">结果表!D122</f>
        <v>186</v>
      </c>
      <c r="H14" s="1743" t="str">
        <f>结果表!D124</f>
        <v>——</v>
      </c>
      <c r="I14" s="1743" t="str">
        <f>结果表!D126</f>
        <v>——</v>
      </c>
      <c r="J14" s="1742"/>
    </row>
    <row r="15" spans="1:10" ht="16.5">
      <c r="A15" s="1741" t="s">
        <v>1349</v>
      </c>
      <c r="B15" s="1748">
        <f>典型户型修正!B22-典型户型修正!B24</f>
        <v>10576.679999999995</v>
      </c>
      <c r="C15" s="1748">
        <f>SUM(Sheet1!M6:M12)</f>
        <v>2259.25</v>
      </c>
      <c r="D15" s="1748">
        <f ca="1">典型户型修正!S22-典型户型修正!S24-1</f>
        <v>18234</v>
      </c>
      <c r="E15" s="1743">
        <f t="shared" ref="E15:E23" ca="1" si="0">ROUND(D15*10000/B15,0)</f>
        <v>17240</v>
      </c>
      <c r="F15" s="1743">
        <f t="shared" ref="F15:F23" ca="1" si="1">ROUND(D15*10000/C15,0)</f>
        <v>80708</v>
      </c>
      <c r="G15" s="1749">
        <f ca="1">D15</f>
        <v>18234</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5" zoomScaleNormal="100" zoomScaleSheetLayoutView="100" zoomScalePageLayoutView="80" workbookViewId="0">
      <selection activeCell="C20" sqref="C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2121</v>
      </c>
      <c r="B1" s="2417"/>
      <c r="C1" s="2418"/>
      <c r="D1" s="2417"/>
      <c r="E1" s="2417"/>
      <c r="F1" s="2419" t="s">
        <v>2122</v>
      </c>
      <c r="G1" s="2069" t="s">
        <v>3097</v>
      </c>
      <c r="H1" s="2420" t="str">
        <f>IF(G1="现房","——","估价对象范围")</f>
        <v>——</v>
      </c>
      <c r="I1" s="2421"/>
    </row>
    <row r="2" spans="1:12" ht="21.75" customHeight="1" thickBot="1">
      <c r="A2" s="3148" t="str">
        <f>项目基本情况!S2</f>
        <v>湖北省武汉市江岸区解放大道与张公堤路交叉口处房地产</v>
      </c>
      <c r="B2" s="3149"/>
      <c r="C2" s="3149"/>
      <c r="D2" s="3149"/>
      <c r="E2" s="3149"/>
      <c r="F2" s="3149"/>
      <c r="G2" s="3149"/>
      <c r="H2" s="3149"/>
      <c r="I2" s="3150"/>
    </row>
    <row r="3" spans="1:12" ht="12.75">
      <c r="A3" s="3151" t="s">
        <v>2123</v>
      </c>
      <c r="B3" s="3152"/>
      <c r="C3" s="3152"/>
      <c r="D3" s="3152"/>
      <c r="E3" s="3152"/>
      <c r="F3" s="3152"/>
      <c r="G3" s="3152"/>
      <c r="H3" s="3152"/>
      <c r="I3" s="3152"/>
    </row>
    <row r="4" spans="1:12" ht="14.25">
      <c r="A4" s="2424" t="s">
        <v>2124</v>
      </c>
      <c r="B4" s="2425" t="s">
        <v>2125</v>
      </c>
      <c r="C4" s="2426" t="s">
        <v>3098</v>
      </c>
      <c r="D4" s="2426" t="s">
        <v>3060</v>
      </c>
      <c r="E4" s="3132" t="s">
        <v>2126</v>
      </c>
      <c r="F4" s="3145"/>
      <c r="G4" s="3145"/>
      <c r="H4" s="3145"/>
      <c r="I4" s="3133"/>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2127</v>
      </c>
      <c r="B5" s="3049">
        <v>25</v>
      </c>
      <c r="C5" s="3153">
        <v>24</v>
      </c>
      <c r="D5" s="3141">
        <v>18</v>
      </c>
      <c r="E5" s="140" t="s">
        <v>2128</v>
      </c>
      <c r="F5" s="2428"/>
      <c r="G5" s="2428"/>
      <c r="H5" s="2428"/>
      <c r="I5" s="1833"/>
    </row>
    <row r="6" spans="1:12" ht="12.75">
      <c r="A6" s="3123"/>
      <c r="B6" s="3049"/>
      <c r="C6" s="3155"/>
      <c r="D6" s="3141"/>
      <c r="E6" s="140" t="s">
        <v>2129</v>
      </c>
      <c r="F6" s="2428"/>
      <c r="G6" s="2428"/>
      <c r="H6" s="2428"/>
      <c r="I6" s="1833"/>
    </row>
    <row r="7" spans="1:12" ht="12.75">
      <c r="A7" s="3123"/>
      <c r="B7" s="3049"/>
      <c r="C7" s="3154"/>
      <c r="D7" s="3141"/>
      <c r="E7" s="140" t="s">
        <v>2130</v>
      </c>
      <c r="F7" s="2428"/>
      <c r="G7" s="2428"/>
      <c r="H7" s="2428"/>
      <c r="I7" s="1833"/>
    </row>
    <row r="8" spans="1:12" ht="12.75">
      <c r="A8" s="3123" t="s">
        <v>2131</v>
      </c>
      <c r="B8" s="3049">
        <v>15</v>
      </c>
      <c r="C8" s="3153">
        <v>14</v>
      </c>
      <c r="D8" s="3141">
        <v>9</v>
      </c>
      <c r="E8" s="140" t="s">
        <v>2132</v>
      </c>
      <c r="F8" s="2428"/>
      <c r="G8" s="2428"/>
      <c r="H8" s="2428"/>
      <c r="I8" s="1833"/>
    </row>
    <row r="9" spans="1:12" ht="12.75">
      <c r="A9" s="3123"/>
      <c r="B9" s="3049"/>
      <c r="C9" s="3154"/>
      <c r="D9" s="3141"/>
      <c r="E9" s="140" t="s">
        <v>2133</v>
      </c>
      <c r="F9" s="2428"/>
      <c r="G9" s="2428"/>
      <c r="H9" s="2428"/>
      <c r="I9" s="1833"/>
    </row>
    <row r="10" spans="1:12" ht="12.75">
      <c r="A10" s="3123" t="s">
        <v>2134</v>
      </c>
      <c r="B10" s="3049">
        <v>15</v>
      </c>
      <c r="C10" s="3153">
        <v>14</v>
      </c>
      <c r="D10" s="3141">
        <v>9</v>
      </c>
      <c r="E10" s="140" t="s">
        <v>2135</v>
      </c>
      <c r="F10" s="2428"/>
      <c r="G10" s="2428"/>
      <c r="H10" s="2428"/>
      <c r="I10" s="1833"/>
    </row>
    <row r="11" spans="1:12" ht="12.75">
      <c r="A11" s="3123"/>
      <c r="B11" s="3049"/>
      <c r="C11" s="3154"/>
      <c r="D11" s="3141"/>
      <c r="E11" s="140" t="s">
        <v>2136</v>
      </c>
      <c r="F11" s="2428"/>
      <c r="G11" s="2428"/>
      <c r="H11" s="2428"/>
      <c r="I11" s="1833"/>
    </row>
    <row r="12" spans="1:12" ht="12.75">
      <c r="A12" s="3123" t="s">
        <v>2137</v>
      </c>
      <c r="B12" s="3049">
        <v>15</v>
      </c>
      <c r="C12" s="3153">
        <v>14</v>
      </c>
      <c r="D12" s="3141">
        <v>9</v>
      </c>
      <c r="E12" s="140" t="s">
        <v>2138</v>
      </c>
      <c r="F12" s="2428"/>
      <c r="G12" s="2428"/>
      <c r="H12" s="2428"/>
      <c r="I12" s="1833"/>
    </row>
    <row r="13" spans="1:12" ht="12.75">
      <c r="A13" s="3123"/>
      <c r="B13" s="3049"/>
      <c r="C13" s="3154"/>
      <c r="D13" s="3141"/>
      <c r="E13" s="140" t="s">
        <v>2139</v>
      </c>
      <c r="F13" s="2428"/>
      <c r="G13" s="2428"/>
      <c r="H13" s="2428"/>
      <c r="I13" s="1833"/>
    </row>
    <row r="14" spans="1:12" ht="12.75">
      <c r="A14" s="3123" t="s">
        <v>2140</v>
      </c>
      <c r="B14" s="3049">
        <v>30</v>
      </c>
      <c r="C14" s="3153">
        <v>29</v>
      </c>
      <c r="D14" s="3141">
        <v>19</v>
      </c>
      <c r="E14" s="140" t="s">
        <v>2141</v>
      </c>
      <c r="F14" s="2428"/>
      <c r="G14" s="2428"/>
      <c r="H14" s="2428"/>
      <c r="I14" s="1833"/>
    </row>
    <row r="15" spans="1:12" ht="12.75">
      <c r="A15" s="3123"/>
      <c r="B15" s="3049"/>
      <c r="C15" s="3155"/>
      <c r="D15" s="3141"/>
      <c r="E15" s="140" t="s">
        <v>2142</v>
      </c>
      <c r="F15" s="2428"/>
      <c r="G15" s="2428"/>
      <c r="H15" s="2428"/>
      <c r="I15" s="1833"/>
    </row>
    <row r="16" spans="1:12" ht="12.75">
      <c r="A16" s="3123"/>
      <c r="B16" s="3049"/>
      <c r="C16" s="3154"/>
      <c r="D16" s="3141"/>
      <c r="E16" s="140" t="s">
        <v>2143</v>
      </c>
      <c r="F16" s="2428"/>
      <c r="G16" s="2428"/>
      <c r="H16" s="2428"/>
      <c r="I16" s="1833"/>
    </row>
    <row r="17" spans="1:35" ht="15">
      <c r="A17" s="2429" t="s">
        <v>2144</v>
      </c>
      <c r="B17" s="64"/>
      <c r="C17" s="141">
        <f>SUM(C5:C16)</f>
        <v>95</v>
      </c>
      <c r="D17" s="141">
        <f>SUM(D5:D16)</f>
        <v>64</v>
      </c>
      <c r="E17" s="138"/>
      <c r="F17" s="138"/>
      <c r="G17" s="138"/>
      <c r="H17" s="138"/>
      <c r="I17" s="138"/>
      <c r="K17" s="2427"/>
      <c r="L17" s="2430" t="s">
        <v>2145</v>
      </c>
      <c r="M17" s="2430" t="s">
        <v>2146</v>
      </c>
    </row>
    <row r="18" spans="1:35" ht="15.75" thickBot="1">
      <c r="A18" s="2431" t="s">
        <v>2147</v>
      </c>
      <c r="B18" s="2432"/>
      <c r="C18" s="142">
        <f>ROUND(C17/SUM(C17:D17),2)</f>
        <v>0.6</v>
      </c>
      <c r="D18" s="142">
        <f>1-C18</f>
        <v>0.4</v>
      </c>
      <c r="E18" s="138"/>
      <c r="F18" s="138"/>
      <c r="G18" s="138"/>
      <c r="H18" s="138"/>
      <c r="I18" s="138"/>
      <c r="K18" s="2427" t="s">
        <v>2148</v>
      </c>
      <c r="L18" s="2427">
        <f>IF(C1="",'数据-汇总表'!E3,SUMIF(项目类型,C1,'数据-汇总表'!E17:E26)+SUMIF(项目类型,C1,'数据-汇总表'!I17:I26))</f>
        <v>107.51</v>
      </c>
      <c r="M18" s="2427">
        <f>IF(C1="",'数据-汇总表'!E3,SUMIF(项目类型,C1,'数据-汇总表'!E17:E26))</f>
        <v>107.51</v>
      </c>
    </row>
    <row r="19" spans="1:35" ht="15">
      <c r="A19" s="2433" t="s">
        <v>2149</v>
      </c>
      <c r="B19" s="2434" t="s">
        <v>2150</v>
      </c>
      <c r="C19" s="143">
        <f ca="1">SUMIF(INDIRECT("'"&amp;C4&amp;"'"&amp;"!A:A"),结果表!B19,INDIRECT("'"&amp;C4&amp;"'"&amp;"!B:B"))</f>
        <v>203</v>
      </c>
      <c r="D19" s="144">
        <f ca="1">SUMIF(INDIRECT("'"&amp;D4&amp;"'"&amp;"!A:A"),结果表!B19,INDIRECT("'"&amp;D4&amp;"'"&amp;"!B:B"))</f>
        <v>161</v>
      </c>
      <c r="E19" s="2433" t="s">
        <v>2151</v>
      </c>
      <c r="F19" s="2434" t="s">
        <v>2150</v>
      </c>
      <c r="G19" s="145">
        <f ca="1">ROUND(C19*$C$18+D19*$D$18,0)</f>
        <v>186</v>
      </c>
      <c r="H19" s="2435" t="s">
        <v>2152</v>
      </c>
      <c r="I19" s="138"/>
      <c r="K19" s="2427" t="s">
        <v>2153</v>
      </c>
      <c r="L19" s="2427">
        <f>IF(C1="",'数据-汇总表'!D3,SUMIF(项目类型,C1,'数据-汇总表'!D17:D26)+SUMIF(项目类型,C1,'数据-汇总表'!H17:H27))</f>
        <v>5.45</v>
      </c>
      <c r="M19" s="2427">
        <f>IF(C1="",'数据-汇总表'!D3,SUMIF(项目类型,C1,'数据-汇总表'!D17:D26))</f>
        <v>5.45</v>
      </c>
    </row>
    <row r="20" spans="1:35" ht="15">
      <c r="A20" s="2436"/>
      <c r="B20" s="1249" t="s">
        <v>2154</v>
      </c>
      <c r="C20" s="146">
        <f ca="1">SUMIF(INDIRECT("'"&amp;C4&amp;"'"&amp;"!A:A"),结果表!B20,INDIRECT("'"&amp;C4&amp;"'"&amp;"!B:B"))</f>
        <v>18889</v>
      </c>
      <c r="D20" s="147">
        <f ca="1">SUMIF(INDIRECT("'"&amp;D4&amp;"'"&amp;"!A:A"),结果表!B20,INDIRECT("'"&amp;D4&amp;"'"&amp;"!B:B"))</f>
        <v>14975</v>
      </c>
      <c r="E20" s="2436"/>
      <c r="F20" s="1249" t="s">
        <v>2154</v>
      </c>
      <c r="G20" s="148">
        <f ca="1">ROUND(C20*$C$18+D20*$D$18,0)</f>
        <v>17323</v>
      </c>
      <c r="H20" s="983" t="s">
        <v>2155</v>
      </c>
      <c r="I20" s="138"/>
    </row>
    <row r="21" spans="1:35" ht="15" customHeight="1" thickBot="1">
      <c r="A21" s="1003"/>
      <c r="B21" s="2437" t="s">
        <v>2156</v>
      </c>
      <c r="C21" s="789">
        <f ca="1">ROUND(C19*10000/L19,0)</f>
        <v>372477</v>
      </c>
      <c r="D21" s="790">
        <f ca="1">ROUND(D19*10000/L19,0)</f>
        <v>295413</v>
      </c>
      <c r="E21" s="1003"/>
      <c r="F21" s="2437" t="s">
        <v>2156</v>
      </c>
      <c r="G21" s="149">
        <f ca="1">ROUND(G19*10000/L19,0)</f>
        <v>341284</v>
      </c>
      <c r="H21" s="2438" t="s">
        <v>2155</v>
      </c>
      <c r="I21" s="138"/>
    </row>
    <row r="22" spans="1:35" ht="15" thickBot="1">
      <c r="A22" s="2279" t="s">
        <v>2157</v>
      </c>
      <c r="B22" s="2439"/>
      <c r="C22" s="2440"/>
      <c r="D22" s="791">
        <f ca="1">IF(C19&lt;D19,D19/C19-1,C19/D19-1)</f>
        <v>0.26086956521739135</v>
      </c>
      <c r="E22" s="138"/>
      <c r="F22" s="138"/>
      <c r="G22" s="138"/>
      <c r="H22" s="138"/>
      <c r="I22" s="138"/>
    </row>
    <row r="23" spans="1:35" ht="13.5" thickBot="1">
      <c r="A23" s="2417"/>
      <c r="B23" s="2417"/>
      <c r="C23" s="2417"/>
      <c r="D23" s="2417"/>
      <c r="E23" s="138"/>
      <c r="F23" s="138"/>
      <c r="G23" s="138"/>
      <c r="H23" s="138"/>
      <c r="I23" s="138"/>
    </row>
    <row r="24" spans="1:35" ht="14.25">
      <c r="A24" s="3162" t="s">
        <v>2158</v>
      </c>
      <c r="B24" s="2434" t="s">
        <v>2150</v>
      </c>
      <c r="C24" s="145">
        <f>IF(B30=0,0,D30)</f>
        <v>0</v>
      </c>
      <c r="D24" s="2441"/>
      <c r="E24" s="138"/>
      <c r="F24" s="138"/>
      <c r="G24" s="138"/>
      <c r="H24" s="138"/>
      <c r="I24" s="138"/>
    </row>
    <row r="25" spans="1:35" ht="14.25">
      <c r="A25" s="3163"/>
      <c r="B25" s="1249" t="s">
        <v>2154</v>
      </c>
      <c r="C25" s="150">
        <f>IF(B30=0,0,C30)</f>
        <v>0</v>
      </c>
      <c r="D25" s="2442"/>
      <c r="E25" s="138"/>
      <c r="F25" s="138"/>
      <c r="G25" s="138"/>
      <c r="H25" s="138"/>
      <c r="I25" s="138"/>
    </row>
    <row r="26" spans="1:35" ht="13.5" customHeight="1">
      <c r="A26" s="2443" t="s">
        <v>2159</v>
      </c>
      <c r="B26" s="151" t="s">
        <v>2160</v>
      </c>
      <c r="C26" s="151" t="s">
        <v>2161</v>
      </c>
      <c r="D26" s="152" t="s">
        <v>2162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2163</v>
      </c>
      <c r="B30" s="151"/>
      <c r="C30" s="151"/>
      <c r="D30" s="151"/>
      <c r="E30" s="2925" t="s">
        <v>3040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186</v>
      </c>
      <c r="D32" s="2448" t="s">
        <v>2165</v>
      </c>
      <c r="E32" s="138"/>
      <c r="F32" s="138"/>
      <c r="G32" s="138"/>
      <c r="H32" s="138"/>
      <c r="I32" s="138"/>
    </row>
    <row r="33" spans="1:15" ht="15">
      <c r="A33" s="960" t="s">
        <v>2166</v>
      </c>
      <c r="B33" s="2449"/>
      <c r="C33" s="2450" t="s">
        <v>3115</v>
      </c>
      <c r="D33" s="2451" t="s">
        <v>3060</v>
      </c>
      <c r="E33" s="2452" t="s">
        <v>2167</v>
      </c>
      <c r="F33" s="2453" t="str">
        <f>IF(D32="楼面单价","取值（单价）","取值（总价）")</f>
        <v>取值（总价）</v>
      </c>
      <c r="G33" s="138"/>
      <c r="H33" s="138"/>
      <c r="I33" s="138"/>
    </row>
    <row r="34" spans="1:15" ht="15">
      <c r="A34" s="2454"/>
      <c r="B34" s="2455" t="s">
        <v>2168</v>
      </c>
      <c r="C34" s="157">
        <f ca="1">IF(C33="自定义",F34,C32-C35)</f>
        <v>106</v>
      </c>
      <c r="D34" s="1058">
        <f ca="1">IF(C33="自定义",ROUND(C34/C32,3),IF(C33="收益比率",SUMIF(INDIRECT("'"&amp;D33&amp;"'"&amp;"!b:b"),"土地收益比率",INDIRECT("'"&amp;D33&amp;"'"&amp;"!c:c")),SUMIF(INDIRECT("'"&amp;D33&amp;"'"&amp;"!b:b"),"土地成本比率",INDIRECT("'"&amp;D33&amp;"'"&amp;"!c:c"))))</f>
        <v>0.57099999999999995</v>
      </c>
      <c r="E34" s="2456" t="s">
        <v>2169</v>
      </c>
      <c r="F34" s="1738"/>
      <c r="G34" s="138"/>
      <c r="H34" s="138"/>
      <c r="I34" s="138"/>
    </row>
    <row r="35" spans="1:15" ht="15.75" thickBot="1">
      <c r="A35" s="2457"/>
      <c r="B35" s="2458" t="s">
        <v>2170</v>
      </c>
      <c r="C35" s="1443">
        <f ca="1">IF(C33="自定义",F35,ROUND(C32*D35,0))</f>
        <v>80</v>
      </c>
      <c r="D35" s="1444">
        <f ca="1">IF(C33="自定义",ROUND(C35/C32,3),IF(C33="收益比率",SUMIF(INDIRECT("'"&amp;D33&amp;"'"&amp;"!b:b"),"建筑物收益比率",INDIRECT("'"&amp;D33&amp;"'"&amp;"!c:c")),SUMIF(INDIRECT("'"&amp;D33&amp;"'"&amp;"!b:b"),"建筑物成本比率",INDIRECT("'"&amp;D33&amp;"'"&amp;"!c:c"))))</f>
        <v>0.42899999999999999</v>
      </c>
      <c r="E35" s="2459" t="s">
        <v>2171</v>
      </c>
      <c r="F35" s="163"/>
      <c r="G35" s="138"/>
      <c r="H35" s="138"/>
      <c r="I35" s="138"/>
    </row>
    <row r="36" spans="1:15" ht="15.75" thickBot="1">
      <c r="A36" s="3142" t="s">
        <v>2172</v>
      </c>
      <c r="B36" s="2460" t="s">
        <v>2173</v>
      </c>
      <c r="C36" s="154"/>
      <c r="D36" s="2461"/>
      <c r="E36" s="2462"/>
      <c r="F36" s="2463"/>
      <c r="G36" s="138"/>
      <c r="H36" s="138"/>
      <c r="I36" s="138"/>
    </row>
    <row r="37" spans="1:15" ht="15.75" thickBot="1">
      <c r="A37" s="3143"/>
      <c r="B37" s="2265" t="s">
        <v>2174</v>
      </c>
      <c r="C37" s="156"/>
      <c r="D37" s="1394"/>
      <c r="E37" s="1394"/>
      <c r="F37" s="2463"/>
      <c r="G37" s="138"/>
      <c r="H37" s="138"/>
      <c r="I37" s="138"/>
    </row>
    <row r="38" spans="1:15" ht="15.75" thickBot="1">
      <c r="A38" s="3144"/>
      <c r="B38" s="2464" t="s">
        <v>2175</v>
      </c>
      <c r="C38" s="727"/>
      <c r="D38" s="2465" t="s">
        <v>2176</v>
      </c>
      <c r="E38" s="1394"/>
      <c r="F38" s="2463"/>
      <c r="G38" s="138"/>
      <c r="H38" s="138"/>
      <c r="I38" s="138"/>
    </row>
    <row r="39" spans="1:15" ht="15">
      <c r="A39" s="2436" t="s">
        <v>2177</v>
      </c>
      <c r="B39" s="2466" t="s">
        <v>2178</v>
      </c>
      <c r="C39" s="2467" t="s">
        <v>2179</v>
      </c>
      <c r="D39" s="2467" t="s">
        <v>2180</v>
      </c>
      <c r="E39" s="2468" t="s">
        <v>2181</v>
      </c>
      <c r="F39" s="2463"/>
      <c r="G39" s="138"/>
      <c r="H39" s="138"/>
      <c r="I39" s="138"/>
    </row>
    <row r="40" spans="1:15" ht="14.25">
      <c r="A40" s="2469" t="s">
        <v>2182</v>
      </c>
      <c r="B40" s="158"/>
      <c r="C40" s="159"/>
      <c r="D40" s="159"/>
      <c r="E40" s="160"/>
      <c r="F40" s="2463"/>
      <c r="G40" s="138"/>
      <c r="H40" s="138"/>
      <c r="I40" s="138"/>
    </row>
    <row r="41" spans="1:15" ht="14.25">
      <c r="A41" s="2469" t="s">
        <v>2183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159" t="s">
        <v>2186</v>
      </c>
      <c r="B45" s="3160"/>
      <c r="C45" s="3161"/>
      <c r="D45" s="164">
        <f ca="1">ROUND(H101*F45,0)</f>
        <v>186</v>
      </c>
      <c r="E45" s="165" t="s">
        <v>2187</v>
      </c>
      <c r="F45" s="166">
        <v>1</v>
      </c>
      <c r="G45" s="167" t="s">
        <v>2188</v>
      </c>
      <c r="H45" s="138"/>
      <c r="I45" s="138"/>
      <c r="J45" s="3078" t="s">
        <v>2189</v>
      </c>
      <c r="K45" s="3078"/>
      <c r="L45" s="3078"/>
      <c r="M45" s="3078"/>
      <c r="N45" s="3078"/>
      <c r="O45" s="3078"/>
    </row>
    <row r="46" spans="1:15" ht="14.25" customHeight="1">
      <c r="A46" s="3156" t="s">
        <v>2190</v>
      </c>
      <c r="B46" s="3157"/>
      <c r="C46" s="3157"/>
      <c r="D46" s="3157"/>
      <c r="E46" s="3157"/>
      <c r="F46" s="3157"/>
      <c r="G46" s="3158"/>
      <c r="H46" s="2479"/>
      <c r="I46" s="168"/>
      <c r="J46" s="1811">
        <v>1</v>
      </c>
      <c r="K46" s="3078" t="s">
        <v>2191</v>
      </c>
      <c r="L46" s="3078"/>
      <c r="M46" s="3079"/>
      <c r="N46" s="3079"/>
      <c r="O46" s="3079"/>
    </row>
    <row r="47" spans="1:15" ht="12" customHeight="1">
      <c r="A47" s="169" t="s">
        <v>2192</v>
      </c>
      <c r="B47" s="170"/>
      <c r="C47" s="171"/>
      <c r="D47" s="172" t="s">
        <v>2193</v>
      </c>
      <c r="E47" s="24" t="s">
        <v>2194</v>
      </c>
      <c r="F47" s="173" t="s">
        <v>2195</v>
      </c>
      <c r="G47" s="174" t="s">
        <v>2196</v>
      </c>
      <c r="H47" s="2479"/>
      <c r="I47" s="168"/>
      <c r="J47" s="1811">
        <v>2</v>
      </c>
      <c r="K47" s="3078" t="s">
        <v>2197</v>
      </c>
      <c r="L47" s="3078"/>
      <c r="M47" s="3080">
        <f>'数据-取费表'!B2</f>
        <v>43432</v>
      </c>
      <c r="N47" s="3080"/>
      <c r="O47" s="3080"/>
    </row>
    <row r="48" spans="1:15" ht="25.5">
      <c r="A48" s="3146" t="s">
        <v>2198</v>
      </c>
      <c r="B48" s="3147"/>
      <c r="C48" s="3147"/>
      <c r="D48" s="140">
        <f>IF(H48="情况1",0,IF(H48="情况2",D52,IF(H48="情况3",D53,IF(H48="情况4",D54))))</f>
        <v>0</v>
      </c>
      <c r="E48" s="1800" t="str">
        <f>IF(H48="情况4","(销售额-原购置价)×税（费）率","销售额×税（费）率")</f>
        <v>销售额×税（费）率</v>
      </c>
      <c r="F48" s="175" t="str">
        <f>IF(H48="情况1","免征",'数据-取费表'!B41)</f>
        <v>免征</v>
      </c>
      <c r="G48" s="2480" t="s">
        <v>2199</v>
      </c>
      <c r="H48" s="2481" t="s">
        <v>2200</v>
      </c>
      <c r="I48" s="2479"/>
      <c r="J48" s="1811">
        <v>3</v>
      </c>
      <c r="K48" s="3078" t="s">
        <v>2201</v>
      </c>
      <c r="L48" s="3078"/>
      <c r="M48" s="3081">
        <f ca="1">H101</f>
        <v>186</v>
      </c>
      <c r="N48" s="3081"/>
      <c r="O48" s="3081"/>
    </row>
    <row r="49" spans="1:35" ht="25.5" customHeight="1">
      <c r="A49" s="176" t="s">
        <v>2202</v>
      </c>
      <c r="B49" s="3126" t="s">
        <v>2203</v>
      </c>
      <c r="C49" s="3126"/>
      <c r="D49" s="177">
        <v>0</v>
      </c>
      <c r="E49" s="23" t="s">
        <v>2204</v>
      </c>
      <c r="F49" s="28" t="s">
        <v>34</v>
      </c>
      <c r="G49" s="3107"/>
      <c r="H49" s="138"/>
      <c r="I49" s="2482"/>
      <c r="J49" s="1811">
        <v>4</v>
      </c>
      <c r="K49" s="3078" t="str">
        <f>IF(项目基本情况!E8="房地产抵押价值","房地产抵押价值","抵押担保权已注销时的房地产抵押价值")</f>
        <v>抵押担保权已注销时的房地产抵押价值</v>
      </c>
      <c r="L49" s="3078"/>
      <c r="M49" s="3081" t="str">
        <f>IF(项目基本情况!E8="房地产抵押价值",H107,H109)</f>
        <v>——</v>
      </c>
      <c r="N49" s="3081"/>
      <c r="O49" s="3081"/>
    </row>
    <row r="50" spans="1:35" ht="25.5" customHeight="1">
      <c r="A50" s="178"/>
      <c r="B50" s="3126" t="s">
        <v>2205</v>
      </c>
      <c r="C50" s="3126"/>
      <c r="D50" s="179"/>
      <c r="E50" s="31"/>
      <c r="F50" s="180"/>
      <c r="G50" s="3108"/>
      <c r="H50" s="138"/>
      <c r="I50" s="2482"/>
      <c r="J50" s="3078" t="s">
        <v>2206</v>
      </c>
      <c r="K50" s="3078"/>
      <c r="L50" s="3078"/>
      <c r="M50" s="3078"/>
      <c r="N50" s="3078"/>
      <c r="O50" s="3078"/>
    </row>
    <row r="51" spans="1:35" ht="12" customHeight="1">
      <c r="A51" s="181"/>
      <c r="B51" s="3126" t="s">
        <v>2207</v>
      </c>
      <c r="C51" s="3126"/>
      <c r="D51" s="182"/>
      <c r="E51" s="30"/>
      <c r="F51" s="180"/>
      <c r="G51" s="3109"/>
      <c r="H51" s="138"/>
      <c r="I51" s="2482"/>
      <c r="J51" s="2483" t="s">
        <v>2208</v>
      </c>
      <c r="K51" s="3078" t="s">
        <v>2209</v>
      </c>
      <c r="L51" s="3078"/>
      <c r="M51" s="2483" t="s">
        <v>2210</v>
      </c>
      <c r="N51" s="2483" t="s">
        <v>2211</v>
      </c>
      <c r="O51" s="2483" t="s">
        <v>2212</v>
      </c>
    </row>
    <row r="52" spans="1:35" ht="24" customHeight="1">
      <c r="A52" s="183" t="s">
        <v>2213</v>
      </c>
      <c r="B52" s="3126" t="s">
        <v>2214</v>
      </c>
      <c r="C52" s="3126"/>
      <c r="D52" s="182">
        <f ca="1">ROUND(D45*'数据-取费表'!B41/(1+'数据-取费表'!C42),0)</f>
        <v>10</v>
      </c>
      <c r="E52" s="11" t="s">
        <v>2215</v>
      </c>
      <c r="F52" s="184">
        <f>'数据-取费表'!B41</f>
        <v>5.6000000000000001E-2</v>
      </c>
      <c r="G52" s="2484"/>
      <c r="H52" s="138"/>
      <c r="I52" s="2482"/>
      <c r="J52" s="1811">
        <v>1</v>
      </c>
      <c r="K52" s="3101" t="s">
        <v>2216</v>
      </c>
      <c r="L52" s="3101"/>
      <c r="M52" s="1753">
        <f>D48</f>
        <v>0</v>
      </c>
      <c r="N52" s="1811" t="str">
        <f>E48</f>
        <v>销售额×税（费）率</v>
      </c>
      <c r="O52" s="1754" t="str">
        <f>F48</f>
        <v>免征</v>
      </c>
    </row>
    <row r="53" spans="1:35" ht="12" customHeight="1">
      <c r="A53" s="183" t="s">
        <v>2217</v>
      </c>
      <c r="B53" s="3127" t="s">
        <v>2218</v>
      </c>
      <c r="C53" s="3128"/>
      <c r="D53" s="182">
        <f ca="1">ROUND(D45*'数据-取费表'!B41/(1+'数据-取费表'!C42),0)</f>
        <v>10</v>
      </c>
      <c r="E53" s="11" t="s">
        <v>2215</v>
      </c>
      <c r="F53" s="184">
        <f>'数据-取费表'!B41</f>
        <v>5.6000000000000001E-2</v>
      </c>
      <c r="G53" s="2484"/>
      <c r="H53" s="138"/>
      <c r="I53" s="2482"/>
      <c r="J53" s="1811">
        <v>2</v>
      </c>
      <c r="K53" s="3101" t="s">
        <v>2219</v>
      </c>
      <c r="L53" s="3101"/>
      <c r="M53" s="1753">
        <f t="shared" ref="M53:O54" ca="1" si="0">D55</f>
        <v>0</v>
      </c>
      <c r="N53" s="1811" t="str">
        <f t="shared" si="0"/>
        <v>销售额×税（费）率</v>
      </c>
      <c r="O53" s="1754">
        <f t="shared" si="0"/>
        <v>5.0000000000000001E-4</v>
      </c>
    </row>
    <row r="54" spans="1:35" ht="12" customHeight="1">
      <c r="A54" s="183" t="s">
        <v>2220</v>
      </c>
      <c r="B54" s="3127" t="s">
        <v>2221</v>
      </c>
      <c r="C54" s="3128"/>
      <c r="D54" s="182">
        <f ca="1">C68</f>
        <v>10</v>
      </c>
      <c r="E54" s="30" t="s">
        <v>2222</v>
      </c>
      <c r="F54" s="184">
        <f>'数据-取费表'!B41</f>
        <v>5.6000000000000001E-2</v>
      </c>
      <c r="G54" s="2484"/>
      <c r="H54" s="2485"/>
      <c r="I54" s="2482"/>
      <c r="J54" s="1811">
        <v>3</v>
      </c>
      <c r="K54" s="3101" t="s">
        <v>2223</v>
      </c>
      <c r="L54" s="3101"/>
      <c r="M54" s="1753">
        <f t="shared" ca="1" si="0"/>
        <v>105</v>
      </c>
      <c r="N54" s="1811" t="str">
        <f t="shared" si="0"/>
        <v>增值额×税（费）率</v>
      </c>
      <c r="O54" s="1755" t="str">
        <f t="shared" si="0"/>
        <v>——</v>
      </c>
    </row>
    <row r="55" spans="1:35" ht="24" customHeight="1">
      <c r="A55" s="3165" t="s">
        <v>2224</v>
      </c>
      <c r="B55" s="3147"/>
      <c r="C55" s="3147"/>
      <c r="D55" s="185">
        <f ca="1">IF(H55="个人住宅",0,ROUND(D45*I55,0))</f>
        <v>0</v>
      </c>
      <c r="E55" s="11" t="s">
        <v>2225</v>
      </c>
      <c r="F55" s="184">
        <f>IF(H55="正常",I55,"免征")</f>
        <v>5.0000000000000001E-4</v>
      </c>
      <c r="G55" s="2484"/>
      <c r="H55" s="2481" t="s">
        <v>2226</v>
      </c>
      <c r="I55" s="186">
        <f>'数据-取费表'!B49</f>
        <v>5.0000000000000001E-4</v>
      </c>
      <c r="J55" s="1811" t="str">
        <f>IF(H59="非个人房产","",4)</f>
        <v/>
      </c>
      <c r="K55" s="3101" t="str">
        <f>IF(H59="非个人房产","——","个人所得税")</f>
        <v>——</v>
      </c>
      <c r="L55" s="3101"/>
      <c r="M55" s="1756" t="str">
        <f>D59</f>
        <v>——</v>
      </c>
      <c r="N55" s="1809" t="str">
        <f>E59</f>
        <v>——</v>
      </c>
      <c r="O55" s="1757" t="str">
        <f>F59</f>
        <v>——</v>
      </c>
    </row>
    <row r="56" spans="1:35" ht="24.75">
      <c r="A56" s="3165" t="s">
        <v>2227</v>
      </c>
      <c r="B56" s="3147"/>
      <c r="C56" s="3147"/>
      <c r="D56" s="185">
        <f ca="1">IF(H56="个人住宅",D57,D58)</f>
        <v>105</v>
      </c>
      <c r="E56" s="11" t="s">
        <v>2228</v>
      </c>
      <c r="F56" s="184" t="str">
        <f>IF(H56="正常",F58,"免征")</f>
        <v>——</v>
      </c>
      <c r="G56" s="2486" t="s">
        <v>2229</v>
      </c>
      <c r="H56" s="2487" t="s">
        <v>2226</v>
      </c>
      <c r="I56" s="2488"/>
      <c r="J56" s="1811" t="str">
        <f>IF(项目基本情况!K6="上海银行",IF(J55="",4,J55+1),"")</f>
        <v/>
      </c>
      <c r="K56" s="3084" t="str">
        <f>IF(项目基本情况!K6="上海银行","其他处置费用","")</f>
        <v/>
      </c>
      <c r="L56" s="3085"/>
      <c r="M56" s="1753" t="str">
        <f>IF(项目基本情况!K6="上海银行",M69,"")</f>
        <v/>
      </c>
      <c r="N56" s="3087" t="str">
        <f>IF(项目基本情况!K6="上海银行","包含处置中涉及的律师、诉讼、拍卖、评估等费用","")</f>
        <v/>
      </c>
      <c r="O56" s="3088"/>
    </row>
    <row r="57" spans="1:35" ht="12.75">
      <c r="A57" s="183" t="s">
        <v>2202</v>
      </c>
      <c r="B57" s="3132" t="s">
        <v>2230</v>
      </c>
      <c r="C57" s="3133"/>
      <c r="D57" s="187">
        <v>0</v>
      </c>
      <c r="E57" s="23" t="s">
        <v>2204</v>
      </c>
      <c r="F57" s="155"/>
      <c r="G57" s="2484"/>
      <c r="H57" s="2488"/>
      <c r="I57" s="2488"/>
      <c r="J57" s="3101">
        <f>IF(AND(J55="",J56=""),4,IF(项目基本情况!K6="上海银行",结果表!J56+1,结果表!J55+1))</f>
        <v>4</v>
      </c>
      <c r="K57" s="3101" t="s">
        <v>2231</v>
      </c>
      <c r="L57" s="2489" t="s">
        <v>2232</v>
      </c>
      <c r="M57" s="1758"/>
      <c r="N57" s="1759">
        <f ca="1">SUMIF(M52:M56,"&lt;9e307")</f>
        <v>105</v>
      </c>
      <c r="O57" s="2490"/>
      <c r="P57" s="1752" t="e">
        <f ca="1">N57/M49</f>
        <v>#VALUE!</v>
      </c>
    </row>
    <row r="58" spans="1:35" ht="24.75">
      <c r="A58" s="183" t="s">
        <v>2213</v>
      </c>
      <c r="B58" s="3132" t="s">
        <v>2233</v>
      </c>
      <c r="C58" s="3145"/>
      <c r="D58" s="185">
        <f ca="1">IF(H58="转让取得",C81,C97)</f>
        <v>105</v>
      </c>
      <c r="E58" s="11" t="s">
        <v>2228</v>
      </c>
      <c r="F58" s="24" t="s">
        <v>34</v>
      </c>
      <c r="G58" s="2484"/>
      <c r="H58" s="2487" t="s">
        <v>2234</v>
      </c>
      <c r="I58" s="2488"/>
      <c r="J58" s="3101"/>
      <c r="K58" s="3101"/>
      <c r="L58" s="2489" t="s">
        <v>2235</v>
      </c>
      <c r="M58" s="1760"/>
      <c r="N58" s="2491" t="str">
        <f ca="1">NUMBERSTRING(INT(N57*10000),2)&amp;"元整"</f>
        <v>壹佰零伍万元整</v>
      </c>
      <c r="O58" s="2492"/>
    </row>
    <row r="59" spans="1:35" ht="24.75" thickBot="1">
      <c r="A59" s="3105" t="s">
        <v>2236</v>
      </c>
      <c r="B59" s="3106"/>
      <c r="C59" s="3106"/>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03">
        <f>J57+1</f>
        <v>5</v>
      </c>
      <c r="K59" s="3101" t="s">
        <v>2238</v>
      </c>
      <c r="L59" s="1811" t="s">
        <v>2232</v>
      </c>
      <c r="M59" s="1761"/>
      <c r="N59" s="1762" t="e">
        <f ca="1">M49-N57</f>
        <v>#VALUE!</v>
      </c>
      <c r="O59" s="2494"/>
    </row>
    <row r="60" spans="1:35" ht="12" customHeight="1">
      <c r="A60" s="2495"/>
      <c r="B60" s="2417"/>
      <c r="C60" s="2417"/>
      <c r="D60" s="2417"/>
      <c r="E60" s="2164"/>
      <c r="F60" s="2488"/>
      <c r="G60" s="2488"/>
      <c r="H60" s="2496"/>
      <c r="I60" s="138"/>
      <c r="J60" s="3104"/>
      <c r="K60" s="3101"/>
      <c r="L60" s="2489" t="s">
        <v>2235</v>
      </c>
      <c r="M60" s="1760"/>
      <c r="N60" s="2491" t="e">
        <f ca="1">NUMBERSTRING(INT(N59*10000),2)&amp;"元整"</f>
        <v>#VALUE!</v>
      </c>
      <c r="O60" s="2492"/>
    </row>
    <row r="61" spans="1:35" ht="13.5" thickBot="1">
      <c r="A61" s="3164" t="s">
        <v>2239</v>
      </c>
      <c r="B61" s="3164"/>
      <c r="C61" s="3164"/>
      <c r="D61" s="3164"/>
      <c r="E61" s="3164"/>
      <c r="F61" s="2488"/>
      <c r="G61" s="2488"/>
      <c r="H61" s="2496"/>
      <c r="I61" s="138"/>
      <c r="J61" s="1811">
        <f>J59+1</f>
        <v>6</v>
      </c>
      <c r="K61" s="3101" t="s">
        <v>2240</v>
      </c>
      <c r="L61" s="3101"/>
      <c r="M61" s="1763"/>
      <c r="N61" s="1764" t="e">
        <f ca="1">ROUND(N59*10000/'数据-汇总表'!E3,0)</f>
        <v>#VALUE!</v>
      </c>
      <c r="O61" s="2497"/>
    </row>
    <row r="62" spans="1:35" ht="12.75">
      <c r="A62" s="3121" t="s">
        <v>2241</v>
      </c>
      <c r="B62" s="3122"/>
      <c r="C62" s="1803"/>
      <c r="D62" s="1803" t="s">
        <v>2242</v>
      </c>
      <c r="E62" s="192" t="s">
        <v>2243</v>
      </c>
      <c r="F62" s="2488"/>
      <c r="G62" s="2488"/>
      <c r="H62" s="2496"/>
      <c r="I62" s="138"/>
    </row>
    <row r="63" spans="1:35" ht="12.75">
      <c r="A63" s="203" t="s">
        <v>775</v>
      </c>
      <c r="B63" s="193" t="s">
        <v>2244</v>
      </c>
      <c r="C63" s="194">
        <f ca="1">ROUND((C64+C65)/(1+'数据-取费表'!C42),0)</f>
        <v>177</v>
      </c>
      <c r="D63" s="195"/>
      <c r="E63" s="196"/>
      <c r="F63" s="2488"/>
      <c r="G63" s="2488"/>
      <c r="H63" s="2496"/>
      <c r="I63" s="138"/>
      <c r="J63" s="3086" t="s">
        <v>2245</v>
      </c>
      <c r="K63" s="2498" t="s">
        <v>2246</v>
      </c>
      <c r="L63" s="1751" t="e">
        <f>IF(M49&gt;10000,M49*0.5%,IF(AND(M49&gt;1000,M49&lt;=10000),M49*1%,IF(AND(M49&gt;100,M49&lt;=1000),M49*3%,IF(AND(M49&gt;10,M49&lt;=100),M49*5%,M49*8%))))</f>
        <v>#VALUE!</v>
      </c>
      <c r="M63" s="24" t="e">
        <f>ROUND(L63,1)</f>
        <v>#VALUE!</v>
      </c>
      <c r="Z63" s="2422"/>
      <c r="AI63" s="2423"/>
    </row>
    <row r="64" spans="1:35" ht="14.25" customHeight="1">
      <c r="A64" s="197" t="s">
        <v>770</v>
      </c>
      <c r="B64" s="198" t="s">
        <v>2247</v>
      </c>
      <c r="C64" s="199">
        <f ca="1">D45</f>
        <v>186</v>
      </c>
      <c r="D64" s="200" t="s">
        <v>32</v>
      </c>
      <c r="E64" s="201"/>
      <c r="F64" s="2488"/>
      <c r="G64" s="2488"/>
      <c r="H64" s="2496"/>
      <c r="I64" s="138"/>
      <c r="J64" s="3086"/>
      <c r="K64" s="2498" t="s">
        <v>2248</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2"/>
      <c r="AI64" s="2423"/>
    </row>
    <row r="65" spans="1:35" ht="14.25" customHeight="1">
      <c r="A65" s="197" t="s">
        <v>771</v>
      </c>
      <c r="B65" s="198" t="s">
        <v>2250</v>
      </c>
      <c r="C65" s="202"/>
      <c r="D65" s="200"/>
      <c r="E65" s="201"/>
      <c r="F65" s="2488"/>
      <c r="G65" s="2488"/>
      <c r="H65" s="2496"/>
      <c r="I65" s="138"/>
      <c r="J65" s="3086"/>
      <c r="K65" s="2498" t="s">
        <v>2251</v>
      </c>
      <c r="L65" s="1751" t="e">
        <f>IF(M49&gt;1000,M49*0.1%,IF(AND(M49&gt;500,M49&lt;=1000),M49*0.5%,IF(AND(M49&gt;50,M49&lt;=500),M49*1%,IF(AND(M49&gt;1,M49&lt;=50),M49*1.5%))))</f>
        <v>#VALUE!</v>
      </c>
      <c r="M65" s="24" t="e">
        <f t="shared" si="1"/>
        <v>#VALUE!</v>
      </c>
      <c r="N65" s="138" t="s">
        <v>2249</v>
      </c>
      <c r="Z65" s="2422"/>
      <c r="AI65" s="2423"/>
    </row>
    <row r="66" spans="1:35" ht="14.25" customHeight="1">
      <c r="A66" s="203" t="s">
        <v>772</v>
      </c>
      <c r="B66" s="204" t="s">
        <v>2252</v>
      </c>
      <c r="C66" s="205"/>
      <c r="D66" s="206" t="s">
        <v>32</v>
      </c>
      <c r="E66" s="1775" t="s">
        <v>1371</v>
      </c>
      <c r="F66" s="2488"/>
      <c r="G66" s="2488"/>
      <c r="H66" s="2496"/>
      <c r="I66" s="138"/>
      <c r="J66" s="3086"/>
      <c r="K66" s="2498" t="s">
        <v>2253</v>
      </c>
      <c r="L66" s="1751" t="e">
        <f>M49*0.5%</f>
        <v>#VALUE!</v>
      </c>
      <c r="M66" s="24" t="e">
        <f>IF(L66&gt;0.5,0.5,ROUND(L66,0))</f>
        <v>#VALUE!</v>
      </c>
      <c r="N66" s="138" t="s">
        <v>2254</v>
      </c>
      <c r="Z66" s="2422"/>
      <c r="AI66" s="2423"/>
    </row>
    <row r="67" spans="1:35" ht="14.25" customHeight="1">
      <c r="A67" s="203" t="s">
        <v>773</v>
      </c>
      <c r="B67" s="204" t="s">
        <v>2255</v>
      </c>
      <c r="C67" s="207">
        <f ca="1">C63-C66</f>
        <v>177</v>
      </c>
      <c r="D67" s="200" t="s">
        <v>32</v>
      </c>
      <c r="E67" s="201"/>
      <c r="F67" s="2488"/>
      <c r="G67" s="2488"/>
      <c r="H67" s="2496"/>
      <c r="I67" s="138"/>
      <c r="J67" s="3086"/>
      <c r="K67" s="2498" t="s">
        <v>2256</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2257</v>
      </c>
      <c r="C68" s="210">
        <f ca="1">IF(C67&lt;=0,0,ROUND(C67*D68,0))</f>
        <v>10</v>
      </c>
      <c r="D68" s="211">
        <f>'数据-取费表'!B41</f>
        <v>5.6000000000000001E-2</v>
      </c>
      <c r="E68" s="212"/>
      <c r="F68" s="2488"/>
      <c r="G68" s="2488"/>
      <c r="H68" s="2496"/>
      <c r="I68" s="138"/>
      <c r="J68" s="3086"/>
      <c r="K68" s="2498" t="s">
        <v>2258</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086"/>
      <c r="K69" s="2498" t="s">
        <v>2259</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0" t="s">
        <v>2260</v>
      </c>
      <c r="B70" s="3131"/>
      <c r="C70" s="3131"/>
      <c r="D70" s="3131"/>
      <c r="E70" s="3131"/>
      <c r="F70" s="3131"/>
      <c r="G70" s="3131"/>
      <c r="H70" s="313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1" t="s">
        <v>2241</v>
      </c>
      <c r="B71" s="3122"/>
      <c r="C71" s="1803"/>
      <c r="D71" s="1803"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2261</v>
      </c>
      <c r="C72" s="207">
        <f ca="1">ROUND(D45/(1+'数据-取费表'!C42),0)</f>
        <v>177</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2262</v>
      </c>
      <c r="C73" s="207">
        <f ca="1">C74+C78</f>
        <v>1</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2263</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2268</v>
      </c>
      <c r="C76" s="200">
        <f>IF(F75="购房发票",ROUND(C75*H75*D76,0),0)</f>
        <v>0</v>
      </c>
      <c r="D76" s="222">
        <v>0.05</v>
      </c>
      <c r="E76" s="3127" t="s">
        <v>2269</v>
      </c>
      <c r="F76" s="3126"/>
      <c r="G76" s="3126"/>
      <c r="H76" s="312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2273</v>
      </c>
      <c r="C78" s="225">
        <f ca="1">ROUND(D45*D78/(1+'数据-取费表'!C42),0)</f>
        <v>1</v>
      </c>
      <c r="D78" s="226">
        <f>'数据-取费表'!B43</f>
        <v>6.000000000000001E-3</v>
      </c>
      <c r="E78" s="3118" t="s">
        <v>2274</v>
      </c>
      <c r="F78" s="3119"/>
      <c r="G78" s="3119"/>
      <c r="H78" s="312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2275</v>
      </c>
      <c r="C79" s="207">
        <f ca="1">C72-C73</f>
        <v>176</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2276</v>
      </c>
      <c r="C80" s="227">
        <f ca="1">IF(C79&lt;=0,0,C79/C73)</f>
        <v>176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2277</v>
      </c>
      <c r="C81" s="228">
        <f ca="1">ROUND(IF(C79&lt;=0,0,IF(C80&gt;=200%,C79*60%-C73*35%,IF(C80&gt;=100%,C79*50%-C73*15%,IF(C80&gt;=50%,C79*40%-C73*5%,IF(C80&lt;50%,C79*30%,0))))),0)</f>
        <v>105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0" t="s">
        <v>2278</v>
      </c>
      <c r="B83" s="3131"/>
      <c r="C83" s="3131"/>
      <c r="D83" s="3131"/>
      <c r="E83" s="3131"/>
      <c r="F83" s="3131"/>
      <c r="G83" s="3131"/>
      <c r="H83" s="313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1" t="s">
        <v>2241</v>
      </c>
      <c r="B84" s="3122"/>
      <c r="C84" s="1803"/>
      <c r="D84" s="1803"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2261</v>
      </c>
      <c r="C85" s="207">
        <f ca="1">ROUND(D45/(1+'数据-取费表'!C42),0)</f>
        <v>177</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2262</v>
      </c>
      <c r="C86" s="207">
        <f ca="1">IF(H88="仅含出让金",C87+C90+C91+C92+C93+C94,C87+C91+C92+C93+C94)</f>
        <v>1</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2279</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2280</v>
      </c>
      <c r="C88" s="236"/>
      <c r="D88" s="226"/>
      <c r="E88" s="237" t="s">
        <v>2281</v>
      </c>
      <c r="F88" s="1799"/>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2270</v>
      </c>
      <c r="C89" s="225">
        <f>ROUND(C88*D89,0)</f>
        <v>0</v>
      </c>
      <c r="D89" s="226">
        <f>'数据-取费表'!B48+'数据-取费表'!B49</f>
        <v>3.0499999999999999E-2</v>
      </c>
      <c r="E89" s="237" t="s">
        <v>2283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2284</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2285</v>
      </c>
      <c r="B91" s="198" t="s">
        <v>2286</v>
      </c>
      <c r="C91" s="225">
        <f>IF(H91="——",成本法!C33,I91)</f>
        <v>0</v>
      </c>
      <c r="D91" s="226"/>
      <c r="E91" s="3118" t="s">
        <v>2287</v>
      </c>
      <c r="F91" s="3119"/>
      <c r="G91" s="3119"/>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2289</v>
      </c>
      <c r="B92" s="198" t="s">
        <v>2290</v>
      </c>
      <c r="C92" s="225">
        <f>ROUND((C87+C90+C91)*D92,0)</f>
        <v>0</v>
      </c>
      <c r="D92" s="226">
        <v>0.1</v>
      </c>
      <c r="E92" s="3118" t="s">
        <v>2291</v>
      </c>
      <c r="F92" s="3119"/>
      <c r="G92" s="3119"/>
      <c r="H92" s="312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2292</v>
      </c>
      <c r="B93" s="198" t="s">
        <v>2273</v>
      </c>
      <c r="C93" s="225">
        <f ca="1">ROUND(D45*D93/(1+'数据-取费表'!C42),0)</f>
        <v>1</v>
      </c>
      <c r="D93" s="226">
        <f>'数据-取费表'!B43</f>
        <v>6.000000000000001E-3</v>
      </c>
      <c r="E93" s="3118" t="s">
        <v>2274</v>
      </c>
      <c r="F93" s="3119"/>
      <c r="G93" s="3119"/>
      <c r="H93" s="312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2293</v>
      </c>
      <c r="B94" s="198" t="s">
        <v>2294</v>
      </c>
      <c r="C94" s="236">
        <f>ROUND((C87+C90+C91)*D94,0)</f>
        <v>0</v>
      </c>
      <c r="D94" s="226">
        <v>0.2</v>
      </c>
      <c r="E94" s="3166" t="s">
        <v>2295</v>
      </c>
      <c r="F94" s="3167"/>
      <c r="G94" s="3167"/>
      <c r="H94" s="316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2275</v>
      </c>
      <c r="C95" s="207">
        <f ca="1">ROUND(C85-C86,0)</f>
        <v>176</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2276</v>
      </c>
      <c r="C96" s="227">
        <f ca="1">IF(C95&lt;=0,0,C95/C86)</f>
        <v>176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2277</v>
      </c>
      <c r="C97" s="228">
        <f ca="1">ROUND(IF(C95&lt;=0,0,IF(C96&gt;=200%,C95*60%-C86*35%,IF(C96&gt;=100%,C95*50%-C86*15%,IF(C96&gt;=50%,C95*40%-C86*5%,IF(C96&lt;50%,C95*30%,0))))),0)</f>
        <v>105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2296</v>
      </c>
      <c r="B99" s="2417"/>
      <c r="C99" s="2417"/>
      <c r="D99" s="2417"/>
      <c r="E99" s="2164"/>
      <c r="F99" s="2164"/>
      <c r="G99" s="2164"/>
      <c r="H99" s="2163"/>
      <c r="I99" s="138"/>
    </row>
    <row r="100" spans="1:35" ht="18.75" customHeight="1">
      <c r="A100" s="3070" t="s">
        <v>2297</v>
      </c>
      <c r="B100" s="3071"/>
      <c r="C100" s="3071"/>
      <c r="D100" s="3102"/>
      <c r="E100" s="3071" t="s">
        <v>2298</v>
      </c>
      <c r="F100" s="3071"/>
      <c r="G100" s="3071"/>
      <c r="H100" s="3102"/>
      <c r="I100" s="138"/>
    </row>
    <row r="101" spans="1:35" ht="18.75" customHeight="1">
      <c r="A101" s="3110" t="s">
        <v>2299</v>
      </c>
      <c r="B101" s="3111"/>
      <c r="C101" s="736" t="str">
        <f>C4</f>
        <v>比较法-办公</v>
      </c>
      <c r="D101" s="737" t="str">
        <f>D4</f>
        <v>收益法</v>
      </c>
      <c r="E101" s="3082" t="s">
        <v>2300</v>
      </c>
      <c r="F101" s="3083"/>
      <c r="G101" s="2519" t="s">
        <v>2301</v>
      </c>
      <c r="H101" s="1048">
        <f ca="1">H118</f>
        <v>186</v>
      </c>
      <c r="I101" s="138"/>
    </row>
    <row r="102" spans="1:35" ht="18.75" customHeight="1">
      <c r="A102" s="3112" t="s">
        <v>2302</v>
      </c>
      <c r="B102" s="2519" t="s">
        <v>2301</v>
      </c>
      <c r="C102" s="736">
        <f ca="1">C19</f>
        <v>203</v>
      </c>
      <c r="D102" s="737">
        <f ca="1">D19</f>
        <v>161</v>
      </c>
      <c r="E102" s="3082"/>
      <c r="F102" s="3083"/>
      <c r="G102" s="2519" t="s">
        <v>2303</v>
      </c>
      <c r="H102" s="371">
        <f ca="1">I118</f>
        <v>17301</v>
      </c>
      <c r="I102" s="138"/>
    </row>
    <row r="103" spans="1:35" ht="42.75" customHeight="1">
      <c r="A103" s="3112"/>
      <c r="B103" s="2519" t="s">
        <v>2303</v>
      </c>
      <c r="C103" s="738">
        <f ca="1">C20</f>
        <v>18889</v>
      </c>
      <c r="D103" s="739">
        <f ca="1">D20</f>
        <v>14975</v>
      </c>
      <c r="E103" s="3076" t="s">
        <v>2304</v>
      </c>
      <c r="F103" s="3077"/>
      <c r="G103" s="2520" t="s">
        <v>2305</v>
      </c>
      <c r="H103" s="1048">
        <f>IF(D36="正常操作",H104+H105+H106,H105+H106)</f>
        <v>0</v>
      </c>
      <c r="I103" s="138"/>
    </row>
    <row r="104" spans="1:35" ht="18.75" customHeight="1">
      <c r="A104" s="3112" t="s">
        <v>2306</v>
      </c>
      <c r="B104" s="2521" t="s">
        <v>2301</v>
      </c>
      <c r="C104" s="740">
        <f ca="1">H118</f>
        <v>186</v>
      </c>
      <c r="D104" s="741"/>
      <c r="E104" s="2265" t="s">
        <v>2307</v>
      </c>
      <c r="F104" s="2256"/>
      <c r="G104" s="2520" t="s">
        <v>2305</v>
      </c>
      <c r="H104" s="1049">
        <f>IF(D36="同一抵押权人同一抵押物续贷",C36&amp;"（未扣减，详见特别提示）",C36)</f>
        <v>0</v>
      </c>
      <c r="I104" s="138"/>
    </row>
    <row r="105" spans="1:35" ht="18.75" customHeight="1" thickBot="1">
      <c r="A105" s="3124"/>
      <c r="B105" s="2522" t="s">
        <v>2303</v>
      </c>
      <c r="C105" s="742">
        <f ca="1">I118</f>
        <v>17301</v>
      </c>
      <c r="D105" s="743"/>
      <c r="E105" s="2265" t="s">
        <v>2308</v>
      </c>
      <c r="F105" s="2256"/>
      <c r="G105" s="2520" t="s">
        <v>2305</v>
      </c>
      <c r="H105" s="1049">
        <f>C37</f>
        <v>0</v>
      </c>
      <c r="I105" s="138"/>
    </row>
    <row r="106" spans="1:35" ht="18.75" customHeight="1">
      <c r="A106" s="2417" t="s">
        <v>2309</v>
      </c>
      <c r="B106" s="2417"/>
      <c r="C106" s="2417"/>
      <c r="D106" s="2417"/>
      <c r="E106" s="2523" t="s">
        <v>2310</v>
      </c>
      <c r="F106" s="2256"/>
      <c r="G106" s="2520" t="s">
        <v>2305</v>
      </c>
      <c r="H106" s="1049">
        <f>C38</f>
        <v>0</v>
      </c>
      <c r="I106" s="138"/>
    </row>
    <row r="107" spans="1:35" ht="18.75" customHeight="1">
      <c r="A107" s="138"/>
      <c r="B107" s="138"/>
      <c r="C107" s="138"/>
      <c r="D107" s="138"/>
      <c r="E107" s="3113" t="str">
        <f>IF(项目基本情况!E8="已注销","——","3.房地产抵押价值")</f>
        <v>3.房地产抵押价值</v>
      </c>
      <c r="F107" s="3083"/>
      <c r="G107" s="2519" t="s">
        <v>2301</v>
      </c>
      <c r="H107" s="1048">
        <f ca="1">IF(E107="——","——",H101-H103)</f>
        <v>186</v>
      </c>
      <c r="I107" s="138"/>
    </row>
    <row r="108" spans="1:35" ht="18.75" customHeight="1">
      <c r="A108" s="138"/>
      <c r="B108" s="138"/>
      <c r="C108" s="138"/>
      <c r="D108" s="138"/>
      <c r="E108" s="3113"/>
      <c r="F108" s="3083"/>
      <c r="G108" s="2519" t="s">
        <v>2303</v>
      </c>
      <c r="H108" s="371">
        <f ca="1">ROUND(H107*10000/'数据-汇总表'!E3,0)</f>
        <v>17301</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19" t="s">
        <v>2301</v>
      </c>
      <c r="H109" s="348" t="str">
        <f>IF(E109="——","——",H101-H105-H106)</f>
        <v>——</v>
      </c>
      <c r="I109" s="138"/>
    </row>
    <row r="110" spans="1:35" ht="18.75" customHeight="1">
      <c r="A110" s="138"/>
      <c r="B110" s="138"/>
      <c r="C110" s="138"/>
      <c r="D110" s="138"/>
      <c r="E110" s="3113"/>
      <c r="F110" s="3083"/>
      <c r="G110" s="2519" t="s">
        <v>2303</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19" t="s">
        <v>2301</v>
      </c>
      <c r="H111" s="1048" t="str">
        <f>IF(E111="——","——",N59)</f>
        <v>——</v>
      </c>
      <c r="I111" s="138"/>
    </row>
    <row r="112" spans="1:35" ht="18.75" customHeight="1" thickBot="1">
      <c r="A112" s="138"/>
      <c r="B112" s="138"/>
      <c r="C112" s="138"/>
      <c r="D112" s="138"/>
      <c r="E112" s="3116"/>
      <c r="F112" s="3117"/>
      <c r="G112" s="2524" t="s">
        <v>2303</v>
      </c>
      <c r="H112" s="790" t="str">
        <f>IF(E111="——","——",N61)</f>
        <v>——</v>
      </c>
      <c r="I112" s="138"/>
    </row>
    <row r="113" spans="1:11" ht="18.75" customHeight="1">
      <c r="A113" s="138"/>
      <c r="B113" s="138"/>
      <c r="C113" s="138"/>
      <c r="D113" s="138"/>
      <c r="E113" s="3125" t="s">
        <v>2309</v>
      </c>
      <c r="F113" s="3125"/>
      <c r="G113" s="3125"/>
      <c r="H113" s="3125"/>
      <c r="I113" s="138"/>
    </row>
    <row r="114" spans="1:11" ht="3.75" customHeight="1">
      <c r="A114" s="2417"/>
      <c r="B114" s="2417"/>
      <c r="C114" s="2417"/>
      <c r="D114" s="2417"/>
      <c r="E114" s="2495"/>
      <c r="F114" s="2495"/>
      <c r="G114" s="2495"/>
      <c r="H114" s="2495"/>
      <c r="I114" s="2417"/>
    </row>
    <row r="115" spans="1:11" ht="18.75" customHeight="1">
      <c r="A115" s="3138" t="s">
        <v>2311</v>
      </c>
      <c r="B115" s="3139"/>
      <c r="C115" s="3139"/>
      <c r="D115" s="3139"/>
      <c r="E115" s="3139"/>
      <c r="F115" s="3139"/>
      <c r="G115" s="3139"/>
      <c r="H115" s="3139"/>
      <c r="I115" s="3140"/>
    </row>
    <row r="116" spans="1:11" ht="27" customHeight="1">
      <c r="A116" s="3049" t="s">
        <v>2312</v>
      </c>
      <c r="B116" s="3092" t="s">
        <v>2313</v>
      </c>
      <c r="C116" s="3092" t="s">
        <v>2314</v>
      </c>
      <c r="D116" s="3098" t="s">
        <v>2315</v>
      </c>
      <c r="E116" s="3099"/>
      <c r="F116" s="3134" t="s">
        <v>2316</v>
      </c>
      <c r="G116" s="3134"/>
      <c r="H116" s="3049" t="s">
        <v>2317</v>
      </c>
      <c r="I116" s="3049"/>
    </row>
    <row r="117" spans="1:11" ht="18.75" customHeight="1">
      <c r="A117" s="3049"/>
      <c r="B117" s="3093"/>
      <c r="C117" s="3093"/>
      <c r="D117" s="1797" t="s">
        <v>2318</v>
      </c>
      <c r="E117" s="1797" t="s">
        <v>2319</v>
      </c>
      <c r="F117" s="1797" t="s">
        <v>2318</v>
      </c>
      <c r="G117" s="1797" t="s">
        <v>2320</v>
      </c>
      <c r="H117" s="1797" t="s">
        <v>2318</v>
      </c>
      <c r="I117" s="1797" t="s">
        <v>2320</v>
      </c>
    </row>
    <row r="118" spans="1:11" ht="24.75" customHeight="1">
      <c r="A118" s="2525" t="str">
        <f>项目基本情况!S2</f>
        <v>湖北省武汉市江岸区解放大道与张公堤路交叉口处房地产</v>
      </c>
      <c r="B118" s="1797">
        <f>M18</f>
        <v>107.51</v>
      </c>
      <c r="C118" s="1797">
        <f>M19</f>
        <v>5.45</v>
      </c>
      <c r="D118" s="1797">
        <f ca="1">ROUND(IF(D32="总价",C34,E118*B118/10000),0)</f>
        <v>106</v>
      </c>
      <c r="E118" s="1797">
        <f ca="1">ROUND(IF(C33="自定义",IF(D32="楼面单价",C34,D118*10000/B118),I118-G118),0)</f>
        <v>9860</v>
      </c>
      <c r="F118" s="1797">
        <f ca="1">ROUND(IF(D32="总价",C35,G118*B118/10000),0)</f>
        <v>80</v>
      </c>
      <c r="G118" s="1797">
        <f ca="1">ROUND(IF(D32="楼面单价",C35,F118*10000/B118),0)</f>
        <v>7441</v>
      </c>
      <c r="H118" s="1797">
        <f ca="1">ROUND(IF(D32="总价",C32,I118*B118/10000),0)</f>
        <v>186</v>
      </c>
      <c r="I118" s="1797">
        <f ca="1">ROUND(IF(D32="楼面单价",C32,H118*10000/B118),0)</f>
        <v>17301</v>
      </c>
    </row>
    <row r="119" spans="1:11" ht="18.75" customHeight="1">
      <c r="A119" s="3049" t="s">
        <v>2321</v>
      </c>
      <c r="B119" s="3049"/>
      <c r="C119" s="3049"/>
      <c r="D119" s="3094" t="str">
        <f ca="1">NUMBERSTRING(INT(D118*10000),2)&amp;"元整"</f>
        <v>壹佰零陆万元整</v>
      </c>
      <c r="E119" s="3095"/>
      <c r="F119" s="3094" t="str">
        <f ca="1">NUMBERSTRING(INT(F118*10000),2)&amp;"元整"</f>
        <v>捌拾万元整</v>
      </c>
      <c r="G119" s="3095"/>
      <c r="H119" s="3094" t="str">
        <f ca="1">NUMBERSTRING(INT(H118*10000),2)&amp;"元整"</f>
        <v>壹佰捌拾陆万元整</v>
      </c>
      <c r="I119" s="3095"/>
    </row>
    <row r="120" spans="1:11" ht="18.75" customHeight="1">
      <c r="A120" s="3089" t="str">
        <f>IF(项目基本情况!B9="房地产市场价值","",MID(E103,3,LEN(E103)-2))</f>
        <v/>
      </c>
      <c r="B120" s="3090"/>
      <c r="C120" s="3091"/>
      <c r="D120" s="3089">
        <f>H103</f>
        <v>0</v>
      </c>
      <c r="E120" s="3090"/>
      <c r="F120" s="3090"/>
      <c r="G120" s="3090"/>
      <c r="H120" s="3090"/>
      <c r="I120" s="3091"/>
      <c r="K120" s="2422" t="str">
        <f>IF(D120=0,"故，本次评估不存在"&amp;A120,"故，本次评估"&amp;A120&amp;"为人民币"&amp;D120&amp;"万元整。")</f>
        <v>故，本次评估不存在</v>
      </c>
    </row>
    <row r="121" spans="1:11" ht="18.75" customHeight="1">
      <c r="A121" s="3135" t="s">
        <v>2321</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
      </c>
      <c r="B122" s="3100"/>
      <c r="C122" s="3100"/>
      <c r="D122" s="3089">
        <f ca="1">H107</f>
        <v>186</v>
      </c>
      <c r="E122" s="3090"/>
      <c r="F122" s="3090"/>
      <c r="G122" s="3090"/>
      <c r="H122" s="3090"/>
      <c r="I122" s="3091"/>
    </row>
    <row r="123" spans="1:11" ht="18.75" customHeight="1">
      <c r="A123" s="3049" t="s">
        <v>2321</v>
      </c>
      <c r="B123" s="3049"/>
      <c r="C123" s="3049"/>
      <c r="D123" s="3094" t="str">
        <f ca="1">NUMBERSTRING(INT(D122*10000),2)&amp;"元整"</f>
        <v>壹佰捌拾陆万元整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2321</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2321</v>
      </c>
      <c r="B127" s="3049"/>
      <c r="C127" s="3049"/>
      <c r="D127" s="3094" t="e">
        <f>NUMBERSTRING(INT(D126*10000),2)&amp;"元整"</f>
        <v>#VALUE!</v>
      </c>
      <c r="E127" s="3096"/>
      <c r="F127" s="3096"/>
      <c r="G127" s="3096"/>
      <c r="H127" s="3096"/>
      <c r="I127" s="3095"/>
    </row>
    <row r="128" spans="1:11" ht="21.75" customHeight="1">
      <c r="A128" s="3097" t="s">
        <v>2322</v>
      </c>
      <c r="B128" s="3097"/>
      <c r="C128" s="3097"/>
      <c r="D128" s="3097"/>
      <c r="E128" s="3097"/>
      <c r="F128" s="3097"/>
      <c r="G128" s="3097"/>
      <c r="H128" s="3097"/>
      <c r="I128" s="3097"/>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161</v>
      </c>
      <c r="C2" s="1847" t="s">
        <v>1516</v>
      </c>
      <c r="D2" s="1847"/>
      <c r="E2" s="1848"/>
      <c r="F2" s="1849"/>
      <c r="G2" s="1850"/>
      <c r="H2" s="1842"/>
      <c r="I2" s="1842"/>
      <c r="J2" s="1842"/>
      <c r="K2" s="1843"/>
      <c r="L2" s="1842"/>
      <c r="M2" s="1842"/>
    </row>
    <row r="3" spans="1:37" ht="18" customHeight="1" thickBot="1">
      <c r="A3" s="1851" t="s">
        <v>1517</v>
      </c>
      <c r="B3" s="1852">
        <f ca="1">IF(ISERROR(B2*10000/F43),0,ROUND(B2*10000/F43,0))</f>
        <v>14975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v>
      </c>
      <c r="D5" s="1824" t="s">
        <v>1402</v>
      </c>
      <c r="E5" s="1295"/>
      <c r="F5" s="1296"/>
      <c r="G5" s="1853"/>
      <c r="H5" s="344">
        <v>1</v>
      </c>
      <c r="I5" s="345" t="s">
        <v>1401</v>
      </c>
      <c r="J5" s="1294">
        <f ca="1">J6+J10+J12</f>
        <v>0</v>
      </c>
      <c r="K5" s="1824" t="s">
        <v>1402</v>
      </c>
      <c r="L5" s="1295"/>
      <c r="M5" s="1296"/>
    </row>
    <row r="6" spans="1:37" ht="18" customHeight="1">
      <c r="A6" s="1293" t="s">
        <v>1035</v>
      </c>
      <c r="B6" s="3171" t="s">
        <v>1403</v>
      </c>
      <c r="C6" s="1298">
        <f ca="1">ROUND(F6*F8*F7*(1-F9)/10000,0)</f>
        <v>9</v>
      </c>
      <c r="D6" s="164" t="s">
        <v>3036</v>
      </c>
      <c r="E6" s="347" t="s">
        <v>1405</v>
      </c>
      <c r="F6" s="348">
        <f ca="1">INDIRECT("'数据-取费表'!u"&amp;$G$1)</f>
        <v>2.5</v>
      </c>
      <c r="G6" s="1853"/>
      <c r="H6" s="1293" t="s">
        <v>1035</v>
      </c>
      <c r="I6" s="3171" t="s">
        <v>1403</v>
      </c>
      <c r="J6" s="346">
        <f ca="1">ROUND(M6*M8*M7*(1-M9)/10000,0)</f>
        <v>0</v>
      </c>
      <c r="K6" s="164" t="s">
        <v>3035</v>
      </c>
      <c r="L6" s="347" t="s">
        <v>1405</v>
      </c>
      <c r="M6" s="348">
        <f ca="1">INDIRECT("'数据-取费表'!z"&amp;$G$1)</f>
        <v>0</v>
      </c>
    </row>
    <row r="7" spans="1:37" ht="18" customHeight="1">
      <c r="A7" s="1297"/>
      <c r="B7" s="3172"/>
      <c r="C7" s="1299"/>
      <c r="D7" s="352"/>
      <c r="E7" s="1300" t="s">
        <v>1406</v>
      </c>
      <c r="F7" s="348">
        <f ca="1">IF(INDIRECT("'数据-取费表'!ah"&amp;$G$1)="",INDIRECT("'数据-取费表'!k"&amp;$G$1),INDIRECT("'数据-取费表'!ah"&amp;$G$1))</f>
        <v>107.51</v>
      </c>
      <c r="G7" s="1853"/>
      <c r="H7" s="349"/>
      <c r="I7" s="3172"/>
      <c r="J7" s="351"/>
      <c r="K7" s="352"/>
      <c r="L7" s="347" t="s">
        <v>1406</v>
      </c>
      <c r="M7" s="348">
        <f ca="1">F7</f>
        <v>107.51</v>
      </c>
    </row>
    <row r="8" spans="1:37" ht="18" customHeight="1">
      <c r="A8" s="349"/>
      <c r="B8" s="3172"/>
      <c r="C8" s="351"/>
      <c r="D8" s="352"/>
      <c r="E8" s="347" t="s">
        <v>1407</v>
      </c>
      <c r="F8" s="348">
        <f ca="1">INDIRECT("'数据-取费表'!ai"&amp;$G$1)</f>
        <v>365</v>
      </c>
      <c r="G8" s="1853"/>
      <c r="H8" s="349"/>
      <c r="I8" s="3172"/>
      <c r="J8" s="351"/>
      <c r="K8" s="352"/>
      <c r="L8" s="347" t="s">
        <v>1407</v>
      </c>
      <c r="M8" s="348">
        <f ca="1">INDIRECT("'数据-取费表'!ai"&amp;$G$1)</f>
        <v>365</v>
      </c>
    </row>
    <row r="9" spans="1:37" ht="18" customHeight="1">
      <c r="A9" s="349"/>
      <c r="B9" s="3173"/>
      <c r="C9" s="351"/>
      <c r="D9" s="352"/>
      <c r="E9" s="347" t="s">
        <v>1408</v>
      </c>
      <c r="F9" s="357">
        <f ca="1">INDIRECT("'数据-取费表'!w"&amp;$G$1)</f>
        <v>0.1</v>
      </c>
      <c r="G9" s="1853"/>
      <c r="H9" s="349"/>
      <c r="I9" s="317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t="s">
        <v>3063</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38</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27</v>
      </c>
      <c r="D14" s="1802" t="s">
        <v>1418</v>
      </c>
      <c r="E14" s="1796"/>
      <c r="F14" s="364"/>
      <c r="G14" s="1853"/>
      <c r="H14" s="1204" t="s">
        <v>1035</v>
      </c>
      <c r="I14" s="347" t="s">
        <v>1419</v>
      </c>
      <c r="J14" s="24">
        <f ca="1">C29</f>
        <v>38</v>
      </c>
      <c r="K14" s="15"/>
      <c r="L14" s="982"/>
      <c r="M14" s="983"/>
    </row>
    <row r="15" spans="1:37" s="1860" customFormat="1" ht="18" customHeight="1" thickBot="1">
      <c r="A15" s="1204"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4" t="s">
        <v>1390</v>
      </c>
      <c r="B17" s="347" t="s">
        <v>1426</v>
      </c>
      <c r="C17" s="24">
        <f ca="1">ROUND(F17*(F43+INDIRECT("'数据-取费表'!S"&amp;$G$1))/10000,0)</f>
        <v>2</v>
      </c>
      <c r="D17" s="347" t="s">
        <v>1427</v>
      </c>
      <c r="E17" s="347" t="s">
        <v>1428</v>
      </c>
      <c r="F17" s="26">
        <f>'数据-取费表'!B35</f>
        <v>150</v>
      </c>
      <c r="G17" s="1856"/>
      <c r="H17" s="1204" t="s">
        <v>1035</v>
      </c>
      <c r="I17" s="347" t="s">
        <v>1429</v>
      </c>
      <c r="J17" s="24">
        <f ca="1">ROUND(IF(项目基本情况!B11="自然人",J5*M17,J18+J19+J20),1)</f>
        <v>0.3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30</v>
      </c>
      <c r="D19" s="140" t="s">
        <v>1436</v>
      </c>
      <c r="E19" s="1820"/>
      <c r="F19" s="26"/>
      <c r="G19" s="1853"/>
      <c r="H19" s="1204" t="s">
        <v>1036</v>
      </c>
      <c r="I19" s="347" t="s">
        <v>1437</v>
      </c>
      <c r="J19" s="24">
        <f ca="1">IF(K19="按租金收入计税",ROUND(J5*M19,2),ROUND(C29*M19*0.7,2))</f>
        <v>0.32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v>
      </c>
      <c r="D20" s="369" t="s">
        <v>1440</v>
      </c>
      <c r="E20" s="347" t="s">
        <v>1422</v>
      </c>
      <c r="F20" s="367">
        <f>'数据-取费表'!B37</f>
        <v>0.02</v>
      </c>
      <c r="G20" s="1856"/>
      <c r="H20" s="1204" t="s">
        <v>1389</v>
      </c>
      <c r="I20" s="164" t="s">
        <v>1441</v>
      </c>
      <c r="J20" s="25">
        <f ca="1">ROUND(M20*M21/10000,2)</f>
        <v>0.01</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5.45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-1</v>
      </c>
      <c r="K25" s="1347" t="s">
        <v>1464</v>
      </c>
      <c r="L25" s="1348"/>
      <c r="M25" s="1349"/>
    </row>
    <row r="26" spans="1:37">
      <c r="A26" s="1204" t="s">
        <v>1034</v>
      </c>
      <c r="B26" s="347" t="s">
        <v>1465</v>
      </c>
      <c r="C26" s="24">
        <f ca="1">ROUND((C19+C20)*F26,0)</f>
        <v>3</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38</v>
      </c>
      <c r="D29" s="1344"/>
      <c r="E29" s="1342"/>
      <c r="F29" s="1345"/>
      <c r="G29" s="1856"/>
      <c r="H29" s="380" t="s">
        <v>1033</v>
      </c>
      <c r="I29" s="381" t="s">
        <v>1479</v>
      </c>
      <c r="J29" s="382">
        <f ca="1">ROUND(J26/(1+F40)^F41,0)</f>
        <v>0</v>
      </c>
      <c r="K29" s="383" t="s">
        <v>1480</v>
      </c>
      <c r="L29" s="384"/>
      <c r="M29" s="385">
        <f ca="1">INDIRECT("'数据-取费表'!k"&amp;$G$1)</f>
        <v>107.51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1.6</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0.48</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1.08</v>
      </c>
      <c r="D33" s="1830" t="s">
        <v>3119</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0.01</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5.45</v>
      </c>
      <c r="G35" s="1853"/>
      <c r="H35" s="745"/>
      <c r="I35" s="1862"/>
      <c r="J35" s="1863"/>
      <c r="K35" s="1864"/>
      <c r="L35" s="1861"/>
      <c r="M35" s="1861"/>
    </row>
    <row r="36" spans="1:18" ht="18" customHeight="1">
      <c r="A36" s="1354" t="s">
        <v>1039</v>
      </c>
      <c r="B36" s="347" t="s">
        <v>1449</v>
      </c>
      <c r="C36" s="24">
        <f ca="1">ROUND(C29*F36,1)</f>
        <v>0.6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0.1</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160</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14882</v>
      </c>
      <c r="D43" s="383" t="s">
        <v>1488</v>
      </c>
      <c r="E43" s="384" t="s">
        <v>1489</v>
      </c>
      <c r="F43" s="385">
        <f ca="1">INDIRECT("'数据-取费表'!k"&amp;$G$1)</f>
        <v>107.51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-222</v>
      </c>
      <c r="D46" s="1874" t="str">
        <f>C2</f>
        <v>万元</v>
      </c>
      <c r="E46" s="1868"/>
      <c r="F46" s="1868"/>
      <c r="I46" s="1875" t="s">
        <v>1521</v>
      </c>
      <c r="J46" s="1876"/>
      <c r="K46" s="1877"/>
      <c r="L46" s="1878">
        <f ca="1">IF(M47="住宅",0,IF(L48&gt;J51,L60,J60))</f>
        <v>1</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3061</v>
      </c>
      <c r="K47" s="1884" t="s">
        <v>1527</v>
      </c>
      <c r="L47" s="1885">
        <f ca="1">INDIRECT("'数据-取费表'!d"&amp;$G$1)</f>
        <v>40</v>
      </c>
      <c r="M47" s="1840" t="str">
        <f>IF(ISNUMBER(FIND("住宅",C1)),"住宅","非住宅")</f>
        <v>非住宅</v>
      </c>
      <c r="O47" s="1886" t="s">
        <v>1040</v>
      </c>
      <c r="P47" s="1887" t="s">
        <v>1528</v>
      </c>
      <c r="Q47" s="1888">
        <f ca="1">C40+J29</f>
        <v>160</v>
      </c>
      <c r="R47" s="1888" t="s">
        <v>1529</v>
      </c>
    </row>
    <row r="48" spans="1:18" s="1844" customFormat="1" ht="28.5" thickBot="1">
      <c r="A48" s="1362" t="s">
        <v>1135</v>
      </c>
      <c r="B48" s="345" t="s">
        <v>1401</v>
      </c>
      <c r="C48" s="1819">
        <f ca="1">C49+C53+C55</f>
        <v>0</v>
      </c>
      <c r="D48" s="1364"/>
      <c r="E48" s="1365"/>
      <c r="F48" s="1184"/>
      <c r="G48" s="792"/>
      <c r="H48" s="793"/>
      <c r="I48" s="1889" t="s">
        <v>1530</v>
      </c>
      <c r="J48" s="1890" t="s">
        <v>3062</v>
      </c>
      <c r="K48" s="1891" t="s">
        <v>1531</v>
      </c>
      <c r="L48" s="1892">
        <f ca="1">INDIRECT("'数据-取费表'!f"&amp;$G$1)</f>
        <v>35.22</v>
      </c>
      <c r="O48" s="1886" t="s">
        <v>1041</v>
      </c>
      <c r="P48" s="1887" t="s">
        <v>1532</v>
      </c>
      <c r="Q48" s="1888">
        <f ca="1">J60</f>
        <v>1</v>
      </c>
      <c r="R48" s="1888" t="s">
        <v>1533</v>
      </c>
    </row>
    <row r="49" spans="1:18" s="1844" customFormat="1" ht="13.5" thickBot="1">
      <c r="A49" s="1197" t="s">
        <v>1136</v>
      </c>
      <c r="B49" s="1831" t="s">
        <v>1490</v>
      </c>
      <c r="C49" s="1366">
        <f ca="1">ROUND(F49*F51*F50*(1-F52)/10000,0)</f>
        <v>0</v>
      </c>
      <c r="D49" s="1278" t="s">
        <v>3037</v>
      </c>
      <c r="E49" s="1832" t="s">
        <v>1491</v>
      </c>
      <c r="F49" s="1283"/>
      <c r="G49" s="1893"/>
      <c r="H49" s="793"/>
      <c r="I49" s="1889" t="s">
        <v>1534</v>
      </c>
      <c r="J49" s="1894">
        <v>2018</v>
      </c>
      <c r="K49" s="1891" t="s">
        <v>1535</v>
      </c>
      <c r="L49" s="1895"/>
      <c r="O49" s="1896" t="s">
        <v>1042</v>
      </c>
      <c r="P49" s="1887" t="s">
        <v>1536</v>
      </c>
      <c r="Q49" s="1888">
        <f ca="1">C29</f>
        <v>38</v>
      </c>
      <c r="R49" s="1888" t="s">
        <v>1529</v>
      </c>
    </row>
    <row r="50" spans="1:18" s="1844" customFormat="1" ht="13.5" thickBot="1">
      <c r="A50" s="1198"/>
      <c r="B50" s="1201"/>
      <c r="C50" s="1370"/>
      <c r="D50" s="1175"/>
      <c r="E50" s="1279" t="s">
        <v>1406</v>
      </c>
      <c r="F50" s="1280">
        <f ca="1">F7</f>
        <v>107.51</v>
      </c>
      <c r="H50" s="793"/>
      <c r="I50" s="1889" t="s">
        <v>1537</v>
      </c>
      <c r="J50" s="1897">
        <f>SUMPRODUCT((I63:I65=J47)*(J62:L62=J48)*(J63:L65))</f>
        <v>60</v>
      </c>
      <c r="K50" s="1891" t="s">
        <v>1538</v>
      </c>
      <c r="L50" s="1895"/>
      <c r="M50" s="1898"/>
      <c r="O50" s="1896" t="s">
        <v>1043</v>
      </c>
      <c r="P50" s="1887" t="s">
        <v>1539</v>
      </c>
      <c r="Q50" s="1899">
        <f ca="1">J58</f>
        <v>0.41299999999999998</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65</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69" t="s">
        <v>1548</v>
      </c>
      <c r="L53" s="3170"/>
      <c r="O53" s="1886" t="s">
        <v>1046</v>
      </c>
      <c r="P53" s="1887" t="s">
        <v>1549</v>
      </c>
      <c r="Q53" s="1888">
        <f ca="1">Q47+Q48</f>
        <v>161</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0.41299999999999998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38</v>
      </c>
      <c r="D56" s="1916"/>
      <c r="E56" s="1917"/>
      <c r="F56" s="1909"/>
      <c r="I56" s="1918" t="s">
        <v>1554</v>
      </c>
      <c r="J56" s="1919" t="s">
        <v>3120</v>
      </c>
      <c r="K56" s="1889" t="s">
        <v>1555</v>
      </c>
      <c r="L56" s="1892" t="str">
        <f ca="1">IF(L48&lt;J51,"——",L48-J53)</f>
        <v>——</v>
      </c>
      <c r="O56" s="1886" t="s">
        <v>1040</v>
      </c>
      <c r="P56" s="1887" t="s">
        <v>1528</v>
      </c>
      <c r="Q56" s="1888">
        <f ca="1">C40+J29</f>
        <v>160</v>
      </c>
      <c r="R56" s="1888" t="s">
        <v>1529</v>
      </c>
    </row>
    <row r="57" spans="1:18" s="1844" customFormat="1" ht="24.75" thickBot="1">
      <c r="A57" s="1920"/>
      <c r="B57" s="1172" t="s">
        <v>1478</v>
      </c>
      <c r="C57" s="282">
        <f ca="1">C29</f>
        <v>38</v>
      </c>
      <c r="D57" s="1921"/>
      <c r="E57" s="1922"/>
      <c r="F57" s="1923"/>
      <c r="I57" s="1924" t="s">
        <v>1556</v>
      </c>
      <c r="J57" s="1925">
        <f ca="1">IF(OR(M47="住宅",J51&lt;L48,J56="是"),"——",J51-L48)</f>
        <v>24.78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v>
      </c>
      <c r="D58" s="1182" t="s">
        <v>1425</v>
      </c>
      <c r="E58" s="1183"/>
      <c r="F58" s="1184"/>
      <c r="I58" s="1924" t="s">
        <v>1560</v>
      </c>
      <c r="J58" s="1926">
        <f ca="1">IF(J55&lt;0.4,0.4,J55)</f>
        <v>0.41299999999999998</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3.2</v>
      </c>
      <c r="D59" s="1185" t="s">
        <v>1430</v>
      </c>
      <c r="E59" s="1186" t="s">
        <v>1431</v>
      </c>
      <c r="F59" s="368" t="str">
        <f ca="1">IF(项目基本情况!B11="企业","",IF(INDIRECT("'数据-取费表'!c"&amp;$G$1)="住宅",5%,IF(F49*F50*F51/12/(1+'数据-取费表'!C42)&gt;20000,12%,7%)))</f>
        <v/>
      </c>
      <c r="I59" s="1924" t="s">
        <v>1563</v>
      </c>
      <c r="J59" s="1925">
        <f ca="1">IF(OR(M47="住宅",J51&lt;L48,J56="是"),"——",ROUND(C29*J58,0))</f>
        <v>16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3.19</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0.01</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160</v>
      </c>
      <c r="R62" s="1888" t="s">
        <v>1047</v>
      </c>
    </row>
    <row r="63" spans="1:18" s="1844" customFormat="1" ht="13.5" thickBot="1">
      <c r="A63" s="372"/>
      <c r="B63" s="1178"/>
      <c r="C63" s="29"/>
      <c r="D63" s="1188"/>
      <c r="E63" s="1172" t="s">
        <v>1499</v>
      </c>
      <c r="F63" s="348">
        <f t="shared" ca="1" si="0"/>
        <v>5.45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0.1</v>
      </c>
      <c r="D65" s="1186" t="s">
        <v>1454</v>
      </c>
      <c r="E65" s="1172" t="s">
        <v>1455</v>
      </c>
      <c r="F65" s="376">
        <f t="shared" ca="1" si="0"/>
        <v>1.5E-3</v>
      </c>
      <c r="I65" s="1931" t="s">
        <v>1579</v>
      </c>
      <c r="J65" s="1932">
        <v>40</v>
      </c>
      <c r="K65" s="1932">
        <v>30</v>
      </c>
      <c r="L65" s="1932">
        <v>50</v>
      </c>
      <c r="M65" s="1934">
        <v>0.02</v>
      </c>
      <c r="O65" s="1886" t="s">
        <v>1040</v>
      </c>
      <c r="P65" s="1887" t="s">
        <v>1580</v>
      </c>
      <c r="Q65" s="1888">
        <f ca="1">C40+J29</f>
        <v>160</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v>
      </c>
      <c r="D67" s="1185" t="s">
        <v>1464</v>
      </c>
      <c r="E67" s="1190"/>
      <c r="F67" s="1191"/>
      <c r="O67" s="1896" t="s">
        <v>1042</v>
      </c>
      <c r="P67" s="1887" t="s">
        <v>1562</v>
      </c>
      <c r="Q67" s="1935">
        <f ca="1">L51</f>
        <v>65</v>
      </c>
      <c r="R67" s="1888" t="s">
        <v>1582</v>
      </c>
    </row>
    <row r="68" spans="1:18" s="1844" customFormat="1" ht="16.5" thickBot="1">
      <c r="A68" s="1169" t="s">
        <v>1032</v>
      </c>
      <c r="B68" s="1170" t="s">
        <v>1485</v>
      </c>
      <c r="C68" s="346">
        <f ca="1">ROUND(C67*(1-((1+F70)/(1+F68))^F69)/(F68-F70),0)</f>
        <v>-62</v>
      </c>
      <c r="D68" s="1187" t="s">
        <v>1469</v>
      </c>
      <c r="E68" s="1172" t="s">
        <v>1470</v>
      </c>
      <c r="F68" s="357">
        <f ca="1">F40</f>
        <v>5.5E-2</v>
      </c>
      <c r="O68" s="1896" t="s">
        <v>1043</v>
      </c>
      <c r="P68" s="1936" t="s">
        <v>1583</v>
      </c>
      <c r="Q68" s="1888">
        <f ca="1">ROUND(Q69-Q70*Q71,0)</f>
        <v>4</v>
      </c>
      <c r="R68" s="1888" t="s">
        <v>1051</v>
      </c>
    </row>
    <row r="69" spans="1:18" s="1844" customFormat="1" ht="13.5" thickBot="1">
      <c r="A69" s="1173"/>
      <c r="B69" s="1174"/>
      <c r="C69" s="351"/>
      <c r="D69" s="1192" t="s">
        <v>1473</v>
      </c>
      <c r="E69" s="1172" t="s">
        <v>1474</v>
      </c>
      <c r="F69" s="379">
        <f ca="1">F41</f>
        <v>35.22</v>
      </c>
      <c r="O69" s="1896" t="s">
        <v>1048</v>
      </c>
      <c r="P69" s="1936" t="s">
        <v>1584</v>
      </c>
      <c r="Q69" s="1888">
        <f ca="1">C39</f>
        <v>7</v>
      </c>
      <c r="R69" s="1888" t="s">
        <v>1529</v>
      </c>
    </row>
    <row r="70" spans="1:18" s="1844" customFormat="1" ht="13.5" thickBot="1">
      <c r="A70" s="1176"/>
      <c r="B70" s="1177"/>
      <c r="C70" s="355"/>
      <c r="D70" s="1188"/>
      <c r="E70" s="1172" t="s">
        <v>1477</v>
      </c>
      <c r="F70" s="1277"/>
      <c r="O70" s="1896" t="s">
        <v>1049</v>
      </c>
      <c r="P70" s="1936" t="s">
        <v>1585</v>
      </c>
      <c r="Q70" s="1888">
        <f ca="1">C13</f>
        <v>38</v>
      </c>
      <c r="R70" s="1888" t="s">
        <v>1529</v>
      </c>
    </row>
    <row r="71" spans="1:18" s="1844" customFormat="1" ht="13.5" thickBot="1">
      <c r="A71" s="1193" t="s">
        <v>1033</v>
      </c>
      <c r="B71" s="1194" t="s">
        <v>1487</v>
      </c>
      <c r="C71" s="382">
        <f ca="1">ROUND(C68*10000/F71,0)</f>
        <v>-5767</v>
      </c>
      <c r="D71" s="1195" t="s">
        <v>1488</v>
      </c>
      <c r="E71" s="1196" t="s">
        <v>1489</v>
      </c>
      <c r="F71" s="385">
        <f ca="1">F43</f>
        <v>107.51</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v>
      </c>
      <c r="D75" s="1844"/>
      <c r="E75" s="1844"/>
      <c r="F75" s="1844"/>
      <c r="K75" s="1870"/>
      <c r="L75" s="1844"/>
      <c r="O75" s="1886" t="s">
        <v>1046</v>
      </c>
      <c r="P75" s="1887" t="s">
        <v>1549</v>
      </c>
      <c r="Q75" s="1888">
        <f ca="1">Q65+Q66</f>
        <v>160</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0.57099999999999995</v>
      </c>
    </row>
    <row r="80" spans="1:18">
      <c r="B80" s="386" t="s">
        <v>1511</v>
      </c>
      <c r="C80" s="318">
        <f ca="1">ROUND(C75/C39,3)</f>
        <v>0.42899999999999999</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3" t="str">
        <f>项目基本情况!B1</f>
        <v>湖北省武汉市江岸区解放大道与张公堤路交叉口处房地产市场价值预评估</v>
      </c>
      <c r="C37" s="2983"/>
      <c r="D37" s="2983"/>
      <c r="E37" s="2983"/>
      <c r="F37" s="2983"/>
      <c r="G37" s="2983"/>
      <c r="H37" s="2983"/>
      <c r="I37" s="2983"/>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1">
        <f>MATCH(B1,'数据-取费表'!A6:A16,0)+5</f>
        <v>7</v>
      </c>
    </row>
    <row r="2" spans="1:9" s="244" customFormat="1" ht="18" customHeight="1">
      <c r="A2" s="245" t="s">
        <v>2331</v>
      </c>
      <c r="B2" s="246">
        <f ca="1">IF(D2="——",C52,C52-E2)</f>
        <v>40</v>
      </c>
      <c r="C2" s="243" t="s">
        <v>2332</v>
      </c>
      <c r="D2" s="2548" t="s">
        <v>70</v>
      </c>
      <c r="E2" s="1442"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3721</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2" t="s">
        <v>2341</v>
      </c>
      <c r="B6" s="259" t="s">
        <v>2342</v>
      </c>
      <c r="C6" s="260"/>
      <c r="D6" s="261"/>
      <c r="E6" s="262"/>
      <c r="F6" s="262"/>
      <c r="G6" s="263"/>
    </row>
    <row r="7" spans="1:9" s="258" customFormat="1" ht="13.5" customHeight="1">
      <c r="A7" s="952" t="s">
        <v>2343</v>
      </c>
      <c r="B7" s="259" t="s">
        <v>2344</v>
      </c>
      <c r="C7" s="264">
        <f>ROUND(C6*F7,0)</f>
        <v>0</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0</v>
      </c>
      <c r="D8" s="266"/>
      <c r="E8" s="264"/>
      <c r="F8" s="265"/>
      <c r="G8" s="2551"/>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2"/>
      <c r="H9" s="1392"/>
      <c r="I9" s="2553" t="s">
        <v>2348</v>
      </c>
    </row>
    <row r="10" spans="1:9" s="258" customFormat="1" ht="13.5" customHeight="1">
      <c r="A10" s="953" t="s">
        <v>801</v>
      </c>
      <c r="B10" s="268" t="s">
        <v>2349</v>
      </c>
      <c r="C10" s="269">
        <f ca="1">ROUND(D10*E10/10000,0)</f>
        <v>1</v>
      </c>
      <c r="D10" s="1035">
        <f ca="1">IF(B1="",'数据-汇总表'!E6,IF(INDIRECT("'数据-取费表'!c"&amp;$G$1)="住宅",INDIRECT("'数据-取费表'!s"&amp;$G$1),INDIRECT("'数据-取费表'!k"&amp;$G$1)+INDIRECT("'数据-取费表'!s"&amp;$G$1)))</f>
        <v>107.51</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2</v>
      </c>
      <c r="D19" s="1039">
        <f ca="1">D9+D10</f>
        <v>107.51</v>
      </c>
      <c r="E19" s="255">
        <f>'数据-取费表'!B31</f>
        <v>150</v>
      </c>
      <c r="F19" s="275"/>
      <c r="G19" s="2551"/>
    </row>
    <row r="20" spans="1:7" s="258" customFormat="1" ht="13.5" customHeight="1">
      <c r="A20" s="299" t="s">
        <v>2362</v>
      </c>
      <c r="B20" s="254" t="s">
        <v>2363</v>
      </c>
      <c r="C20" s="276">
        <f ca="1">ROUND((C5+C19)*F20,0)</f>
        <v>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0</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0</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7">
        <f ca="1">ROUND(IF('数据-取费表'!B22&lt;=1,C20*F22*'数据-取费表'!B23/2,C20*(POWER((1+F22),'数据-取费表'!B23/2)-1)),0)</f>
        <v>0</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0</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ROUND((C5+C19+C20)*F27*'数据-取费表'!B21/'数据-取费表'!B20,0)</f>
        <v>0</v>
      </c>
      <c r="D28" s="279"/>
      <c r="E28" s="280"/>
      <c r="F28" s="290"/>
      <c r="G28" s="291"/>
    </row>
    <row r="29" spans="1:7" s="258" customFormat="1" ht="13.5" customHeight="1">
      <c r="A29" s="954"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30</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27</v>
      </c>
      <c r="D34" s="261"/>
      <c r="E34" s="264"/>
      <c r="F34" s="301">
        <f ca="1">IF('数据-取费表'!B24=0,1,IF(B1="",'数据-取费表'!N16,INDIRECT("'数据-取费表'!n"&amp;$G$1)))</f>
        <v>1</v>
      </c>
      <c r="G34" s="263" t="s">
        <v>2395</v>
      </c>
    </row>
    <row r="35" spans="1:7" ht="13.5" customHeight="1">
      <c r="A35" s="954" t="s">
        <v>796</v>
      </c>
      <c r="B35" s="259" t="s">
        <v>2396</v>
      </c>
      <c r="C35" s="264">
        <f ca="1">ROUND(C34*F35,0)</f>
        <v>1</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2</v>
      </c>
      <c r="D37" s="261">
        <f ca="1">D19</f>
        <v>107.51</v>
      </c>
      <c r="E37" s="293">
        <f>'数据-取费表'!B35</f>
        <v>150</v>
      </c>
      <c r="F37" s="303"/>
      <c r="G37" s="305" t="s">
        <v>2401</v>
      </c>
    </row>
    <row r="38" spans="1:7" ht="13.5" customHeight="1">
      <c r="A38" s="954" t="s">
        <v>799</v>
      </c>
      <c r="B38" s="259" t="s">
        <v>2402</v>
      </c>
      <c r="C38" s="264">
        <f ca="1">ROUND(C34*F38,0)</f>
        <v>0</v>
      </c>
      <c r="D38" s="264"/>
      <c r="E38" s="264"/>
      <c r="F38" s="303">
        <f>'数据-取费表'!B36</f>
        <v>1.4999999999999999E-2</v>
      </c>
      <c r="G38" s="263" t="s">
        <v>2397</v>
      </c>
    </row>
    <row r="39" spans="1:7" s="258" customFormat="1" ht="13.5" customHeight="1">
      <c r="A39" s="299" t="s">
        <v>2403</v>
      </c>
      <c r="B39" s="254" t="s">
        <v>2404</v>
      </c>
      <c r="C39" s="276">
        <f ca="1">ROUND(C33*F20,0)</f>
        <v>1</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1</v>
      </c>
      <c r="D42" s="282"/>
      <c r="E42" s="282"/>
      <c r="F42" s="283"/>
      <c r="G42" s="3174" t="s">
        <v>2413</v>
      </c>
    </row>
    <row r="43" spans="1:7" ht="13.5" customHeight="1">
      <c r="A43" s="954" t="s">
        <v>792</v>
      </c>
      <c r="B43" s="259" t="s">
        <v>2414</v>
      </c>
      <c r="C43" s="282">
        <f ca="1">ROUND(IF('数据-取费表'!B22&lt;=1,C39*F22*'数据-取费表'!B21/2,C39*(POWER((1+F22),'数据-取费表'!B21/2)-1)),0)</f>
        <v>0</v>
      </c>
      <c r="D43" s="282"/>
      <c r="E43" s="282"/>
      <c r="F43" s="283"/>
      <c r="G43" s="3175"/>
    </row>
    <row r="44" spans="1:7" ht="13.5" customHeight="1">
      <c r="A44" s="954" t="s">
        <v>793</v>
      </c>
      <c r="B44" s="259" t="s">
        <v>2415</v>
      </c>
      <c r="C44" s="282">
        <f ca="1">ROUND(IF('数据-取费表'!B22&lt;=1,C40*F22*'数据-取费表'!B21/2,C40*(POWER((1+F22),'数据-取费表'!B21/2)-1)),4)</f>
        <v>1E-3</v>
      </c>
      <c r="D44" s="282"/>
      <c r="E44" s="282"/>
      <c r="F44" s="283"/>
      <c r="G44" s="3176"/>
    </row>
    <row r="45" spans="1:7" s="258" customFormat="1" ht="13.5" customHeight="1">
      <c r="A45" s="299" t="s">
        <v>2416</v>
      </c>
      <c r="B45" s="288" t="s">
        <v>2382</v>
      </c>
      <c r="C45" s="289">
        <f ca="1">C46</f>
        <v>3</v>
      </c>
      <c r="D45" s="279">
        <f ca="1">C47</f>
        <v>2E-3</v>
      </c>
      <c r="E45" s="280" t="s">
        <v>2408</v>
      </c>
      <c r="F45" s="290"/>
      <c r="G45" s="291" t="s">
        <v>2417</v>
      </c>
    </row>
    <row r="46" spans="1:7" s="258" customFormat="1" ht="13.5" customHeight="1">
      <c r="A46" s="954" t="s">
        <v>791</v>
      </c>
      <c r="B46" s="292" t="s">
        <v>2418</v>
      </c>
      <c r="C46" s="293">
        <f ca="1">ROUND((C33+C39)*F27,0)</f>
        <v>3</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38</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38</v>
      </c>
      <c r="D51" s="276"/>
      <c r="E51" s="276"/>
      <c r="F51" s="308"/>
      <c r="G51" s="278" t="s">
        <v>2429</v>
      </c>
    </row>
    <row r="52" spans="1:7" s="252" customFormat="1" ht="16.5" thickBot="1">
      <c r="A52" s="309" t="s">
        <v>2430</v>
      </c>
      <c r="B52" s="310"/>
      <c r="C52" s="311">
        <f ca="1">C31+C51</f>
        <v>40</v>
      </c>
      <c r="D52" s="310"/>
      <c r="E52" s="310"/>
      <c r="F52" s="310"/>
      <c r="G52" s="312"/>
    </row>
    <row r="55" spans="1:7" ht="15">
      <c r="B55" s="314" t="s">
        <v>2431</v>
      </c>
      <c r="C55" s="315"/>
    </row>
    <row r="56" spans="1:7">
      <c r="B56" s="317" t="s">
        <v>1513</v>
      </c>
      <c r="C56" s="319">
        <f ca="1">1-C57</f>
        <v>5.0000000000000044E-2</v>
      </c>
    </row>
    <row r="57" spans="1:7">
      <c r="B57" s="317" t="s">
        <v>1514</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4" t="s">
        <v>2432</v>
      </c>
      <c r="D1" s="242"/>
      <c r="E1" s="242"/>
      <c r="F1" s="242"/>
      <c r="G1" s="1381">
        <f>MATCH(B1,'数据-取费表'!A6:A16,0)+5</f>
        <v>7</v>
      </c>
      <c r="H1" s="1284" t="str">
        <f>IF(ISERROR(FIND("住宅",B1)),"非住宅","住宅")</f>
        <v>非住宅</v>
      </c>
    </row>
    <row r="2" spans="1:8" s="244" customFormat="1" ht="18" customHeight="1">
      <c r="A2" s="245" t="s">
        <v>2331</v>
      </c>
      <c r="B2" s="246">
        <f ca="1">ROUND(IF(D2="——",C52/10000,C52/10000-E2),0)</f>
        <v>41</v>
      </c>
      <c r="C2" s="243" t="s">
        <v>2332</v>
      </c>
      <c r="D2" s="2548" t="s">
        <v>70</v>
      </c>
      <c r="E2" s="1442"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3814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12901</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12901</v>
      </c>
      <c r="D8" s="266"/>
      <c r="E8" s="264"/>
      <c r="F8" s="265"/>
      <c r="G8" s="2551"/>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12901</v>
      </c>
      <c r="D10" s="1035">
        <f ca="1">IF(B1="",'数据-汇总表'!E6,IF(INDIRECT("'数据-取费表'!c"&amp;$G$1)="住宅",INDIRECT("'数据-取费表'!s"&amp;$G$1),INDIRECT("'数据-取费表'!k"&amp;$G$1)+INDIRECT("'数据-取费表'!s"&amp;$G$1)))</f>
        <v>107.51</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16127</v>
      </c>
      <c r="D19" s="1039">
        <f ca="1">D9+D10</f>
        <v>107.51</v>
      </c>
      <c r="E19" s="255">
        <f>'数据-取费表'!B31</f>
        <v>150</v>
      </c>
      <c r="F19" s="275"/>
      <c r="G19" s="2551"/>
    </row>
    <row r="20" spans="1:7" s="258" customFormat="1" ht="13.5" customHeight="1">
      <c r="A20" s="299" t="s">
        <v>2443</v>
      </c>
      <c r="B20" s="254" t="s">
        <v>2444</v>
      </c>
      <c r="C20" s="276">
        <f ca="1">ROUND((C5+C19)*F20,0)</f>
        <v>581</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2851</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1255</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1568</v>
      </c>
      <c r="D24" s="282"/>
      <c r="E24" s="282"/>
      <c r="F24" s="283"/>
      <c r="G24" s="284" t="s">
        <v>2455</v>
      </c>
    </row>
    <row r="25" spans="1:7" s="258" customFormat="1" ht="24">
      <c r="A25" s="954" t="s">
        <v>2345</v>
      </c>
      <c r="B25" s="259" t="s">
        <v>2456</v>
      </c>
      <c r="C25" s="1383">
        <f ca="1">ROUND(IF('数据-取费表'!B22&lt;=1,C20*F22*'数据-取费表'!B22/2,C20*(POWER((1+F22),'数据-取费表'!B22/2)-1)),0)</f>
        <v>28</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2961</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ROUND((C5+C19+C20)*F27,0)</f>
        <v>2961</v>
      </c>
      <c r="D28" s="279"/>
      <c r="E28" s="280"/>
      <c r="F28" s="290"/>
      <c r="G28" s="291"/>
    </row>
    <row r="29" spans="1:7" s="258" customFormat="1" ht="13.5" customHeight="1">
      <c r="A29" s="954" t="s">
        <v>792</v>
      </c>
      <c r="B29" s="292" t="s">
        <v>2386</v>
      </c>
      <c r="C29" s="282">
        <f ca="1">ROUND(C21*F27,4)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38347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296997</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268775</v>
      </c>
      <c r="D34" s="261"/>
      <c r="E34" s="264"/>
      <c r="F34" s="301"/>
      <c r="G34" s="263"/>
    </row>
    <row r="35" spans="1:7" ht="13.5" customHeight="1">
      <c r="A35" s="954" t="s">
        <v>796</v>
      </c>
      <c r="B35" s="259" t="s">
        <v>2396</v>
      </c>
      <c r="C35" s="264">
        <f ca="1">ROUND(C34*F35,0)</f>
        <v>8063</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16127</v>
      </c>
      <c r="D37" s="261">
        <f ca="1">D19</f>
        <v>107.51</v>
      </c>
      <c r="E37" s="293">
        <f>'数据-取费表'!B35</f>
        <v>150</v>
      </c>
      <c r="F37" s="303"/>
      <c r="G37" s="305"/>
    </row>
    <row r="38" spans="1:7" ht="13.5" customHeight="1">
      <c r="A38" s="954" t="s">
        <v>799</v>
      </c>
      <c r="B38" s="259" t="s">
        <v>2402</v>
      </c>
      <c r="C38" s="264">
        <f ca="1">ROUND(C34*F38,0)</f>
        <v>4032</v>
      </c>
      <c r="D38" s="264"/>
      <c r="E38" s="264"/>
      <c r="F38" s="303">
        <f>'数据-取费表'!B36</f>
        <v>1.4999999999999999E-2</v>
      </c>
      <c r="G38" s="263" t="s">
        <v>2397</v>
      </c>
    </row>
    <row r="39" spans="1:7" s="258" customFormat="1" ht="13.5" customHeight="1">
      <c r="A39" s="299" t="s">
        <v>2403</v>
      </c>
      <c r="B39" s="254" t="s">
        <v>2404</v>
      </c>
      <c r="C39" s="276">
        <f ca="1">ROUND(C33*F20,0)</f>
        <v>5940</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14389</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14107</v>
      </c>
      <c r="D42" s="282"/>
      <c r="E42" s="282"/>
      <c r="F42" s="283"/>
      <c r="G42" s="3174" t="s">
        <v>2460</v>
      </c>
    </row>
    <row r="43" spans="1:7" ht="13.5" customHeight="1">
      <c r="A43" s="954" t="s">
        <v>792</v>
      </c>
      <c r="B43" s="259" t="s">
        <v>2414</v>
      </c>
      <c r="C43" s="282">
        <f ca="1">ROUND(IF('数据-取费表'!B22&lt;=1,C39*F22*'数据-取费表'!B20/2,C39*(POWER((1+F22),'数据-取费表'!B20/2)-1)),0)</f>
        <v>282</v>
      </c>
      <c r="D43" s="282"/>
      <c r="E43" s="282"/>
      <c r="F43" s="283"/>
      <c r="G43" s="3175"/>
    </row>
    <row r="44" spans="1:7" ht="13.5" customHeight="1">
      <c r="A44" s="954" t="s">
        <v>793</v>
      </c>
      <c r="B44" s="259" t="s">
        <v>2415</v>
      </c>
      <c r="C44" s="282">
        <f ca="1">ROUND(IF('数据-取费表'!B22&lt;=1,C40*F22*'数据-取费表'!B20/2,C40*(POWER((1+F22),'数据-取费表'!B20/2)-1)),4)</f>
        <v>1E-3</v>
      </c>
      <c r="D44" s="282"/>
      <c r="E44" s="282"/>
      <c r="F44" s="283"/>
      <c r="G44" s="3176"/>
    </row>
    <row r="45" spans="1:7" s="258" customFormat="1" ht="13.5" customHeight="1">
      <c r="A45" s="299" t="s">
        <v>2416</v>
      </c>
      <c r="B45" s="288" t="s">
        <v>2382</v>
      </c>
      <c r="C45" s="289">
        <f ca="1">C46</f>
        <v>30294</v>
      </c>
      <c r="D45" s="279">
        <f ca="1">C47</f>
        <v>2E-3</v>
      </c>
      <c r="E45" s="280" t="s">
        <v>2408</v>
      </c>
      <c r="F45" s="290"/>
      <c r="G45" s="291" t="s">
        <v>2417</v>
      </c>
    </row>
    <row r="46" spans="1:7" s="258" customFormat="1" ht="13.5" customHeight="1">
      <c r="A46" s="954" t="s">
        <v>791</v>
      </c>
      <c r="B46" s="292" t="s">
        <v>2418</v>
      </c>
      <c r="C46" s="293">
        <f ca="1">ROUND((C33+C39)*F27,0)</f>
        <v>30294</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376334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376334</v>
      </c>
      <c r="D51" s="276"/>
      <c r="E51" s="276"/>
      <c r="F51" s="308"/>
      <c r="G51" s="278" t="s">
        <v>2429</v>
      </c>
    </row>
    <row r="52" spans="1:7" s="252" customFormat="1" ht="16.5" thickBot="1">
      <c r="A52" s="309" t="s">
        <v>2430</v>
      </c>
      <c r="B52" s="310"/>
      <c r="C52" s="311">
        <f ca="1">C31+C51</f>
        <v>414681</v>
      </c>
      <c r="D52" s="310"/>
      <c r="E52" s="310"/>
      <c r="F52" s="310"/>
      <c r="G52" s="312"/>
    </row>
    <row r="55" spans="1:7" ht="15">
      <c r="B55" s="314" t="s">
        <v>2431</v>
      </c>
      <c r="C55" s="315"/>
    </row>
    <row r="56" spans="1:7">
      <c r="B56" s="317" t="s">
        <v>1513</v>
      </c>
      <c r="C56" s="319">
        <f ca="1">1-C57</f>
        <v>9.1999999999999971E-2</v>
      </c>
    </row>
    <row r="57" spans="1:7">
      <c r="B57" s="317" t="s">
        <v>1514</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7</v>
      </c>
    </row>
    <row r="2" spans="1:33" ht="18" customHeight="1">
      <c r="A2" s="245" t="s">
        <v>2331</v>
      </c>
      <c r="B2" s="248">
        <f ca="1">C32</f>
        <v>-1</v>
      </c>
      <c r="C2" s="320" t="s">
        <v>2464</v>
      </c>
      <c r="D2" s="320"/>
      <c r="E2" s="320"/>
      <c r="F2" s="320"/>
      <c r="G2" s="320"/>
      <c r="H2" s="320"/>
      <c r="I2" s="320"/>
      <c r="J2" s="320"/>
      <c r="K2" s="320"/>
    </row>
    <row r="3" spans="1:33" ht="18" customHeight="1" thickBot="1">
      <c r="A3" s="247" t="s">
        <v>2333</v>
      </c>
      <c r="B3" s="248">
        <f ca="1">ROUND(B2*10000/IF(C1="",'数据-汇总表'!E3,INDIRECT("'数据-取费表'!K"&amp;$K$1)),0)</f>
        <v>-93</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5" t="s">
        <v>2469</v>
      </c>
      <c r="D5" s="2555" t="s">
        <v>2470</v>
      </c>
      <c r="E5" s="2555" t="s">
        <v>2471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107.51</v>
      </c>
      <c r="E14" s="24">
        <f>'数据-取费表'!B35</f>
        <v>150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107.51</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v>
      </c>
      <c r="D18" s="1036"/>
      <c r="E18" s="24"/>
      <c r="F18" s="979"/>
      <c r="G18" s="2557"/>
      <c r="H18" s="1579"/>
      <c r="I18" s="2558"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2499</v>
      </c>
      <c r="C20" s="24">
        <f ca="1">ROUND(D20*E20/10000,0)</f>
        <v>1</v>
      </c>
      <c r="D20" s="1036">
        <f ca="1">IF(C1="",'数据-汇总表'!E6,IF(INDIRECT("'数据-取费表'!c"&amp;$K$1)="住宅",INDIRECT("'数据-取费表'!s"&amp;$K$1),INDIRECT("'数据-取费表'!k"&amp;$K$1)+INDIRECT("'数据-取费表'!s"&amp;$K$1)))</f>
        <v>107.51</v>
      </c>
      <c r="E20" s="24">
        <f>'数据-取费表'!B28</f>
        <v>120</v>
      </c>
      <c r="F20" s="979"/>
      <c r="G20" s="15"/>
      <c r="H20" s="984"/>
      <c r="I20" s="984"/>
      <c r="J20" s="984"/>
      <c r="K20" s="985"/>
    </row>
    <row r="21" spans="1:33" s="978" customFormat="1" ht="13.5" customHeight="1">
      <c r="A21" s="964" t="s">
        <v>802</v>
      </c>
      <c r="B21" s="988" t="s">
        <v>2500</v>
      </c>
      <c r="C21" s="989">
        <f ca="1">C16+C17+C18</f>
        <v>1</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2513</v>
      </c>
      <c r="B28" s="2560" t="s">
        <v>2514</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0</v>
      </c>
      <c r="D30" s="328"/>
      <c r="E30" s="329"/>
      <c r="F30" s="334"/>
      <c r="G30" s="140"/>
      <c r="H30" s="982"/>
      <c r="I30" s="982"/>
      <c r="J30" s="982"/>
      <c r="K30" s="983"/>
    </row>
    <row r="31" spans="1:33" s="978" customFormat="1" ht="13.5" customHeight="1" thickBot="1">
      <c r="A31" s="2561"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71" t="s">
        <v>1403</v>
      </c>
      <c r="C6" s="1298">
        <f ca="1">ROUND(F6*F8*F7*(1-F9),0)</f>
        <v>0</v>
      </c>
      <c r="D6" s="164" t="s">
        <v>3033</v>
      </c>
      <c r="E6" s="347" t="s">
        <v>1405</v>
      </c>
      <c r="F6" s="348">
        <f ca="1">INDIRECT("'数据-取费表'!u"&amp;$G$1)</f>
        <v>0</v>
      </c>
      <c r="G6" s="1853"/>
      <c r="H6" s="1293" t="s">
        <v>1035</v>
      </c>
      <c r="I6" s="3171" t="s">
        <v>1403</v>
      </c>
      <c r="J6" s="346">
        <f ca="1">ROUND(M6*M8*M7*(1-M9),0)</f>
        <v>0</v>
      </c>
      <c r="K6" s="1836" t="s">
        <v>3034</v>
      </c>
      <c r="L6" s="347" t="s">
        <v>1405</v>
      </c>
      <c r="M6" s="348">
        <f ca="1">INDIRECT("'数据-取费表'!z"&amp;$G$1)</f>
        <v>0</v>
      </c>
    </row>
    <row r="7" spans="1:37" ht="18" customHeight="1">
      <c r="A7" s="1297"/>
      <c r="B7" s="3172"/>
      <c r="C7" s="1299"/>
      <c r="D7" s="352"/>
      <c r="E7" s="1300" t="s">
        <v>1406</v>
      </c>
      <c r="F7" s="348">
        <f ca="1">IF(INDIRECT("'数据-取费表'!ah"&amp;$G$1)="",INDIRECT("'数据-取费表'!k"&amp;$G$1),INDIRECT("'数据-取费表'!ah"&amp;$G$1))</f>
        <v>0</v>
      </c>
      <c r="G7" s="1853"/>
      <c r="H7" s="349"/>
      <c r="I7" s="3172"/>
      <c r="J7" s="351"/>
      <c r="K7" s="352"/>
      <c r="L7" s="347" t="s">
        <v>1406</v>
      </c>
      <c r="M7" s="348">
        <f ca="1">F7</f>
        <v>0</v>
      </c>
    </row>
    <row r="8" spans="1:37" ht="18" customHeight="1">
      <c r="A8" s="349"/>
      <c r="B8" s="3172"/>
      <c r="C8" s="351"/>
      <c r="D8" s="352"/>
      <c r="E8" s="347" t="s">
        <v>1407</v>
      </c>
      <c r="F8" s="348">
        <f ca="1">INDIRECT("'数据-取费表'!ai"&amp;$G$1)</f>
        <v>0</v>
      </c>
      <c r="G8" s="1853"/>
      <c r="H8" s="349"/>
      <c r="I8" s="3172"/>
      <c r="J8" s="351"/>
      <c r="K8" s="352"/>
      <c r="L8" s="347" t="s">
        <v>1407</v>
      </c>
      <c r="M8" s="348">
        <f ca="1">INDIRECT("'数据-取费表'!ai"&amp;$G$1)</f>
        <v>0</v>
      </c>
    </row>
    <row r="9" spans="1:37" ht="18" customHeight="1">
      <c r="A9" s="349"/>
      <c r="B9" s="3173"/>
      <c r="C9" s="351"/>
      <c r="D9" s="352"/>
      <c r="E9" s="347" t="s">
        <v>1408</v>
      </c>
      <c r="F9" s="357">
        <f ca="1">INDIRECT("'数据-取费表'!w"&amp;$G$1)</f>
        <v>0</v>
      </c>
      <c r="G9" s="1853"/>
      <c r="H9" s="349"/>
      <c r="I9" s="317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3044</v>
      </c>
      <c r="E10" s="358" t="s">
        <v>1410</v>
      </c>
      <c r="F10" s="1368"/>
      <c r="G10" s="1853"/>
      <c r="H10" s="1293" t="s">
        <v>1039</v>
      </c>
      <c r="I10" s="1825" t="s">
        <v>1409</v>
      </c>
      <c r="J10" s="346">
        <f ca="1">ROUND(IF(M10="押一",J6/12*M11,IF(M10="押二",J6/12*2*M11,IF(M10="押三",J6/12*3*M11,J11*M11))),0)</f>
        <v>0</v>
      </c>
      <c r="K10" s="1837" t="s">
        <v>3046</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3047</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9" t="s">
        <v>1548</v>
      </c>
      <c r="L53" s="3170"/>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2530</v>
      </c>
      <c r="B1" s="2563"/>
      <c r="C1" s="2563"/>
      <c r="D1" s="2563"/>
      <c r="E1" s="2564"/>
    </row>
    <row r="2" spans="1:6" ht="15.75">
      <c r="A2" s="2565" t="s">
        <v>2331</v>
      </c>
      <c r="B2" s="2566">
        <f ca="1">SUMIF(B6:B13,"&lt;&gt;#ref!",B6:B13)</f>
        <v>161</v>
      </c>
      <c r="C2" s="2567" t="s">
        <v>2523</v>
      </c>
      <c r="D2" s="2568" t="s">
        <v>2524</v>
      </c>
      <c r="E2" s="2569">
        <f>SUM(E6:E13)</f>
        <v>107.51</v>
      </c>
    </row>
    <row r="3" spans="1:6" ht="15.75">
      <c r="A3" s="2565" t="s">
        <v>1395</v>
      </c>
      <c r="B3" s="2566">
        <f ca="1">ROUND(B2*10000/E2,0)</f>
        <v>14975</v>
      </c>
      <c r="C3" s="2567" t="s">
        <v>2531</v>
      </c>
      <c r="D3" s="2570"/>
      <c r="E3" s="2571"/>
    </row>
    <row r="4" spans="1:6" ht="15.75">
      <c r="A4" s="2572"/>
      <c r="B4" s="2570"/>
      <c r="C4" s="2570"/>
      <c r="D4" s="2570"/>
      <c r="E4" s="2571"/>
    </row>
    <row r="5" spans="1:6" ht="15">
      <c r="A5" s="2573" t="s">
        <v>2525</v>
      </c>
      <c r="B5" s="3177" t="s">
        <v>2526</v>
      </c>
      <c r="C5" s="3177"/>
      <c r="D5" s="2574"/>
      <c r="E5" s="2575" t="s">
        <v>2527</v>
      </c>
      <c r="F5" s="2576" t="s">
        <v>2528</v>
      </c>
    </row>
    <row r="6" spans="1:6">
      <c r="A6" s="2577" t="str">
        <f>'数据-取费表'!AN6</f>
        <v>收益法</v>
      </c>
      <c r="B6" s="2576">
        <f ca="1">IF(F6="是",'数据-取费表'!AO6,0)</f>
        <v>161</v>
      </c>
      <c r="C6" s="2567" t="s">
        <v>2523</v>
      </c>
      <c r="D6" s="2570"/>
      <c r="E6" s="2578">
        <f>IF(OR(A6=0,F6="否"),0,'数据-取费表'!K6+'数据-取费表'!S6)</f>
        <v>107.51</v>
      </c>
      <c r="F6" s="2579" t="s">
        <v>2529</v>
      </c>
    </row>
    <row r="7" spans="1:6">
      <c r="A7" s="2577">
        <f>'数据-取费表'!AN7</f>
        <v>0</v>
      </c>
      <c r="B7" s="2576" t="e">
        <f ca="1">IF(F7="是",'数据-取费表'!AO7,0)</f>
        <v>#REF!</v>
      </c>
      <c r="C7" s="2567" t="s">
        <v>2523</v>
      </c>
      <c r="D7" s="2570"/>
      <c r="E7" s="2578">
        <f>IF(OR(A7=0,F7="否"),0,'数据-取费表'!K7+'数据-取费表'!S7)</f>
        <v>0</v>
      </c>
      <c r="F7" s="2579" t="s">
        <v>2529</v>
      </c>
    </row>
    <row r="8" spans="1:6">
      <c r="A8" s="2577">
        <f>'数据-取费表'!AN8</f>
        <v>0</v>
      </c>
      <c r="B8" s="2576" t="e">
        <f ca="1">IF(F8="是",'数据-取费表'!AO8,0)</f>
        <v>#REF!</v>
      </c>
      <c r="C8" s="2567" t="s">
        <v>2523</v>
      </c>
      <c r="D8" s="2570"/>
      <c r="E8" s="2578">
        <f>IF(OR(A8=0,F8="否"),0,'数据-取费表'!K8+'数据-取费表'!S8)</f>
        <v>0</v>
      </c>
      <c r="F8" s="2579" t="s">
        <v>2529</v>
      </c>
    </row>
    <row r="9" spans="1:6">
      <c r="A9" s="2577">
        <f>'数据-取费表'!AN9</f>
        <v>0</v>
      </c>
      <c r="B9" s="2576" t="e">
        <f ca="1">IF(F9="是",'数据-取费表'!AO9,0)</f>
        <v>#REF!</v>
      </c>
      <c r="C9" s="2567" t="s">
        <v>2523</v>
      </c>
      <c r="D9" s="2570"/>
      <c r="E9" s="2578">
        <f>IF(OR(A9=0,F9="否"),0,'数据-取费表'!K9+'数据-取费表'!S9)</f>
        <v>0</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1076</v>
      </c>
      <c r="B1" s="3179"/>
      <c r="C1" s="3180"/>
      <c r="D1" s="3181">
        <f>SUM(I10,I15,I20,I21,I23)</f>
        <v>0</v>
      </c>
      <c r="E1" s="3181"/>
      <c r="F1" s="3181"/>
      <c r="G1" s="3181"/>
      <c r="H1" s="3181"/>
      <c r="I1" s="3182"/>
    </row>
    <row r="2" spans="1:9">
      <c r="A2" s="3183" t="s">
        <v>1077</v>
      </c>
      <c r="B2" s="3184" t="s">
        <v>1078</v>
      </c>
      <c r="C2" s="3184"/>
      <c r="D2" s="1303" t="s">
        <v>1079</v>
      </c>
      <c r="E2" s="1303" t="s">
        <v>1080</v>
      </c>
      <c r="F2" s="1303" t="s">
        <v>1081</v>
      </c>
      <c r="G2" s="1303" t="s">
        <v>1082</v>
      </c>
      <c r="H2" s="1303" t="s">
        <v>1083</v>
      </c>
      <c r="I2" s="1304" t="s">
        <v>1084</v>
      </c>
    </row>
    <row r="3" spans="1:9">
      <c r="A3" s="3183"/>
      <c r="B3" s="3184" t="s">
        <v>1085</v>
      </c>
      <c r="C3" s="3184"/>
      <c r="D3" s="1305"/>
      <c r="E3" s="1303"/>
      <c r="F3" s="1306"/>
      <c r="G3" s="1306"/>
      <c r="H3" s="1307"/>
      <c r="I3" s="1308">
        <f>ROUND(D3*E3*F3*G3*H3/10000,0)</f>
        <v>0</v>
      </c>
    </row>
    <row r="4" spans="1:9">
      <c r="A4" s="3183"/>
      <c r="B4" s="3184" t="s">
        <v>1086</v>
      </c>
      <c r="C4" s="3184"/>
      <c r="D4" s="1305"/>
      <c r="E4" s="1303"/>
      <c r="F4" s="1306"/>
      <c r="G4" s="1306"/>
      <c r="H4" s="1307"/>
      <c r="I4" s="1308">
        <f t="shared" ref="I4:I9" si="0">ROUND(D4*E4*F4*G4*H4/10000,0)</f>
        <v>0</v>
      </c>
    </row>
    <row r="5" spans="1:9">
      <c r="A5" s="3183"/>
      <c r="B5" s="3184" t="s">
        <v>1087</v>
      </c>
      <c r="C5" s="3184"/>
      <c r="D5" s="1305"/>
      <c r="E5" s="1303"/>
      <c r="F5" s="1306"/>
      <c r="G5" s="1306"/>
      <c r="H5" s="1307"/>
      <c r="I5" s="1308">
        <f t="shared" si="0"/>
        <v>0</v>
      </c>
    </row>
    <row r="6" spans="1:9">
      <c r="A6" s="3183"/>
      <c r="B6" s="3184" t="s">
        <v>1088</v>
      </c>
      <c r="C6" s="3184"/>
      <c r="D6" s="1305"/>
      <c r="E6" s="1303"/>
      <c r="F6" s="1306"/>
      <c r="G6" s="1306"/>
      <c r="H6" s="1307"/>
      <c r="I6" s="1308">
        <f t="shared" si="0"/>
        <v>0</v>
      </c>
    </row>
    <row r="7" spans="1:9">
      <c r="A7" s="3183"/>
      <c r="B7" s="3184" t="s">
        <v>1089</v>
      </c>
      <c r="C7" s="3184"/>
      <c r="D7" s="1305"/>
      <c r="E7" s="1303"/>
      <c r="F7" s="1306"/>
      <c r="G7" s="1306"/>
      <c r="H7" s="1307"/>
      <c r="I7" s="1308">
        <f t="shared" si="0"/>
        <v>0</v>
      </c>
    </row>
    <row r="8" spans="1:9">
      <c r="A8" s="3183"/>
      <c r="B8" s="3184" t="s">
        <v>1090</v>
      </c>
      <c r="C8" s="3184"/>
      <c r="D8" s="1305"/>
      <c r="E8" s="1303"/>
      <c r="F8" s="1306"/>
      <c r="G8" s="1306"/>
      <c r="H8" s="1307"/>
      <c r="I8" s="1308">
        <f t="shared" si="0"/>
        <v>0</v>
      </c>
    </row>
    <row r="9" spans="1:9">
      <c r="A9" s="3183"/>
      <c r="B9" s="3184" t="s">
        <v>1091</v>
      </c>
      <c r="C9" s="3184"/>
      <c r="D9" s="1305"/>
      <c r="E9" s="1303"/>
      <c r="F9" s="1306"/>
      <c r="G9" s="1306"/>
      <c r="H9" s="1307"/>
      <c r="I9" s="1308">
        <f t="shared" si="0"/>
        <v>0</v>
      </c>
    </row>
    <row r="10" spans="1:9">
      <c r="A10" s="3183"/>
      <c r="B10" s="3185" t="s">
        <v>1092</v>
      </c>
      <c r="C10" s="3185"/>
      <c r="D10" s="1309"/>
      <c r="E10" s="1309" t="e">
        <f>ROUND(D1*10000/D10/H9,0)</f>
        <v>#DIV/0!</v>
      </c>
      <c r="F10" s="1310"/>
      <c r="G10" s="1310"/>
      <c r="H10" s="1311"/>
      <c r="I10" s="1312">
        <f>SUM(I3:I9)</f>
        <v>0</v>
      </c>
    </row>
    <row r="11" spans="1:9" ht="14.25">
      <c r="A11" s="3183" t="s">
        <v>1093</v>
      </c>
      <c r="B11" s="3184" t="s">
        <v>1094</v>
      </c>
      <c r="C11" s="3184"/>
      <c r="D11" s="1305" t="s">
        <v>1095</v>
      </c>
      <c r="E11" s="1305" t="s">
        <v>1096</v>
      </c>
      <c r="F11" s="1306" t="s">
        <v>1097</v>
      </c>
      <c r="G11" s="1306" t="s">
        <v>1083</v>
      </c>
      <c r="H11" s="1313" t="s">
        <v>1098</v>
      </c>
      <c r="I11" s="1304" t="s">
        <v>1084</v>
      </c>
    </row>
    <row r="12" spans="1:9">
      <c r="A12" s="3183"/>
      <c r="B12" s="3184" t="s">
        <v>1099</v>
      </c>
      <c r="C12" s="3184"/>
      <c r="D12" s="1305"/>
      <c r="E12" s="1305"/>
      <c r="F12" s="1306"/>
      <c r="G12" s="1307"/>
      <c r="H12" s="1314"/>
      <c r="I12" s="1304">
        <f>ROUND(D12*E12*F12*G12/10000,0)</f>
        <v>0</v>
      </c>
    </row>
    <row r="13" spans="1:9">
      <c r="A13" s="3183"/>
      <c r="B13" s="3184" t="s">
        <v>1100</v>
      </c>
      <c r="C13" s="3184"/>
      <c r="D13" s="1305"/>
      <c r="E13" s="1305"/>
      <c r="F13" s="1306"/>
      <c r="G13" s="1307"/>
      <c r="H13" s="1314"/>
      <c r="I13" s="1304">
        <f>ROUND(D13*E13*F13*G13/10000,0)</f>
        <v>0</v>
      </c>
    </row>
    <row r="14" spans="1:9">
      <c r="A14" s="3183"/>
      <c r="B14" s="3184" t="s">
        <v>1101</v>
      </c>
      <c r="C14" s="3184"/>
      <c r="D14" s="1305"/>
      <c r="E14" s="1305"/>
      <c r="F14" s="1306"/>
      <c r="G14" s="1307"/>
      <c r="H14" s="1314"/>
      <c r="I14" s="1304">
        <f>ROUND(D14*E14*F14*G14/10000,0)</f>
        <v>0</v>
      </c>
    </row>
    <row r="15" spans="1:9">
      <c r="A15" s="3183"/>
      <c r="B15" s="3185" t="s">
        <v>1092</v>
      </c>
      <c r="C15" s="3185"/>
      <c r="D15" s="1309"/>
      <c r="E15" s="1309">
        <f>SUM(E12:E14)</f>
        <v>0</v>
      </c>
      <c r="F15" s="1310"/>
      <c r="G15" s="1307"/>
      <c r="H15" s="1314"/>
      <c r="I15" s="1315">
        <f>SUM(I12:I14)</f>
        <v>0</v>
      </c>
    </row>
    <row r="16" spans="1:9" ht="24">
      <c r="A16" s="3183" t="s">
        <v>1102</v>
      </c>
      <c r="B16" s="3184" t="s">
        <v>1103</v>
      </c>
      <c r="C16" s="3184"/>
      <c r="D16" s="1305" t="s">
        <v>1079</v>
      </c>
      <c r="E16" s="1316" t="s">
        <v>1104</v>
      </c>
      <c r="F16" s="1306" t="s">
        <v>1105</v>
      </c>
      <c r="G16" s="1307" t="s">
        <v>1083</v>
      </c>
      <c r="H16" s="1313" t="s">
        <v>1098</v>
      </c>
      <c r="I16" s="1304" t="s">
        <v>1084</v>
      </c>
    </row>
    <row r="17" spans="1:9" ht="14.25">
      <c r="A17" s="3183"/>
      <c r="B17" s="3184" t="s">
        <v>1106</v>
      </c>
      <c r="C17" s="3184"/>
      <c r="D17" s="1305"/>
      <c r="E17" s="1305"/>
      <c r="F17" s="1306"/>
      <c r="G17" s="1307"/>
      <c r="H17" s="1317"/>
      <c r="I17" s="1318">
        <f>ROUND(D17*E17*F17*G17/10000,0)</f>
        <v>0</v>
      </c>
    </row>
    <row r="18" spans="1:9" ht="14.25">
      <c r="A18" s="3183"/>
      <c r="B18" s="3184" t="s">
        <v>1107</v>
      </c>
      <c r="C18" s="3184"/>
      <c r="D18" s="1305"/>
      <c r="E18" s="1305"/>
      <c r="F18" s="1306"/>
      <c r="G18" s="1307"/>
      <c r="H18" s="1317"/>
      <c r="I18" s="1318">
        <f>ROUND(D18*E18*F18*G18/10000,0)</f>
        <v>0</v>
      </c>
    </row>
    <row r="19" spans="1:9" ht="14.25">
      <c r="A19" s="3183"/>
      <c r="B19" s="3184" t="s">
        <v>1108</v>
      </c>
      <c r="C19" s="3184"/>
      <c r="D19" s="1305"/>
      <c r="E19" s="1305"/>
      <c r="F19" s="1306"/>
      <c r="G19" s="1307"/>
      <c r="H19" s="1317"/>
      <c r="I19" s="1318">
        <f>ROUND(D19*E19*F19*G19/10000,0)</f>
        <v>0</v>
      </c>
    </row>
    <row r="20" spans="1:9">
      <c r="A20" s="3183"/>
      <c r="B20" s="3185" t="s">
        <v>1092</v>
      </c>
      <c r="C20" s="3185"/>
      <c r="D20" s="1309">
        <f>SUM(D17:D19)</f>
        <v>0</v>
      </c>
      <c r="E20" s="1309"/>
      <c r="F20" s="1310"/>
      <c r="G20" s="1307"/>
      <c r="H20" s="1314"/>
      <c r="I20" s="1315">
        <f>SUM(I17:I19)</f>
        <v>0</v>
      </c>
    </row>
    <row r="21" spans="1:9">
      <c r="A21" s="3183" t="s">
        <v>1109</v>
      </c>
      <c r="B21" s="3187"/>
      <c r="C21" s="3187"/>
      <c r="D21" s="3187"/>
      <c r="E21" s="3187"/>
      <c r="F21" s="3187"/>
      <c r="G21" s="3187"/>
      <c r="H21" s="1767">
        <v>0.1</v>
      </c>
      <c r="I21" s="1312">
        <f>ROUND(I10*H21,0)</f>
        <v>0</v>
      </c>
    </row>
    <row r="22" spans="1:9" ht="14.25">
      <c r="A22" s="3188" t="s">
        <v>1110</v>
      </c>
      <c r="B22" s="3189"/>
      <c r="C22" s="3190"/>
      <c r="D22" s="1319" t="s">
        <v>1111</v>
      </c>
      <c r="E22" s="1319" t="s">
        <v>1112</v>
      </c>
      <c r="F22" s="1320" t="s">
        <v>1113</v>
      </c>
      <c r="G22" s="1320" t="s">
        <v>1114</v>
      </c>
      <c r="H22" s="1313" t="s">
        <v>1115</v>
      </c>
      <c r="I22" s="1304" t="s">
        <v>1116</v>
      </c>
    </row>
    <row r="23" spans="1:9" ht="14.25" thickBot="1">
      <c r="A23" s="3191"/>
      <c r="B23" s="3192"/>
      <c r="C23" s="3193"/>
      <c r="D23" s="1321"/>
      <c r="E23" s="1321"/>
      <c r="F23" s="1321"/>
      <c r="G23" s="1322"/>
      <c r="H23" s="1323"/>
      <c r="I23" s="1324">
        <f>ROUND(E23*D23*F23*(1-G23)/10000,0)</f>
        <v>0</v>
      </c>
    </row>
    <row r="26" spans="1:9">
      <c r="A26" s="1325" t="s">
        <v>1117</v>
      </c>
      <c r="B26" s="1325"/>
      <c r="C26" s="1325"/>
      <c r="D26" s="1325"/>
      <c r="E26" s="3194">
        <f>C27-C30-C31-C32</f>
        <v>0</v>
      </c>
      <c r="F26" s="3194"/>
      <c r="G26" s="3194"/>
      <c r="H26" s="1739" t="s">
        <v>1340</v>
      </c>
    </row>
    <row r="27" spans="1:9">
      <c r="A27" s="1326">
        <v>1</v>
      </c>
      <c r="B27" s="1327" t="s">
        <v>1118</v>
      </c>
      <c r="C27" s="1327">
        <f>C28+C29</f>
        <v>0</v>
      </c>
      <c r="D27" s="1327"/>
      <c r="E27" s="3195"/>
      <c r="F27" s="3195"/>
      <c r="G27" s="3195"/>
    </row>
    <row r="28" spans="1:9">
      <c r="A28" s="1328" t="s">
        <v>1119</v>
      </c>
      <c r="B28" s="1327" t="s">
        <v>1120</v>
      </c>
      <c r="C28" s="1327"/>
      <c r="D28" s="1327"/>
      <c r="E28" s="3195"/>
      <c r="F28" s="3195"/>
      <c r="G28" s="319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6"/>
      <c r="F32" s="3186"/>
      <c r="G32" s="3186"/>
    </row>
    <row r="33" spans="1:7" hidden="1">
      <c r="A33" s="3196" t="s">
        <v>1129</v>
      </c>
      <c r="B33" s="3197"/>
      <c r="C33" s="3197"/>
      <c r="D33" s="3198"/>
      <c r="E33" s="3194"/>
      <c r="F33" s="3194"/>
      <c r="G33" s="3194"/>
    </row>
    <row r="34" spans="1:7" hidden="1">
      <c r="A34" s="1330">
        <v>1</v>
      </c>
      <c r="B34" s="1327" t="s">
        <v>1130</v>
      </c>
      <c r="C34" s="1327"/>
      <c r="D34" s="1327"/>
      <c r="E34" s="3195"/>
      <c r="F34" s="3195"/>
      <c r="G34" s="3195"/>
    </row>
    <row r="35" spans="1:7" hidden="1">
      <c r="A35" s="1330">
        <v>2</v>
      </c>
      <c r="B35" s="1327" t="s">
        <v>1131</v>
      </c>
      <c r="C35" s="1327"/>
      <c r="D35" s="1327"/>
      <c r="E35" s="3195"/>
      <c r="F35" s="3195"/>
      <c r="G35" s="3195"/>
    </row>
    <row r="36" spans="1:7" hidden="1">
      <c r="A36" s="1330">
        <v>3</v>
      </c>
      <c r="B36" s="1327" t="s">
        <v>1132</v>
      </c>
      <c r="C36" s="1327"/>
      <c r="D36" s="1327"/>
      <c r="E36" s="3195"/>
      <c r="F36" s="3195"/>
      <c r="G36" s="3195"/>
    </row>
    <row r="37" spans="1:7" hidden="1">
      <c r="A37" s="1330">
        <v>4</v>
      </c>
      <c r="B37" s="1327" t="s">
        <v>1133</v>
      </c>
      <c r="C37" s="1327"/>
      <c r="D37" s="1327"/>
      <c r="E37" s="3195"/>
      <c r="F37" s="3195"/>
      <c r="G37" s="3195"/>
    </row>
    <row r="38" spans="1:7" hidden="1">
      <c r="A38" s="3196" t="s">
        <v>1134</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2533</v>
      </c>
      <c r="C1" s="1636" t="s">
        <v>2534</v>
      </c>
      <c r="D1" s="1623"/>
      <c r="E1" s="2584"/>
      <c r="F1" s="2585" t="s">
        <v>2535</v>
      </c>
      <c r="G1" s="1633" t="s">
        <v>2536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2538</v>
      </c>
      <c r="D3" s="399">
        <f>IF(D1="",'数据-汇总表'!E3,SUMIF('数据-汇总表'!$C19:$C33,D1,'数据-汇总表'!$E19:$E33))</f>
        <v>107.51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2539</v>
      </c>
      <c r="B4" s="402"/>
      <c r="C4" s="3217" t="s">
        <v>2540</v>
      </c>
      <c r="D4" s="3218"/>
      <c r="E4" s="3219" t="s">
        <v>2541</v>
      </c>
      <c r="F4" s="3220"/>
      <c r="G4" s="3217" t="s">
        <v>2542</v>
      </c>
      <c r="H4" s="3218"/>
      <c r="I4" s="3217" t="s">
        <v>2543</v>
      </c>
      <c r="J4" s="3218"/>
      <c r="K4" s="2597" t="s">
        <v>2544</v>
      </c>
      <c r="L4" s="1133"/>
      <c r="M4" s="1134"/>
      <c r="N4" s="1134"/>
      <c r="O4" s="1134"/>
      <c r="P4" s="3221" t="s">
        <v>2545</v>
      </c>
      <c r="Q4" s="3222"/>
      <c r="R4" s="3204" t="s">
        <v>2541</v>
      </c>
      <c r="S4" s="3205"/>
      <c r="T4" s="3204" t="s">
        <v>2542</v>
      </c>
      <c r="U4" s="3205"/>
      <c r="V4" s="3229" t="s">
        <v>2543</v>
      </c>
      <c r="W4" s="3229"/>
      <c r="X4" s="1815"/>
      <c r="Y4" s="3204" t="s">
        <v>2545</v>
      </c>
      <c r="Z4" s="3205"/>
      <c r="AA4" s="3199" t="s">
        <v>2541</v>
      </c>
      <c r="AB4" s="3199" t="s">
        <v>2542</v>
      </c>
      <c r="AC4" s="3199" t="s">
        <v>2543</v>
      </c>
    </row>
    <row r="5" spans="1:29" ht="15">
      <c r="A5" s="404"/>
      <c r="B5" s="405"/>
      <c r="C5" s="3210" t="s">
        <v>2546</v>
      </c>
      <c r="D5" s="3211"/>
      <c r="E5" s="3208" t="s">
        <v>2547</v>
      </c>
      <c r="F5" s="3209"/>
      <c r="G5" s="3210" t="s">
        <v>2548</v>
      </c>
      <c r="H5" s="3211"/>
      <c r="I5" s="3210" t="s">
        <v>2549</v>
      </c>
      <c r="J5" s="3211"/>
      <c r="K5" s="2598"/>
      <c r="L5" s="1133"/>
      <c r="M5" s="1134"/>
      <c r="N5" s="1134"/>
      <c r="O5" s="1134"/>
      <c r="P5" s="3223"/>
      <c r="Q5" s="3224"/>
      <c r="R5" s="3206"/>
      <c r="S5" s="3207"/>
      <c r="T5" s="3206"/>
      <c r="U5" s="3207"/>
      <c r="V5" s="3229"/>
      <c r="W5" s="3229"/>
      <c r="X5" s="1815"/>
      <c r="Y5" s="3206"/>
      <c r="Z5" s="3207"/>
      <c r="AA5" s="3200"/>
      <c r="AB5" s="3200"/>
      <c r="AC5" s="3200"/>
    </row>
    <row r="6" spans="1:29" ht="15.75" thickBot="1">
      <c r="A6" s="406"/>
      <c r="B6" s="407"/>
      <c r="C6" s="3212" t="s">
        <v>2550</v>
      </c>
      <c r="D6" s="3213"/>
      <c r="E6" s="3214" t="s">
        <v>2550</v>
      </c>
      <c r="F6" s="3215"/>
      <c r="G6" s="3212" t="s">
        <v>2550</v>
      </c>
      <c r="H6" s="3213"/>
      <c r="I6" s="3212" t="s">
        <v>2550</v>
      </c>
      <c r="J6" s="3213"/>
      <c r="K6" s="2598" t="s">
        <v>2551</v>
      </c>
      <c r="L6" s="1133"/>
      <c r="M6" s="1134"/>
      <c r="N6" s="1134"/>
      <c r="O6" s="1134"/>
      <c r="P6" s="3225"/>
      <c r="Q6" s="3226"/>
      <c r="R6" s="3206"/>
      <c r="S6" s="3207"/>
      <c r="T6" s="3227"/>
      <c r="U6" s="3228"/>
      <c r="V6" s="3229"/>
      <c r="W6" s="3229"/>
      <c r="X6" s="1815"/>
      <c r="Y6" s="3227"/>
      <c r="Z6" s="3228"/>
      <c r="AA6" s="3201"/>
      <c r="AB6" s="3201"/>
      <c r="AC6" s="3201"/>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02" t="s">
        <v>2553</v>
      </c>
      <c r="Q7" s="3230"/>
      <c r="R7" s="770" t="s">
        <v>23</v>
      </c>
      <c r="S7" s="771">
        <f t="shared" ref="S7:S15" si="0">F7</f>
        <v>0</v>
      </c>
      <c r="T7" s="770" t="s">
        <v>23</v>
      </c>
      <c r="U7" s="771">
        <f t="shared" ref="U7:U15" si="1">H7</f>
        <v>0</v>
      </c>
      <c r="V7" s="770" t="s">
        <v>23</v>
      </c>
      <c r="W7" s="771">
        <f t="shared" ref="W7:W15" si="2">J7</f>
        <v>0</v>
      </c>
      <c r="X7" s="772"/>
      <c r="Y7" s="3202" t="s">
        <v>2553</v>
      </c>
      <c r="Z7" s="3203"/>
      <c r="AA7" s="773" t="e">
        <f>D7/F7</f>
        <v>#DIV/0!</v>
      </c>
      <c r="AB7" s="773" t="e">
        <f>D7/H7</f>
        <v>#DIV/0!</v>
      </c>
      <c r="AC7" s="773" t="e">
        <f>D7/J7</f>
        <v>#DIV/0!</v>
      </c>
    </row>
    <row r="8" spans="1:29" s="117"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02" t="s">
        <v>2556</v>
      </c>
      <c r="Q8" s="3203"/>
      <c r="R8" s="770" t="s">
        <v>23</v>
      </c>
      <c r="S8" s="771">
        <f t="shared" si="0"/>
        <v>0</v>
      </c>
      <c r="T8" s="770" t="s">
        <v>23</v>
      </c>
      <c r="U8" s="771">
        <f t="shared" si="1"/>
        <v>0</v>
      </c>
      <c r="V8" s="770" t="s">
        <v>23</v>
      </c>
      <c r="W8" s="771">
        <f t="shared" si="2"/>
        <v>0</v>
      </c>
      <c r="X8" s="772"/>
      <c r="Y8" s="3202" t="s">
        <v>2556</v>
      </c>
      <c r="Z8" s="3203"/>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16" t="s">
        <v>2559</v>
      </c>
      <c r="Q9" s="1797" t="str">
        <f t="shared" ref="Q9:Q15" si="6">B9</f>
        <v>用途</v>
      </c>
      <c r="R9" s="770" t="s">
        <v>17</v>
      </c>
      <c r="S9" s="771">
        <f t="shared" si="0"/>
        <v>100</v>
      </c>
      <c r="T9" s="770" t="s">
        <v>17</v>
      </c>
      <c r="U9" s="771">
        <f t="shared" si="1"/>
        <v>100</v>
      </c>
      <c r="V9" s="770" t="s">
        <v>17</v>
      </c>
      <c r="W9" s="771">
        <f t="shared" si="2"/>
        <v>100</v>
      </c>
      <c r="X9" s="772"/>
      <c r="Y9" s="304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6"/>
      <c r="Q10" s="1797"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6"/>
      <c r="Q11" s="1797"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16"/>
      <c r="Q12" s="1797">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16"/>
      <c r="Q13" s="1797">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16"/>
      <c r="Q14" s="1797">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99.75">
      <c r="A15" s="440" t="s">
        <v>2563</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2564</v>
      </c>
      <c r="Q15" s="1812" t="str">
        <f t="shared" si="6"/>
        <v>居住社区成熟度</v>
      </c>
      <c r="R15" s="774" t="s">
        <v>21</v>
      </c>
      <c r="S15" s="775">
        <f t="shared" si="0"/>
        <v>100</v>
      </c>
      <c r="T15" s="774" t="s">
        <v>21</v>
      </c>
      <c r="U15" s="775">
        <f t="shared" si="1"/>
        <v>100</v>
      </c>
      <c r="V15" s="774" t="s">
        <v>21</v>
      </c>
      <c r="W15" s="775">
        <f t="shared" si="2"/>
        <v>100</v>
      </c>
      <c r="X15" s="1815"/>
      <c r="Y15" s="3236" t="s">
        <v>2564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44"/>
      <c r="Q16" s="1812"/>
      <c r="R16" s="774"/>
      <c r="S16" s="775"/>
      <c r="T16" s="774"/>
      <c r="U16" s="775"/>
      <c r="V16" s="774"/>
      <c r="W16" s="775"/>
      <c r="X16" s="1815"/>
      <c r="Y16" s="3237"/>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2" t="str">
        <f>B17</f>
        <v>交通便捷度</v>
      </c>
      <c r="R17" s="774" t="s">
        <v>21</v>
      </c>
      <c r="S17" s="775">
        <f>F17</f>
        <v>100</v>
      </c>
      <c r="T17" s="774" t="s">
        <v>21</v>
      </c>
      <c r="U17" s="775">
        <f>H17</f>
        <v>100</v>
      </c>
      <c r="V17" s="774" t="s">
        <v>21</v>
      </c>
      <c r="W17" s="775">
        <f>J17</f>
        <v>100</v>
      </c>
      <c r="X17" s="1815"/>
      <c r="Y17" s="3237"/>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44"/>
      <c r="Q18" s="1812"/>
      <c r="R18" s="774"/>
      <c r="S18" s="775"/>
      <c r="T18" s="774"/>
      <c r="U18" s="775"/>
      <c r="V18" s="774"/>
      <c r="W18" s="775"/>
      <c r="X18" s="1815"/>
      <c r="Y18" s="3237"/>
      <c r="Z18" s="1816"/>
      <c r="AA18" s="1813">
        <v>1</v>
      </c>
      <c r="AB18" s="1813">
        <v>1</v>
      </c>
      <c r="AC18" s="1813">
        <v>1</v>
      </c>
    </row>
    <row r="19" spans="1:29" ht="42.75">
      <c r="A19" s="428"/>
      <c r="B19" s="451" t="s">
        <v>2098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2" t="str">
        <f>B19</f>
        <v>公共配套设施</v>
      </c>
      <c r="R19" s="774" t="s">
        <v>21</v>
      </c>
      <c r="S19" s="775">
        <f>F19</f>
        <v>100</v>
      </c>
      <c r="T19" s="774" t="s">
        <v>21</v>
      </c>
      <c r="U19" s="775">
        <f>H19</f>
        <v>100</v>
      </c>
      <c r="V19" s="774" t="s">
        <v>21</v>
      </c>
      <c r="W19" s="775">
        <f>J19</f>
        <v>100</v>
      </c>
      <c r="X19" s="1815"/>
      <c r="Y19" s="3237"/>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44"/>
      <c r="Q20" s="1812"/>
      <c r="R20" s="774"/>
      <c r="S20" s="775"/>
      <c r="T20" s="774"/>
      <c r="U20" s="775"/>
      <c r="V20" s="774"/>
      <c r="W20" s="775"/>
      <c r="X20" s="1815"/>
      <c r="Y20" s="3237"/>
      <c r="Z20" s="1816"/>
      <c r="AA20" s="1813">
        <v>1</v>
      </c>
      <c r="AB20" s="1813">
        <v>1</v>
      </c>
      <c r="AC20" s="1813">
        <v>1</v>
      </c>
    </row>
    <row r="21" spans="1:29" ht="28.5">
      <c r="A21" s="428"/>
      <c r="B21" s="1386" t="s">
        <v>2101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2" t="str">
        <f>B21</f>
        <v>基础设施水平</v>
      </c>
      <c r="R21" s="774" t="s">
        <v>17</v>
      </c>
      <c r="S21" s="775">
        <f>F21</f>
        <v>100</v>
      </c>
      <c r="T21" s="774" t="s">
        <v>17</v>
      </c>
      <c r="U21" s="775">
        <f>H21</f>
        <v>100</v>
      </c>
      <c r="V21" s="774" t="s">
        <v>17</v>
      </c>
      <c r="W21" s="775">
        <f>J21</f>
        <v>100</v>
      </c>
      <c r="X21" s="1815"/>
      <c r="Y21" s="323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44"/>
      <c r="Q22" s="1812"/>
      <c r="R22" s="774"/>
      <c r="S22" s="775"/>
      <c r="T22" s="774"/>
      <c r="U22" s="775"/>
      <c r="V22" s="774"/>
      <c r="W22" s="775"/>
      <c r="X22" s="1815"/>
      <c r="Y22" s="3237"/>
      <c r="Z22" s="1816"/>
      <c r="AA22" s="1813">
        <v>1</v>
      </c>
      <c r="AB22" s="1813">
        <v>1</v>
      </c>
      <c r="AC22" s="1813">
        <v>1</v>
      </c>
    </row>
    <row r="23" spans="1:29" ht="57">
      <c r="A23" s="428"/>
      <c r="B23" s="451" t="s">
        <v>2105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2" t="str">
        <f>B23</f>
        <v>自然及人文环境</v>
      </c>
      <c r="R23" s="774" t="s">
        <v>21</v>
      </c>
      <c r="S23" s="775">
        <f>F23</f>
        <v>100</v>
      </c>
      <c r="T23" s="774" t="s">
        <v>21</v>
      </c>
      <c r="U23" s="775">
        <f>H23</f>
        <v>100</v>
      </c>
      <c r="V23" s="774" t="s">
        <v>21</v>
      </c>
      <c r="W23" s="775">
        <f>J23</f>
        <v>100</v>
      </c>
      <c r="X23" s="1815"/>
      <c r="Y23" s="3237"/>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44"/>
      <c r="Q24" s="1812"/>
      <c r="R24" s="774"/>
      <c r="S24" s="775"/>
      <c r="T24" s="774"/>
      <c r="U24" s="775"/>
      <c r="V24" s="774"/>
      <c r="W24" s="775"/>
      <c r="X24" s="1815"/>
      <c r="Y24" s="3237"/>
      <c r="Z24" s="1816"/>
      <c r="AA24" s="1813">
        <v>1</v>
      </c>
      <c r="AB24" s="1813">
        <v>1</v>
      </c>
      <c r="AC24" s="1813">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4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7"/>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44"/>
      <c r="Q26" s="1812" t="str">
        <f t="shared" si="11"/>
        <v>朝向</v>
      </c>
      <c r="R26" s="774" t="s">
        <v>21</v>
      </c>
      <c r="S26" s="775">
        <f t="shared" si="12"/>
        <v>100</v>
      </c>
      <c r="T26" s="774" t="s">
        <v>21</v>
      </c>
      <c r="U26" s="775">
        <f t="shared" si="13"/>
        <v>100</v>
      </c>
      <c r="V26" s="774" t="s">
        <v>21</v>
      </c>
      <c r="W26" s="775">
        <f t="shared" si="14"/>
        <v>100</v>
      </c>
      <c r="X26" s="1815"/>
      <c r="Y26" s="323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44"/>
      <c r="Q27" s="1797">
        <f t="shared" si="11"/>
        <v>111</v>
      </c>
      <c r="R27" s="770" t="s">
        <v>21</v>
      </c>
      <c r="S27" s="771">
        <f t="shared" si="12"/>
        <v>100</v>
      </c>
      <c r="T27" s="770" t="s">
        <v>21</v>
      </c>
      <c r="U27" s="771">
        <f t="shared" si="13"/>
        <v>100</v>
      </c>
      <c r="V27" s="770" t="s">
        <v>21</v>
      </c>
      <c r="W27" s="771">
        <f t="shared" si="14"/>
        <v>100</v>
      </c>
      <c r="X27" s="772"/>
      <c r="Y27" s="323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44"/>
      <c r="Q28" s="1812">
        <f t="shared" si="11"/>
        <v>111</v>
      </c>
      <c r="R28" s="774" t="s">
        <v>21</v>
      </c>
      <c r="S28" s="775">
        <f t="shared" si="12"/>
        <v>100</v>
      </c>
      <c r="T28" s="774" t="s">
        <v>21</v>
      </c>
      <c r="U28" s="775">
        <f t="shared" si="13"/>
        <v>100</v>
      </c>
      <c r="V28" s="774" t="s">
        <v>21</v>
      </c>
      <c r="W28" s="775">
        <f t="shared" si="14"/>
        <v>100</v>
      </c>
      <c r="X28" s="1815"/>
      <c r="Y28" s="323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44"/>
      <c r="Q29" s="1812">
        <f t="shared" si="11"/>
        <v>111</v>
      </c>
      <c r="R29" s="774" t="s">
        <v>21</v>
      </c>
      <c r="S29" s="775">
        <f t="shared" si="12"/>
        <v>100</v>
      </c>
      <c r="T29" s="774" t="s">
        <v>21</v>
      </c>
      <c r="U29" s="775">
        <f t="shared" si="13"/>
        <v>100</v>
      </c>
      <c r="V29" s="774" t="s">
        <v>21</v>
      </c>
      <c r="W29" s="775">
        <f t="shared" si="14"/>
        <v>100</v>
      </c>
      <c r="X29" s="1815"/>
      <c r="Y29" s="323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44"/>
      <c r="Q30" s="1812">
        <f t="shared" si="11"/>
        <v>111</v>
      </c>
      <c r="R30" s="774" t="s">
        <v>21</v>
      </c>
      <c r="S30" s="775">
        <f t="shared" si="12"/>
        <v>100</v>
      </c>
      <c r="T30" s="774" t="s">
        <v>21</v>
      </c>
      <c r="U30" s="775">
        <f t="shared" si="13"/>
        <v>100</v>
      </c>
      <c r="V30" s="774" t="s">
        <v>21</v>
      </c>
      <c r="W30" s="775">
        <f t="shared" si="14"/>
        <v>100</v>
      </c>
      <c r="X30" s="1815"/>
      <c r="Y30" s="323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44"/>
      <c r="Q31" s="1812">
        <f t="shared" si="11"/>
        <v>111</v>
      </c>
      <c r="R31" s="774" t="s">
        <v>21</v>
      </c>
      <c r="S31" s="775">
        <f t="shared" si="12"/>
        <v>100</v>
      </c>
      <c r="T31" s="774" t="s">
        <v>21</v>
      </c>
      <c r="U31" s="775">
        <f t="shared" si="13"/>
        <v>100</v>
      </c>
      <c r="V31" s="774" t="s">
        <v>21</v>
      </c>
      <c r="W31" s="775">
        <f t="shared" si="14"/>
        <v>100</v>
      </c>
      <c r="X31" s="1815"/>
      <c r="Y31" s="3237"/>
      <c r="Z31" s="1816">
        <f t="shared" si="18"/>
        <v>111</v>
      </c>
      <c r="AA31" s="1813">
        <f t="shared" si="15"/>
        <v>1</v>
      </c>
      <c r="AB31" s="1813">
        <f t="shared" si="16"/>
        <v>1</v>
      </c>
      <c r="AC31" s="1813">
        <f t="shared" si="17"/>
        <v>1</v>
      </c>
    </row>
    <row r="32" spans="1:29" ht="15">
      <c r="A32" s="440" t="s">
        <v>2567</v>
      </c>
      <c r="B32" s="71"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38" t="s">
        <v>2569</v>
      </c>
      <c r="Q32" s="1812" t="str">
        <f t="shared" si="11"/>
        <v>建筑类型</v>
      </c>
      <c r="R32" s="774" t="s">
        <v>21</v>
      </c>
      <c r="S32" s="775">
        <f t="shared" si="12"/>
        <v>100</v>
      </c>
      <c r="T32" s="774" t="s">
        <v>21</v>
      </c>
      <c r="U32" s="775">
        <f t="shared" si="13"/>
        <v>100</v>
      </c>
      <c r="V32" s="774" t="s">
        <v>21</v>
      </c>
      <c r="W32" s="775">
        <f t="shared" si="14"/>
        <v>100</v>
      </c>
      <c r="X32" s="1815"/>
      <c r="Y32" s="3241"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3" t="e">
        <f t="shared" si="15"/>
        <v>#N/A</v>
      </c>
      <c r="AB33" s="1813" t="e">
        <f t="shared" si="16"/>
        <v>#N/A</v>
      </c>
      <c r="AC33" s="1813"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39"/>
      <c r="Q34" s="1812" t="str">
        <f t="shared" si="11"/>
        <v>建筑结构</v>
      </c>
      <c r="R34" s="774" t="s">
        <v>21</v>
      </c>
      <c r="S34" s="775">
        <f t="shared" si="12"/>
        <v>100</v>
      </c>
      <c r="T34" s="774" t="s">
        <v>21</v>
      </c>
      <c r="U34" s="775">
        <f t="shared" si="13"/>
        <v>100</v>
      </c>
      <c r="V34" s="774" t="s">
        <v>21</v>
      </c>
      <c r="W34" s="775">
        <f t="shared" si="14"/>
        <v>100</v>
      </c>
      <c r="X34" s="1815"/>
      <c r="Y34" s="3241"/>
      <c r="Z34" s="1816" t="str">
        <f t="shared" si="18"/>
        <v>建筑结构</v>
      </c>
      <c r="AA34" s="1813">
        <f t="shared" si="15"/>
        <v>1</v>
      </c>
      <c r="AB34" s="1813">
        <f t="shared" si="16"/>
        <v>1</v>
      </c>
      <c r="AC34" s="1813">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39"/>
      <c r="Q35" s="1812" t="str">
        <f t="shared" si="11"/>
        <v>建筑品质</v>
      </c>
      <c r="R35" s="774" t="s">
        <v>21</v>
      </c>
      <c r="S35" s="775">
        <f t="shared" si="12"/>
        <v>100</v>
      </c>
      <c r="T35" s="774" t="s">
        <v>21</v>
      </c>
      <c r="U35" s="775">
        <f t="shared" si="13"/>
        <v>100</v>
      </c>
      <c r="V35" s="774" t="s">
        <v>21</v>
      </c>
      <c r="W35" s="775">
        <f t="shared" si="14"/>
        <v>100</v>
      </c>
      <c r="X35" s="1815"/>
      <c r="Y35" s="3241"/>
      <c r="Z35" s="1816" t="str">
        <f t="shared" si="18"/>
        <v>建筑品质</v>
      </c>
      <c r="AA35" s="1813">
        <f t="shared" si="15"/>
        <v>1</v>
      </c>
      <c r="AB35" s="1813">
        <f t="shared" si="16"/>
        <v>1</v>
      </c>
      <c r="AC35" s="1813">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39"/>
      <c r="Q36" s="1812" t="str">
        <f t="shared" si="11"/>
        <v>公共部分装修</v>
      </c>
      <c r="R36" s="774" t="s">
        <v>21</v>
      </c>
      <c r="S36" s="775">
        <f t="shared" si="12"/>
        <v>100</v>
      </c>
      <c r="T36" s="774" t="s">
        <v>21</v>
      </c>
      <c r="U36" s="775">
        <f t="shared" si="13"/>
        <v>100</v>
      </c>
      <c r="V36" s="774" t="s">
        <v>21</v>
      </c>
      <c r="W36" s="775">
        <f t="shared" si="14"/>
        <v>100</v>
      </c>
      <c r="X36" s="1815"/>
      <c r="Y36" s="3241"/>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7"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39" t="s">
        <v>2569</v>
      </c>
      <c r="Q38" s="1812" t="str">
        <f t="shared" si="11"/>
        <v>物业管理</v>
      </c>
      <c r="R38" s="774" t="s">
        <v>21</v>
      </c>
      <c r="S38" s="775">
        <f t="shared" si="12"/>
        <v>100</v>
      </c>
      <c r="T38" s="774" t="s">
        <v>21</v>
      </c>
      <c r="U38" s="775">
        <f t="shared" si="13"/>
        <v>100</v>
      </c>
      <c r="V38" s="774" t="s">
        <v>21</v>
      </c>
      <c r="W38" s="775">
        <f t="shared" si="14"/>
        <v>100</v>
      </c>
      <c r="X38" s="1815"/>
      <c r="Y38" s="3241" t="s">
        <v>2569</v>
      </c>
      <c r="Z38" s="1816" t="str">
        <f t="shared" si="18"/>
        <v>物业管理</v>
      </c>
      <c r="AA38" s="1813">
        <f t="shared" si="15"/>
        <v>1</v>
      </c>
      <c r="AB38" s="1813">
        <f t="shared" si="16"/>
        <v>1</v>
      </c>
      <c r="AC38" s="1813">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39"/>
      <c r="Q39" s="1812" t="str">
        <f t="shared" si="11"/>
        <v>市政基础设施</v>
      </c>
      <c r="R39" s="774" t="s">
        <v>21</v>
      </c>
      <c r="S39" s="775">
        <f t="shared" si="12"/>
        <v>100</v>
      </c>
      <c r="T39" s="774" t="s">
        <v>21</v>
      </c>
      <c r="U39" s="775">
        <f t="shared" si="13"/>
        <v>100</v>
      </c>
      <c r="V39" s="774" t="s">
        <v>21</v>
      </c>
      <c r="W39" s="775">
        <f t="shared" si="14"/>
        <v>100</v>
      </c>
      <c r="X39" s="1815"/>
      <c r="Y39" s="3241"/>
      <c r="Z39" s="1816" t="str">
        <f t="shared" si="18"/>
        <v>市政基础设施</v>
      </c>
      <c r="AA39" s="1813">
        <f t="shared" si="15"/>
        <v>1</v>
      </c>
      <c r="AB39" s="1813">
        <f t="shared" si="16"/>
        <v>1</v>
      </c>
      <c r="AC39" s="1813">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39"/>
      <c r="Q40" s="1812" t="str">
        <f t="shared" si="11"/>
        <v>房型</v>
      </c>
      <c r="R40" s="774" t="s">
        <v>21</v>
      </c>
      <c r="S40" s="775">
        <f t="shared" si="12"/>
        <v>100</v>
      </c>
      <c r="T40" s="774" t="s">
        <v>21</v>
      </c>
      <c r="U40" s="775">
        <f t="shared" si="13"/>
        <v>100</v>
      </c>
      <c r="V40" s="774" t="s">
        <v>21</v>
      </c>
      <c r="W40" s="775">
        <f t="shared" si="14"/>
        <v>100</v>
      </c>
      <c r="X40" s="1815"/>
      <c r="Y40" s="3241"/>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3">
        <f t="shared" si="15"/>
        <v>1</v>
      </c>
      <c r="AB41" s="1813">
        <f t="shared" si="16"/>
        <v>1</v>
      </c>
      <c r="AC41" s="1813">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39"/>
      <c r="Q42" s="1812" t="str">
        <f t="shared" si="11"/>
        <v>内部装修</v>
      </c>
      <c r="R42" s="774" t="s">
        <v>21</v>
      </c>
      <c r="S42" s="775">
        <f t="shared" si="12"/>
        <v>100</v>
      </c>
      <c r="T42" s="774" t="s">
        <v>21</v>
      </c>
      <c r="U42" s="775">
        <f t="shared" si="13"/>
        <v>100</v>
      </c>
      <c r="V42" s="774" t="s">
        <v>21</v>
      </c>
      <c r="W42" s="775">
        <f t="shared" si="14"/>
        <v>100</v>
      </c>
      <c r="X42" s="1815"/>
      <c r="Y42" s="3241"/>
      <c r="Z42" s="1816" t="str">
        <f t="shared" si="18"/>
        <v>内部装修</v>
      </c>
      <c r="AA42" s="1813">
        <f t="shared" si="15"/>
        <v>1</v>
      </c>
      <c r="AB42" s="1813">
        <f t="shared" si="16"/>
        <v>1</v>
      </c>
      <c r="AC42" s="1813">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39"/>
      <c r="Q43" s="1812" t="str">
        <f t="shared" si="11"/>
        <v>内部装修维护情况</v>
      </c>
      <c r="R43" s="774" t="s">
        <v>21</v>
      </c>
      <c r="S43" s="775">
        <f t="shared" si="12"/>
        <v>100</v>
      </c>
      <c r="T43" s="774" t="s">
        <v>21</v>
      </c>
      <c r="U43" s="775">
        <f t="shared" si="13"/>
        <v>100</v>
      </c>
      <c r="V43" s="774" t="s">
        <v>21</v>
      </c>
      <c r="W43" s="775">
        <f t="shared" si="14"/>
        <v>100</v>
      </c>
      <c r="X43" s="1815"/>
      <c r="Y43" s="324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9"/>
      <c r="Q44" s="1797">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9"/>
      <c r="Q45" s="1812">
        <f t="shared" si="11"/>
        <v>111</v>
      </c>
      <c r="R45" s="774" t="s">
        <v>21</v>
      </c>
      <c r="S45" s="775">
        <f t="shared" si="12"/>
        <v>100</v>
      </c>
      <c r="T45" s="774" t="s">
        <v>21</v>
      </c>
      <c r="U45" s="775">
        <f t="shared" si="13"/>
        <v>100</v>
      </c>
      <c r="V45" s="774" t="s">
        <v>21</v>
      </c>
      <c r="W45" s="775">
        <f t="shared" si="14"/>
        <v>100</v>
      </c>
      <c r="X45" s="1815"/>
      <c r="Y45" s="3241"/>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40"/>
      <c r="Q46" s="1812">
        <f t="shared" si="11"/>
        <v>111</v>
      </c>
      <c r="R46" s="774" t="s">
        <v>20</v>
      </c>
      <c r="S46" s="775">
        <f t="shared" si="12"/>
        <v>100</v>
      </c>
      <c r="T46" s="774" t="s">
        <v>20</v>
      </c>
      <c r="U46" s="775">
        <f t="shared" si="13"/>
        <v>100</v>
      </c>
      <c r="V46" s="774" t="s">
        <v>20</v>
      </c>
      <c r="W46" s="775">
        <f t="shared" si="14"/>
        <v>100</v>
      </c>
      <c r="X46" s="1815"/>
      <c r="Y46" s="3242"/>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2"/>
      <c r="L47" s="1146"/>
      <c r="M47" s="1147"/>
      <c r="N47" s="1134"/>
      <c r="O47" s="1147"/>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3"/>
      <c r="L48" s="1146"/>
      <c r="M48" s="1147"/>
      <c r="N48" s="1147"/>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4"/>
      <c r="L49" s="1146"/>
      <c r="M49" s="1147"/>
      <c r="N49" s="1147"/>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27"/>
      <c r="Q57" s="504"/>
    </row>
    <row r="58" spans="1:29" s="508" customFormat="1" ht="15">
      <c r="A58" s="505" t="s">
        <v>2588</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2590</v>
      </c>
      <c r="B61" s="510"/>
      <c r="C61" s="522" t="s">
        <v>2591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2101</v>
      </c>
      <c r="C82" s="539" t="s">
        <v>2608</v>
      </c>
      <c r="D82" s="539" t="s">
        <v>2609</v>
      </c>
      <c r="E82" s="539" t="s">
        <v>2610</v>
      </c>
      <c r="F82" s="539" t="s">
        <v>2611</v>
      </c>
      <c r="G82" s="539" t="s">
        <v>2612</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2567</v>
      </c>
      <c r="B100" s="528" t="s">
        <v>2616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6" t="s">
        <v>2629</v>
      </c>
      <c r="D138" s="146" t="s">
        <v>2630</v>
      </c>
      <c r="E138" s="2646" t="s">
        <v>2631</v>
      </c>
      <c r="F138" s="2647" t="s">
        <v>2632</v>
      </c>
      <c r="G138" s="146" t="s">
        <v>2630</v>
      </c>
      <c r="H138" s="147" t="s">
        <v>2631</v>
      </c>
      <c r="I138" s="2648"/>
      <c r="J138" s="146" t="s">
        <v>2633</v>
      </c>
      <c r="K138" s="147" t="s">
        <v>2634</v>
      </c>
    </row>
    <row r="139" spans="1:17" ht="15">
      <c r="B139" s="1087">
        <v>6</v>
      </c>
      <c r="C139" s="1088">
        <v>96</v>
      </c>
      <c r="D139" s="2649" t="s">
        <v>2635</v>
      </c>
      <c r="E139" s="1089">
        <v>100</v>
      </c>
      <c r="F139" s="1090">
        <v>102.5</v>
      </c>
      <c r="G139" s="2649" t="s">
        <v>2635</v>
      </c>
      <c r="H139" s="1091">
        <v>105</v>
      </c>
      <c r="I139" s="2650" t="s">
        <v>2636</v>
      </c>
      <c r="J139" s="1088">
        <v>20</v>
      </c>
      <c r="K139" s="1092">
        <f>C145/(J139-2)</f>
        <v>4.0555555555555553E-3</v>
      </c>
    </row>
    <row r="140" spans="1:17" ht="15">
      <c r="B140" s="1093">
        <v>5</v>
      </c>
      <c r="C140" s="1094">
        <v>100</v>
      </c>
      <c r="D140" s="1094"/>
      <c r="E140" s="1095"/>
      <c r="F140" s="1096">
        <v>102</v>
      </c>
      <c r="G140" s="1094"/>
      <c r="H140" s="1097"/>
      <c r="I140" s="2651" t="s">
        <v>2637</v>
      </c>
      <c r="J140" s="315">
        <f>ROUNDUP((J139-1)/2,0)</f>
        <v>10</v>
      </c>
      <c r="K140" s="1098">
        <v>100</v>
      </c>
    </row>
    <row r="141" spans="1:17" ht="15">
      <c r="B141" s="1093">
        <v>4</v>
      </c>
      <c r="C141" s="1094">
        <v>102</v>
      </c>
      <c r="D141" s="1094"/>
      <c r="E141" s="1095"/>
      <c r="F141" s="1096">
        <v>101.5</v>
      </c>
      <c r="G141" s="1094"/>
      <c r="H141" s="1097"/>
      <c r="I141" s="2651" t="s">
        <v>2638</v>
      </c>
      <c r="J141" s="315">
        <v>1</v>
      </c>
      <c r="K141" s="1099">
        <f>ROUND(100+(J141-J140)*K139*100,1)</f>
        <v>96.4</v>
      </c>
    </row>
    <row r="142" spans="1:17" ht="15">
      <c r="B142" s="1093">
        <v>3</v>
      </c>
      <c r="C142" s="1094">
        <v>103</v>
      </c>
      <c r="D142" s="1094"/>
      <c r="E142" s="1095"/>
      <c r="F142" s="1096">
        <v>101</v>
      </c>
      <c r="G142" s="1094"/>
      <c r="H142" s="1097"/>
      <c r="I142" s="2651" t="s">
        <v>2639</v>
      </c>
      <c r="J142" s="315">
        <f>J139</f>
        <v>20</v>
      </c>
      <c r="K142" s="1100">
        <v>95</v>
      </c>
    </row>
    <row r="143" spans="1:17" ht="15">
      <c r="B143" s="1093">
        <v>2</v>
      </c>
      <c r="C143" s="1094">
        <v>100</v>
      </c>
      <c r="D143" s="1094"/>
      <c r="E143" s="1095"/>
      <c r="F143" s="1096">
        <v>100.5</v>
      </c>
      <c r="G143" s="1094"/>
      <c r="H143" s="1097"/>
      <c r="I143" s="2651" t="s">
        <v>2640</v>
      </c>
      <c r="J143" s="1094">
        <v>15</v>
      </c>
      <c r="K143" s="1099">
        <f>ROUND(100+(J143-J140)*K139*100,1)</f>
        <v>102</v>
      </c>
    </row>
    <row r="144" spans="1:17" ht="15">
      <c r="B144" s="1093">
        <v>1</v>
      </c>
      <c r="C144" s="1094">
        <v>98</v>
      </c>
      <c r="D144" s="2652" t="s">
        <v>2641</v>
      </c>
      <c r="E144" s="1095">
        <v>102</v>
      </c>
      <c r="F144" s="1101">
        <v>100</v>
      </c>
      <c r="G144" s="2652" t="s">
        <v>2641</v>
      </c>
      <c r="H144" s="1097">
        <v>105</v>
      </c>
      <c r="I144" s="2651" t="s">
        <v>2640</v>
      </c>
      <c r="J144" s="1094">
        <v>18</v>
      </c>
      <c r="K144" s="1099">
        <f>ROUND(100+(J144-J140)*K139*100,1)</f>
        <v>103.2</v>
      </c>
    </row>
    <row r="145" spans="2:11" ht="15.75" thickBot="1">
      <c r="B145" s="2653" t="s">
        <v>2642</v>
      </c>
      <c r="C145" s="1102">
        <f>ROUND(MAX(C139:C144)/MIN(C139:C144)-1,3)</f>
        <v>7.2999999999999995E-2</v>
      </c>
      <c r="D145" s="1103"/>
      <c r="E145" s="1103"/>
      <c r="F145" s="2654" t="s">
        <v>2643</v>
      </c>
      <c r="G145" s="2655"/>
      <c r="H145" s="2656"/>
      <c r="I145" s="2657" t="s">
        <v>2640</v>
      </c>
      <c r="J145" s="1104">
        <v>8</v>
      </c>
      <c r="K145" s="1105">
        <f>ROUND(100+(J145-J140)*K139*100,1)</f>
        <v>99.2</v>
      </c>
    </row>
    <row r="147" spans="2:11">
      <c r="B147" s="2638" t="s">
        <v>2644</v>
      </c>
    </row>
    <row r="148" spans="2:11">
      <c r="B148" s="2638"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2646</v>
      </c>
      <c r="C1" s="1636" t="s">
        <v>2534</v>
      </c>
      <c r="D1" s="1623"/>
      <c r="E1" s="2658"/>
      <c r="F1" s="2585"/>
      <c r="G1" s="1633" t="s">
        <v>2647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2331</v>
      </c>
      <c r="B2" s="1420" t="e">
        <f ca="1">IF(C2="——",ROUND(C49*D3/10000,0),ROUND(C49*D3/10000,0)-D2)</f>
        <v>#DIV/0!</v>
      </c>
      <c r="C2" s="2587"/>
      <c r="D2" s="1367" t="e">
        <f ca="1">SUMIF(INDIRECT("'"&amp;F2&amp;"'"&amp;"!A:A"),"承租人权益价值",INDIRECT("'"&amp;F2&amp;"'"&amp;"!c:c"))</f>
        <v>#REF!</v>
      </c>
      <c r="E2" s="2588" t="s">
        <v>2332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2333</v>
      </c>
      <c r="B3" s="609" t="e">
        <f ca="1">IF(C2="——",C49,ROUND(B2*10000/D3,0))</f>
        <v>#DIV/0!</v>
      </c>
      <c r="C3" s="400" t="s">
        <v>2648</v>
      </c>
      <c r="D3" s="399">
        <f>IF(D1="",'数据-汇总表'!E3,SUMIF('数据-汇总表'!$C19:$C33,D1,'数据-汇总表'!$E19:$E33))</f>
        <v>107.51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04" t="s">
        <v>2651</v>
      </c>
      <c r="S4" s="3205"/>
      <c r="T4" s="3204" t="s">
        <v>2652</v>
      </c>
      <c r="U4" s="3205"/>
      <c r="V4" s="3229" t="s">
        <v>2653</v>
      </c>
      <c r="W4" s="3229"/>
      <c r="X4" s="1815"/>
      <c r="Y4" s="3204" t="s">
        <v>2655</v>
      </c>
      <c r="Z4" s="3205"/>
      <c r="AA4" s="3199" t="s">
        <v>2651</v>
      </c>
      <c r="AB4" s="3229" t="s">
        <v>2652</v>
      </c>
      <c r="AC4" s="3199" t="s">
        <v>2653</v>
      </c>
    </row>
    <row r="5" spans="1:29" ht="15">
      <c r="A5" s="404"/>
      <c r="B5" s="405"/>
      <c r="C5" s="3210" t="s">
        <v>2546</v>
      </c>
      <c r="D5" s="3211"/>
      <c r="E5" s="3208" t="s">
        <v>2547</v>
      </c>
      <c r="F5" s="3209"/>
      <c r="G5" s="3210" t="s">
        <v>2548</v>
      </c>
      <c r="H5" s="3211"/>
      <c r="I5" s="3210" t="s">
        <v>2549</v>
      </c>
      <c r="J5" s="3211"/>
      <c r="K5" s="610"/>
      <c r="L5" s="1133"/>
      <c r="M5" s="1134"/>
      <c r="N5" s="1134"/>
      <c r="O5" s="1134"/>
      <c r="P5" s="3223"/>
      <c r="Q5" s="3224"/>
      <c r="R5" s="3206"/>
      <c r="S5" s="3207"/>
      <c r="T5" s="3206"/>
      <c r="U5" s="3207"/>
      <c r="V5" s="3229"/>
      <c r="W5" s="3229"/>
      <c r="X5" s="1815"/>
      <c r="Y5" s="3206"/>
      <c r="Z5" s="3207"/>
      <c r="AA5" s="3200"/>
      <c r="AB5" s="3229"/>
      <c r="AC5" s="3200"/>
    </row>
    <row r="6" spans="1:29" ht="15.75" thickBot="1">
      <c r="A6" s="406"/>
      <c r="B6" s="407"/>
      <c r="C6" s="3212" t="s">
        <v>2550</v>
      </c>
      <c r="D6" s="3213"/>
      <c r="E6" s="3214" t="s">
        <v>2550</v>
      </c>
      <c r="F6" s="3215"/>
      <c r="G6" s="3212" t="s">
        <v>2550</v>
      </c>
      <c r="H6" s="3213"/>
      <c r="I6" s="3212" t="s">
        <v>2550</v>
      </c>
      <c r="J6" s="3213"/>
      <c r="K6" s="610" t="s">
        <v>2551</v>
      </c>
      <c r="L6" s="1133"/>
      <c r="M6" s="1134"/>
      <c r="N6" s="1134"/>
      <c r="O6" s="1134"/>
      <c r="P6" s="3225"/>
      <c r="Q6" s="3226"/>
      <c r="R6" s="3206"/>
      <c r="S6" s="3207"/>
      <c r="T6" s="3227"/>
      <c r="U6" s="3228"/>
      <c r="V6" s="3229"/>
      <c r="W6" s="3229"/>
      <c r="X6" s="1815"/>
      <c r="Y6" s="3227"/>
      <c r="Z6" s="3228"/>
      <c r="AA6" s="3201"/>
      <c r="AB6" s="3229"/>
      <c r="AC6" s="3201"/>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2553</v>
      </c>
      <c r="Q7" s="3230"/>
      <c r="R7" s="770" t="s">
        <v>17</v>
      </c>
      <c r="S7" s="771">
        <f t="shared" ref="S7:S15" si="0">F7</f>
        <v>0</v>
      </c>
      <c r="T7" s="770" t="s">
        <v>17</v>
      </c>
      <c r="U7" s="771">
        <f t="shared" ref="U7:U15" si="1">H7</f>
        <v>0</v>
      </c>
      <c r="V7" s="770" t="s">
        <v>17</v>
      </c>
      <c r="W7" s="771">
        <f t="shared" ref="W7:W15" si="2">J7</f>
        <v>0</v>
      </c>
      <c r="X7" s="772"/>
      <c r="Y7" s="3202" t="s">
        <v>2553</v>
      </c>
      <c r="Z7" s="3203"/>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2556</v>
      </c>
      <c r="Q8" s="3203"/>
      <c r="R8" s="770" t="s">
        <v>17</v>
      </c>
      <c r="S8" s="771">
        <f t="shared" si="0"/>
        <v>0</v>
      </c>
      <c r="T8" s="770" t="s">
        <v>17</v>
      </c>
      <c r="U8" s="771">
        <f t="shared" si="1"/>
        <v>0</v>
      </c>
      <c r="V8" s="770" t="s">
        <v>17</v>
      </c>
      <c r="W8" s="771">
        <f t="shared" si="2"/>
        <v>0</v>
      </c>
      <c r="X8" s="772"/>
      <c r="Y8" s="3202" t="s">
        <v>2556</v>
      </c>
      <c r="Z8" s="3203"/>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6" t="s">
        <v>2559</v>
      </c>
      <c r="Q9" s="1797" t="str">
        <f t="shared" ref="Q9:Q15" si="6">B9</f>
        <v>用途</v>
      </c>
      <c r="R9" s="770" t="s">
        <v>17</v>
      </c>
      <c r="S9" s="771">
        <f t="shared" si="0"/>
        <v>100</v>
      </c>
      <c r="T9" s="770" t="s">
        <v>17</v>
      </c>
      <c r="U9" s="771">
        <f t="shared" si="1"/>
        <v>100</v>
      </c>
      <c r="V9" s="770" t="s">
        <v>17</v>
      </c>
      <c r="W9" s="771">
        <f t="shared" si="2"/>
        <v>100</v>
      </c>
      <c r="X9" s="772"/>
      <c r="Y9" s="304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6"/>
      <c r="Q10" s="1797"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6"/>
      <c r="Q11" s="1797"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6"/>
      <c r="Q12" s="1797">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6"/>
      <c r="Q13" s="1797">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6"/>
      <c r="Q14" s="1797">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71.25">
      <c r="A15" s="440" t="s">
        <v>2563</v>
      </c>
      <c r="B15" s="69"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2564</v>
      </c>
      <c r="Q15" s="1812" t="str">
        <f t="shared" si="6"/>
        <v>商业繁华度</v>
      </c>
      <c r="R15" s="774" t="s">
        <v>17</v>
      </c>
      <c r="S15" s="775">
        <f t="shared" si="0"/>
        <v>100</v>
      </c>
      <c r="T15" s="774" t="s">
        <v>17</v>
      </c>
      <c r="U15" s="775">
        <f t="shared" si="1"/>
        <v>100</v>
      </c>
      <c r="V15" s="774" t="s">
        <v>17</v>
      </c>
      <c r="W15" s="775">
        <f t="shared" si="2"/>
        <v>100</v>
      </c>
      <c r="X15" s="1815"/>
      <c r="Y15" s="3236"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4"/>
      <c r="Q16" s="1812"/>
      <c r="R16" s="774"/>
      <c r="S16" s="775"/>
      <c r="T16" s="774"/>
      <c r="U16" s="775"/>
      <c r="V16" s="774"/>
      <c r="W16" s="775"/>
      <c r="X16" s="1815"/>
      <c r="Y16" s="3237"/>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23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44"/>
      <c r="Q18" s="1812"/>
      <c r="R18" s="774"/>
      <c r="S18" s="775"/>
      <c r="T18" s="774"/>
      <c r="U18" s="775"/>
      <c r="V18" s="774"/>
      <c r="W18" s="775"/>
      <c r="X18" s="1815"/>
      <c r="Y18" s="3237"/>
      <c r="Z18" s="1816"/>
      <c r="AA18" s="1813">
        <v>1</v>
      </c>
      <c r="AB18" s="1813">
        <v>1</v>
      </c>
      <c r="AC18" s="1813">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23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44"/>
      <c r="Q20" s="1812"/>
      <c r="R20" s="774"/>
      <c r="S20" s="775"/>
      <c r="T20" s="774"/>
      <c r="U20" s="775"/>
      <c r="V20" s="774"/>
      <c r="W20" s="775"/>
      <c r="X20" s="1815"/>
      <c r="Y20" s="3237"/>
      <c r="Z20" s="1816"/>
      <c r="AA20" s="1813">
        <v>1</v>
      </c>
      <c r="AB20" s="1813">
        <v>1</v>
      </c>
      <c r="AC20" s="1813">
        <v>1</v>
      </c>
    </row>
    <row r="21" spans="1:29" ht="28.5">
      <c r="A21" s="428"/>
      <c r="B21" s="1386"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23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44"/>
      <c r="Q22" s="1812"/>
      <c r="R22" s="774"/>
      <c r="S22" s="775"/>
      <c r="T22" s="774"/>
      <c r="U22" s="775"/>
      <c r="V22" s="774"/>
      <c r="W22" s="775"/>
      <c r="X22" s="1815"/>
      <c r="Y22" s="3237"/>
      <c r="Z22" s="1816"/>
      <c r="AA22" s="1813">
        <v>1</v>
      </c>
      <c r="AB22" s="1813">
        <v>1</v>
      </c>
      <c r="AC22" s="1813">
        <v>1</v>
      </c>
    </row>
    <row r="23" spans="1:29" ht="57">
      <c r="A23" s="428"/>
      <c r="B23" s="451" t="s">
        <v>2105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2" t="str">
        <f>B23</f>
        <v>自然及人文环境</v>
      </c>
      <c r="R23" s="774" t="s">
        <v>17</v>
      </c>
      <c r="S23" s="775">
        <f>F23</f>
        <v>100</v>
      </c>
      <c r="T23" s="774" t="s">
        <v>17</v>
      </c>
      <c r="U23" s="775">
        <f>H23</f>
        <v>100</v>
      </c>
      <c r="V23" s="774" t="s">
        <v>17</v>
      </c>
      <c r="W23" s="775">
        <f>J23</f>
        <v>100</v>
      </c>
      <c r="X23" s="1815"/>
      <c r="Y23" s="3237"/>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44"/>
      <c r="Q24" s="1812"/>
      <c r="R24" s="774"/>
      <c r="S24" s="775"/>
      <c r="T24" s="774"/>
      <c r="U24" s="775"/>
      <c r="V24" s="774"/>
      <c r="W24" s="775"/>
      <c r="X24" s="1815"/>
      <c r="Y24" s="3237"/>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2" t="str">
        <f t="shared" ref="Q25:Q46" si="11">B25</f>
        <v>临街状况</v>
      </c>
      <c r="R25" s="774" t="s">
        <v>17</v>
      </c>
      <c r="S25" s="775">
        <f>F25</f>
        <v>100</v>
      </c>
      <c r="T25" s="774" t="s">
        <v>17</v>
      </c>
      <c r="U25" s="775">
        <f>H25</f>
        <v>100</v>
      </c>
      <c r="V25" s="774" t="s">
        <v>17</v>
      </c>
      <c r="W25" s="775">
        <f>J25</f>
        <v>100</v>
      </c>
      <c r="X25" s="1815"/>
      <c r="Y25" s="3237"/>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2" t="str">
        <f t="shared" si="11"/>
        <v>平面位置/可视性</v>
      </c>
      <c r="R26" s="774" t="s">
        <v>17</v>
      </c>
      <c r="S26" s="775">
        <f>F26</f>
        <v>100</v>
      </c>
      <c r="T26" s="774" t="s">
        <v>17</v>
      </c>
      <c r="U26" s="775">
        <f>H26</f>
        <v>100</v>
      </c>
      <c r="V26" s="774" t="s">
        <v>17</v>
      </c>
      <c r="W26" s="775">
        <f>J26</f>
        <v>100</v>
      </c>
      <c r="X26" s="1815"/>
      <c r="Y26" s="3237"/>
      <c r="Z26" s="1816" t="str">
        <f>Q26</f>
        <v>平面位置/可视性</v>
      </c>
      <c r="AA26" s="1813">
        <f t="shared" si="3"/>
        <v>1</v>
      </c>
      <c r="AB26" s="1813">
        <f t="shared" si="4"/>
        <v>1</v>
      </c>
      <c r="AC26" s="1813">
        <f t="shared" si="5"/>
        <v>1</v>
      </c>
    </row>
    <row r="27" spans="1:29" s="117"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44"/>
      <c r="Q27" s="1797" t="str">
        <f t="shared" si="11"/>
        <v>人流量</v>
      </c>
      <c r="R27" s="770" t="s">
        <v>17</v>
      </c>
      <c r="S27" s="771">
        <f>F27</f>
        <v>100</v>
      </c>
      <c r="T27" s="770" t="s">
        <v>17</v>
      </c>
      <c r="U27" s="771">
        <f>H27</f>
        <v>100</v>
      </c>
      <c r="V27" s="770" t="s">
        <v>17</v>
      </c>
      <c r="W27" s="771">
        <f>J27</f>
        <v>100</v>
      </c>
      <c r="X27" s="772"/>
      <c r="Y27" s="3237"/>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7"/>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2">
        <f t="shared" si="11"/>
        <v>111</v>
      </c>
      <c r="R29" s="774" t="s">
        <v>17</v>
      </c>
      <c r="S29" s="775">
        <f t="shared" si="12"/>
        <v>100</v>
      </c>
      <c r="T29" s="774" t="s">
        <v>17</v>
      </c>
      <c r="U29" s="775">
        <f t="shared" si="13"/>
        <v>100</v>
      </c>
      <c r="V29" s="774" t="s">
        <v>17</v>
      </c>
      <c r="W29" s="775">
        <f t="shared" si="14"/>
        <v>100</v>
      </c>
      <c r="X29" s="1815"/>
      <c r="Y29" s="3237"/>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237"/>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237"/>
      <c r="Z31" s="1816">
        <f t="shared" si="15"/>
        <v>111</v>
      </c>
      <c r="AA31" s="1813">
        <f t="shared" si="3"/>
        <v>1</v>
      </c>
      <c r="AB31" s="1813">
        <f t="shared" si="4"/>
        <v>1</v>
      </c>
      <c r="AC31" s="1813">
        <f t="shared" si="5"/>
        <v>1</v>
      </c>
    </row>
    <row r="32" spans="1:29" ht="15">
      <c r="A32" s="440" t="s">
        <v>2567</v>
      </c>
      <c r="B32" s="71"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38" t="s">
        <v>2569</v>
      </c>
      <c r="Q32" s="1812" t="str">
        <f t="shared" si="11"/>
        <v>商业类型</v>
      </c>
      <c r="R32" s="774" t="s">
        <v>17</v>
      </c>
      <c r="S32" s="775">
        <f t="shared" si="12"/>
        <v>100</v>
      </c>
      <c r="T32" s="774" t="s">
        <v>17</v>
      </c>
      <c r="U32" s="775">
        <f t="shared" si="13"/>
        <v>100</v>
      </c>
      <c r="V32" s="774" t="s">
        <v>17</v>
      </c>
      <c r="W32" s="775">
        <f t="shared" si="14"/>
        <v>100</v>
      </c>
      <c r="X32" s="1815"/>
      <c r="Y32" s="3241"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3" t="e">
        <f t="shared" si="3"/>
        <v>#N/A</v>
      </c>
      <c r="AB33" s="1813" t="e">
        <f t="shared" si="4"/>
        <v>#N/A</v>
      </c>
      <c r="AC33" s="1813"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39"/>
      <c r="Q34" s="1812" t="str">
        <f t="shared" si="11"/>
        <v>建筑结构</v>
      </c>
      <c r="R34" s="774" t="s">
        <v>17</v>
      </c>
      <c r="S34" s="775">
        <f t="shared" si="12"/>
        <v>100</v>
      </c>
      <c r="T34" s="774" t="s">
        <v>17</v>
      </c>
      <c r="U34" s="775">
        <f t="shared" si="13"/>
        <v>100</v>
      </c>
      <c r="V34" s="774" t="s">
        <v>17</v>
      </c>
      <c r="W34" s="775">
        <f t="shared" si="14"/>
        <v>100</v>
      </c>
      <c r="X34" s="1815"/>
      <c r="Y34" s="3241"/>
      <c r="Z34" s="1816" t="str">
        <f t="shared" si="15"/>
        <v>建筑结构</v>
      </c>
      <c r="AA34" s="1813">
        <f t="shared" si="3"/>
        <v>1</v>
      </c>
      <c r="AB34" s="1813">
        <f t="shared" si="4"/>
        <v>1</v>
      </c>
      <c r="AC34" s="1813">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9"/>
      <c r="Q35" s="1812" t="str">
        <f t="shared" si="11"/>
        <v>公共部分装修</v>
      </c>
      <c r="R35" s="774" t="s">
        <v>17</v>
      </c>
      <c r="S35" s="775">
        <f t="shared" si="12"/>
        <v>100</v>
      </c>
      <c r="T35" s="774" t="s">
        <v>17</v>
      </c>
      <c r="U35" s="775">
        <f t="shared" si="13"/>
        <v>100</v>
      </c>
      <c r="V35" s="774" t="s">
        <v>17</v>
      </c>
      <c r="W35" s="775">
        <f t="shared" si="14"/>
        <v>100</v>
      </c>
      <c r="X35" s="1815"/>
      <c r="Y35" s="3241"/>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2" t="str">
        <f t="shared" si="11"/>
        <v>成新度</v>
      </c>
      <c r="R36" s="774" t="s">
        <v>17</v>
      </c>
      <c r="S36" s="775" t="e">
        <f t="shared" si="12"/>
        <v>#N/A</v>
      </c>
      <c r="T36" s="774" t="s">
        <v>17</v>
      </c>
      <c r="U36" s="775" t="e">
        <f t="shared" si="13"/>
        <v>#N/A</v>
      </c>
      <c r="V36" s="774" t="s">
        <v>17</v>
      </c>
      <c r="W36" s="775" t="e">
        <f t="shared" si="14"/>
        <v>#N/A</v>
      </c>
      <c r="X36" s="1815"/>
      <c r="Y36" s="3241"/>
      <c r="Z36" s="1816" t="str">
        <f t="shared" si="15"/>
        <v>成新度</v>
      </c>
      <c r="AA36" s="1813" t="e">
        <f t="shared" si="3"/>
        <v>#N/A</v>
      </c>
      <c r="AB36" s="1813" t="e">
        <f t="shared" si="4"/>
        <v>#N/A</v>
      </c>
      <c r="AC36" s="1813" t="e">
        <f t="shared" si="5"/>
        <v>#N/A</v>
      </c>
    </row>
    <row r="37" spans="1:29" s="117" customFormat="1" ht="15">
      <c r="A37" s="473"/>
      <c r="B37" s="422" t="s">
        <v>2667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9"/>
      <c r="Q37" s="1797"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9" t="s">
        <v>2569</v>
      </c>
      <c r="Q38" s="1812" t="str">
        <f t="shared" si="11"/>
        <v>业态</v>
      </c>
      <c r="R38" s="774" t="s">
        <v>17</v>
      </c>
      <c r="S38" s="775">
        <f t="shared" si="12"/>
        <v>100</v>
      </c>
      <c r="T38" s="774" t="s">
        <v>17</v>
      </c>
      <c r="U38" s="775">
        <f t="shared" si="13"/>
        <v>100</v>
      </c>
      <c r="V38" s="774" t="s">
        <v>17</v>
      </c>
      <c r="W38" s="775">
        <f t="shared" si="14"/>
        <v>100</v>
      </c>
      <c r="X38" s="1815"/>
      <c r="Y38" s="3241" t="s">
        <v>2569</v>
      </c>
      <c r="Z38" s="1816" t="str">
        <f t="shared" si="15"/>
        <v>业态</v>
      </c>
      <c r="AA38" s="1813">
        <f t="shared" si="3"/>
        <v>1</v>
      </c>
      <c r="AB38" s="1813">
        <f t="shared" si="4"/>
        <v>1</v>
      </c>
      <c r="AC38" s="1813">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9"/>
      <c r="Q39" s="1812" t="str">
        <f t="shared" si="11"/>
        <v>层高</v>
      </c>
      <c r="R39" s="774" t="s">
        <v>17</v>
      </c>
      <c r="S39" s="775">
        <f t="shared" si="12"/>
        <v>100</v>
      </c>
      <c r="T39" s="774" t="s">
        <v>17</v>
      </c>
      <c r="U39" s="775">
        <f t="shared" si="13"/>
        <v>100</v>
      </c>
      <c r="V39" s="774" t="s">
        <v>17</v>
      </c>
      <c r="W39" s="775">
        <f t="shared" si="14"/>
        <v>100</v>
      </c>
      <c r="X39" s="1815"/>
      <c r="Y39" s="3241"/>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2" t="str">
        <f t="shared" si="11"/>
        <v>单套建筑面积</v>
      </c>
      <c r="R40" s="774" t="s">
        <v>17</v>
      </c>
      <c r="S40" s="775">
        <f t="shared" si="12"/>
        <v>100</v>
      </c>
      <c r="T40" s="774" t="s">
        <v>17</v>
      </c>
      <c r="U40" s="775">
        <f t="shared" si="13"/>
        <v>100</v>
      </c>
      <c r="V40" s="774" t="s">
        <v>17</v>
      </c>
      <c r="W40" s="775">
        <f t="shared" si="14"/>
        <v>100</v>
      </c>
      <c r="X40" s="1815"/>
      <c r="Y40" s="3241"/>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3">
        <f t="shared" si="3"/>
        <v>1</v>
      </c>
      <c r="AB41" s="1813">
        <f t="shared" si="4"/>
        <v>1</v>
      </c>
      <c r="AC41" s="1813">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9"/>
      <c r="Q42" s="1812" t="str">
        <f t="shared" si="11"/>
        <v>内部装修</v>
      </c>
      <c r="R42" s="774" t="s">
        <v>17</v>
      </c>
      <c r="S42" s="775">
        <f t="shared" si="12"/>
        <v>100</v>
      </c>
      <c r="T42" s="774" t="s">
        <v>17</v>
      </c>
      <c r="U42" s="775">
        <f t="shared" si="13"/>
        <v>100</v>
      </c>
      <c r="V42" s="774" t="s">
        <v>17</v>
      </c>
      <c r="W42" s="775">
        <f t="shared" si="14"/>
        <v>100</v>
      </c>
      <c r="X42" s="1815"/>
      <c r="Y42" s="3241"/>
      <c r="Z42" s="1816" t="str">
        <f t="shared" si="15"/>
        <v>内部装修</v>
      </c>
      <c r="AA42" s="1813">
        <f t="shared" si="3"/>
        <v>1</v>
      </c>
      <c r="AB42" s="1813">
        <f t="shared" si="4"/>
        <v>1</v>
      </c>
      <c r="AC42" s="1813">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9"/>
      <c r="Q43" s="1812" t="str">
        <f t="shared" si="11"/>
        <v>内部装修维护情况</v>
      </c>
      <c r="R43" s="774" t="s">
        <v>17</v>
      </c>
      <c r="S43" s="775">
        <f t="shared" si="12"/>
        <v>100</v>
      </c>
      <c r="T43" s="774" t="s">
        <v>17</v>
      </c>
      <c r="U43" s="775">
        <f t="shared" si="13"/>
        <v>100</v>
      </c>
      <c r="V43" s="774" t="s">
        <v>17</v>
      </c>
      <c r="W43" s="775">
        <f t="shared" si="14"/>
        <v>100</v>
      </c>
      <c r="X43" s="1815"/>
      <c r="Y43" s="324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7">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2">
        <f t="shared" si="11"/>
        <v>111</v>
      </c>
      <c r="R45" s="774" t="s">
        <v>17</v>
      </c>
      <c r="S45" s="775">
        <f t="shared" si="12"/>
        <v>100</v>
      </c>
      <c r="T45" s="774" t="s">
        <v>17</v>
      </c>
      <c r="U45" s="775">
        <f t="shared" si="13"/>
        <v>100</v>
      </c>
      <c r="V45" s="774" t="s">
        <v>17</v>
      </c>
      <c r="W45" s="775">
        <f t="shared" si="14"/>
        <v>100</v>
      </c>
      <c r="X45" s="1815"/>
      <c r="Y45" s="3241"/>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2">
        <f t="shared" si="11"/>
        <v>111</v>
      </c>
      <c r="R46" s="774" t="s">
        <v>17</v>
      </c>
      <c r="S46" s="775">
        <f t="shared" si="12"/>
        <v>100</v>
      </c>
      <c r="T46" s="774" t="s">
        <v>17</v>
      </c>
      <c r="U46" s="775">
        <f t="shared" si="13"/>
        <v>100</v>
      </c>
      <c r="V46" s="774" t="s">
        <v>17</v>
      </c>
      <c r="W46" s="775">
        <f t="shared" si="14"/>
        <v>100</v>
      </c>
      <c r="X46" s="1815"/>
      <c r="Y46" s="3242"/>
      <c r="Z46" s="1816">
        <f t="shared" si="15"/>
        <v>111</v>
      </c>
      <c r="AA46" s="1813">
        <f t="shared" si="3"/>
        <v>1</v>
      </c>
      <c r="AB46" s="1813">
        <f t="shared" si="4"/>
        <v>1</v>
      </c>
      <c r="AC46" s="1813">
        <f t="shared" si="5"/>
        <v>1</v>
      </c>
    </row>
    <row r="47" spans="1:29" ht="15">
      <c r="A47" s="479" t="s">
        <v>2581</v>
      </c>
      <c r="B47" s="480"/>
      <c r="C47" s="1409" t="s">
        <v>1</v>
      </c>
      <c r="D47" s="1410"/>
      <c r="E47" s="1411"/>
      <c r="F47" s="1412"/>
      <c r="G47" s="1413"/>
      <c r="H47" s="1414"/>
      <c r="I47" s="1411"/>
      <c r="J47" s="1414"/>
      <c r="K47" s="783"/>
      <c r="L47" s="1146"/>
      <c r="M47" s="1147"/>
      <c r="N47" s="1134"/>
      <c r="O47" s="1147"/>
      <c r="P47" s="3234" t="str">
        <f>A47</f>
        <v>成交单价（元/平方米）</v>
      </c>
      <c r="Q47" s="3234"/>
      <c r="R47" s="3229">
        <f>E47</f>
        <v>0</v>
      </c>
      <c r="S47" s="3229"/>
      <c r="T47" s="3229">
        <f>G47</f>
        <v>0</v>
      </c>
      <c r="U47" s="3229"/>
      <c r="V47" s="3229">
        <f>I47</f>
        <v>0</v>
      </c>
      <c r="W47" s="3229"/>
      <c r="X47" s="759"/>
      <c r="Y47" s="781"/>
      <c r="Z47" s="759"/>
      <c r="AA47" s="759"/>
      <c r="AB47" s="759"/>
      <c r="AC47" s="759"/>
    </row>
    <row r="48" spans="1:29" ht="15.75" thickBot="1">
      <c r="A48" s="486" t="s">
        <v>2673</v>
      </c>
      <c r="B48" s="487"/>
      <c r="C48" s="1415" t="e">
        <f>R49</f>
        <v>#DIV/0!</v>
      </c>
      <c r="D48" s="1416"/>
      <c r="E48" s="1417" t="e">
        <f>R48</f>
        <v>#DIV/0!</v>
      </c>
      <c r="F48" s="1417"/>
      <c r="G48" s="1415" t="e">
        <f>T48</f>
        <v>#DIV/0!</v>
      </c>
      <c r="H48" s="1416"/>
      <c r="I48" s="1417" t="e">
        <f>V48</f>
        <v>#DIV/0!</v>
      </c>
      <c r="J48" s="1416"/>
      <c r="K48" s="784"/>
      <c r="L48" s="1146"/>
      <c r="M48" s="1147"/>
      <c r="N48" s="1134"/>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2674</v>
      </c>
      <c r="B49" s="493"/>
      <c r="C49" s="1419" t="e">
        <f>R49</f>
        <v>#DIV/0!</v>
      </c>
      <c r="D49" s="1419"/>
      <c r="E49" s="1419"/>
      <c r="F49" s="1419"/>
      <c r="G49" s="1419"/>
      <c r="H49" s="1419"/>
      <c r="I49" s="1419"/>
      <c r="J49" s="1419"/>
      <c r="K49" s="785"/>
      <c r="L49" s="1146"/>
      <c r="M49" s="1147"/>
      <c r="N49" s="1134"/>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2552</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2554</v>
      </c>
      <c r="B61" s="510"/>
      <c r="C61" s="522" t="s">
        <v>2656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2567</v>
      </c>
      <c r="B100" s="528" t="s">
        <v>2685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70" zoomScaleNormal="70" workbookViewId="0">
      <selection activeCell="M50" sqref="M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2690</v>
      </c>
      <c r="C1" s="1622" t="s">
        <v>2534</v>
      </c>
      <c r="D1" s="1623" t="s">
        <v>27</v>
      </c>
      <c r="E1" s="1632"/>
      <c r="F1" s="2585" t="s">
        <v>3090</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f>IF(C2="——",ROUND(C50*D3/10000,0),ROUND(C50*D3/10000,0)-D2)</f>
        <v>203</v>
      </c>
      <c r="C2" s="2587" t="s">
        <v>70</v>
      </c>
      <c r="D2" s="136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18889</v>
      </c>
      <c r="C3" s="400" t="s">
        <v>2648</v>
      </c>
      <c r="D3" s="399">
        <f>IF(D1="",'数据-汇总表'!E3,SUMIF('数据-汇总表'!$C19:$C33,D1,'数据-汇总表'!$E19:$E33))</f>
        <v>107.51</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53" t="s">
        <v>2655</v>
      </c>
      <c r="Q4" s="3254"/>
      <c r="R4" s="3246" t="s">
        <v>2651</v>
      </c>
      <c r="S4" s="3247"/>
      <c r="T4" s="3246" t="s">
        <v>2652</v>
      </c>
      <c r="U4" s="3247"/>
      <c r="V4" s="3257" t="s">
        <v>2653</v>
      </c>
      <c r="W4" s="3257"/>
      <c r="X4" s="2671"/>
      <c r="Y4" s="3246" t="s">
        <v>2655</v>
      </c>
      <c r="Z4" s="3247"/>
      <c r="AA4" s="3245" t="s">
        <v>2651</v>
      </c>
      <c r="AB4" s="3245" t="s">
        <v>2652</v>
      </c>
      <c r="AC4" s="3250" t="s">
        <v>2653</v>
      </c>
    </row>
    <row r="5" spans="1:29" ht="15">
      <c r="A5" s="404"/>
      <c r="B5" s="405"/>
      <c r="C5" s="3210" t="s">
        <v>2546</v>
      </c>
      <c r="D5" s="3211"/>
      <c r="E5" s="3248" t="s">
        <v>3069</v>
      </c>
      <c r="F5" s="3209"/>
      <c r="G5" s="3249" t="s">
        <v>3070</v>
      </c>
      <c r="H5" s="3211"/>
      <c r="I5" s="3249" t="s">
        <v>3071</v>
      </c>
      <c r="J5" s="3211"/>
      <c r="K5" s="610"/>
      <c r="L5" s="1133"/>
      <c r="M5" s="1134"/>
      <c r="N5" s="1134"/>
      <c r="O5" s="1134"/>
      <c r="P5" s="3255"/>
      <c r="Q5" s="3224"/>
      <c r="R5" s="3206"/>
      <c r="S5" s="3207"/>
      <c r="T5" s="3206"/>
      <c r="U5" s="3207"/>
      <c r="V5" s="3229"/>
      <c r="W5" s="3229"/>
      <c r="X5" s="1815"/>
      <c r="Y5" s="3206"/>
      <c r="Z5" s="3207"/>
      <c r="AA5" s="3200"/>
      <c r="AB5" s="3200"/>
      <c r="AC5" s="3251"/>
    </row>
    <row r="6" spans="1:29" ht="15.75" thickBot="1">
      <c r="A6" s="406"/>
      <c r="B6" s="407"/>
      <c r="C6" s="3212" t="s">
        <v>2550</v>
      </c>
      <c r="D6" s="3213"/>
      <c r="E6" s="3214" t="s">
        <v>2550</v>
      </c>
      <c r="F6" s="3215"/>
      <c r="G6" s="3212" t="s">
        <v>2550</v>
      </c>
      <c r="H6" s="3213"/>
      <c r="I6" s="3212" t="s">
        <v>2550</v>
      </c>
      <c r="J6" s="3213"/>
      <c r="K6" s="610" t="s">
        <v>2551</v>
      </c>
      <c r="L6" s="1133"/>
      <c r="M6" s="1134"/>
      <c r="N6" s="1134"/>
      <c r="O6" s="1134"/>
      <c r="P6" s="3256"/>
      <c r="Q6" s="3226"/>
      <c r="R6" s="3206"/>
      <c r="S6" s="3207"/>
      <c r="T6" s="3227"/>
      <c r="U6" s="3228"/>
      <c r="V6" s="3229"/>
      <c r="W6" s="3229"/>
      <c r="X6" s="1815"/>
      <c r="Y6" s="3227"/>
      <c r="Z6" s="3228"/>
      <c r="AA6" s="3201"/>
      <c r="AB6" s="3201"/>
      <c r="AC6" s="3252"/>
    </row>
    <row r="7" spans="1:29" s="117" customFormat="1" ht="15.75" thickBot="1">
      <c r="A7" s="408" t="s">
        <v>2552</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58" t="s">
        <v>2553</v>
      </c>
      <c r="Q7" s="3230"/>
      <c r="R7" s="770" t="s">
        <v>17</v>
      </c>
      <c r="S7" s="771">
        <f t="shared" ref="S7:S15" si="0">F7</f>
        <v>100</v>
      </c>
      <c r="T7" s="770" t="s">
        <v>17</v>
      </c>
      <c r="U7" s="771">
        <f t="shared" ref="U7:U15" si="1">H7</f>
        <v>100</v>
      </c>
      <c r="V7" s="770" t="s">
        <v>17</v>
      </c>
      <c r="W7" s="771">
        <f t="shared" ref="W7:W15" si="2">J7</f>
        <v>100</v>
      </c>
      <c r="X7" s="772"/>
      <c r="Y7" s="3202" t="s">
        <v>2553</v>
      </c>
      <c r="Z7" s="3203"/>
      <c r="AA7" s="773">
        <f>D7/F7</f>
        <v>1</v>
      </c>
      <c r="AB7" s="773">
        <f>D7/H7</f>
        <v>1</v>
      </c>
      <c r="AC7" s="2672">
        <f>D7/J7</f>
        <v>1</v>
      </c>
    </row>
    <row r="8" spans="1:29" s="117" customFormat="1" ht="15.75" thickBot="1">
      <c r="A8" s="408" t="s">
        <v>2554</v>
      </c>
      <c r="B8" s="409"/>
      <c r="C8" s="414" t="s">
        <v>2656</v>
      </c>
      <c r="D8" s="411">
        <v>100</v>
      </c>
      <c r="E8" s="2946" t="s">
        <v>3075</v>
      </c>
      <c r="F8" s="413">
        <f>SUMIF(62:62,E8,63:63)-SUMIF(62:62,C8,63:63)+100</f>
        <v>100</v>
      </c>
      <c r="G8" s="2946" t="s">
        <v>3075</v>
      </c>
      <c r="H8" s="411">
        <f>SUMIF(62:62,G8,63:63)-SUMIF(62:62,C8,63:63)+100</f>
        <v>100</v>
      </c>
      <c r="I8" s="2946" t="s">
        <v>3075</v>
      </c>
      <c r="J8" s="411">
        <f>SUMIF(62:62,I8,63:63)-SUMIF(62:62,C8,63:63)+100</f>
        <v>100</v>
      </c>
      <c r="K8" s="611"/>
      <c r="L8" s="1135"/>
      <c r="M8" s="1136"/>
      <c r="N8" s="1136"/>
      <c r="O8" s="1136"/>
      <c r="P8" s="3258" t="s">
        <v>2556</v>
      </c>
      <c r="Q8" s="3203"/>
      <c r="R8" s="770" t="s">
        <v>17</v>
      </c>
      <c r="S8" s="771">
        <f t="shared" si="0"/>
        <v>100</v>
      </c>
      <c r="T8" s="770" t="s">
        <v>17</v>
      </c>
      <c r="U8" s="771">
        <f t="shared" si="1"/>
        <v>100</v>
      </c>
      <c r="V8" s="770" t="s">
        <v>17</v>
      </c>
      <c r="W8" s="771">
        <f t="shared" si="2"/>
        <v>100</v>
      </c>
      <c r="X8" s="772"/>
      <c r="Y8" s="3202" t="s">
        <v>2556</v>
      </c>
      <c r="Z8" s="3203"/>
      <c r="AA8" s="773">
        <f t="shared" ref="AA8:AA47" si="3">D8/F8</f>
        <v>1</v>
      </c>
      <c r="AB8" s="773">
        <f t="shared" ref="AB8:AB47" si="4">D8/H8</f>
        <v>1</v>
      </c>
      <c r="AC8" s="2672">
        <f t="shared" ref="AC8:AC47" si="5">D8/J8</f>
        <v>1</v>
      </c>
    </row>
    <row r="9" spans="1:29" s="117" customFormat="1">
      <c r="A9" s="415" t="s">
        <v>2557</v>
      </c>
      <c r="B9" s="71" t="s">
        <v>2558</v>
      </c>
      <c r="C9" s="2952" t="s">
        <v>3076</v>
      </c>
      <c r="D9" s="135">
        <v>100</v>
      </c>
      <c r="E9" s="2953" t="s">
        <v>3076</v>
      </c>
      <c r="F9" s="135">
        <f>SUMIF(64:64,E9,65:65)-SUMIF(64:64,C9,65:65)+100</f>
        <v>100</v>
      </c>
      <c r="G9" s="2954" t="s">
        <v>3076</v>
      </c>
      <c r="H9" s="135">
        <f>SUMIF(64:64,G9,65:65)-SUMIF(64:64,C9,65:65)+100</f>
        <v>100</v>
      </c>
      <c r="I9" s="2954" t="s">
        <v>3076</v>
      </c>
      <c r="J9" s="135">
        <f>SUMIF(64:64,I9,65:65)-SUMIF(64:64,C9,65:65)+100</f>
        <v>100</v>
      </c>
      <c r="K9" s="611"/>
      <c r="L9" s="1135"/>
      <c r="M9" s="1136"/>
      <c r="N9" s="1136"/>
      <c r="O9" s="1136"/>
      <c r="P9" s="3216" t="s">
        <v>2559</v>
      </c>
      <c r="Q9" s="1797" t="str">
        <f t="shared" ref="Q9:Q15" si="6">B9</f>
        <v>用途</v>
      </c>
      <c r="R9" s="770" t="s">
        <v>17</v>
      </c>
      <c r="S9" s="771">
        <f t="shared" si="0"/>
        <v>100</v>
      </c>
      <c r="T9" s="770" t="s">
        <v>17</v>
      </c>
      <c r="U9" s="771">
        <f t="shared" si="1"/>
        <v>100</v>
      </c>
      <c r="V9" s="770" t="s">
        <v>17</v>
      </c>
      <c r="W9" s="771">
        <f t="shared" si="2"/>
        <v>100</v>
      </c>
      <c r="X9" s="772"/>
      <c r="Y9" s="3049" t="s">
        <v>2560</v>
      </c>
      <c r="Z9" s="55" t="str">
        <f t="shared" ref="Z9:Z15" si="7">Q9</f>
        <v>用途</v>
      </c>
      <c r="AA9" s="773">
        <f t="shared" si="3"/>
        <v>1</v>
      </c>
      <c r="AB9" s="773">
        <f t="shared" si="4"/>
        <v>1</v>
      </c>
      <c r="AC9" s="2672">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v>1</v>
      </c>
      <c r="L10" s="1138"/>
      <c r="M10" s="1139"/>
      <c r="N10" s="1139"/>
      <c r="O10" s="1139"/>
      <c r="P10" s="3216"/>
      <c r="Q10" s="1797"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72">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16"/>
      <c r="Q11" s="1797" t="str">
        <f t="shared" si="6"/>
        <v>容积率</v>
      </c>
      <c r="R11" s="770" t="s">
        <v>17</v>
      </c>
      <c r="S11" s="771">
        <f t="shared" si="0"/>
        <v>100</v>
      </c>
      <c r="T11" s="770" t="s">
        <v>17</v>
      </c>
      <c r="U11" s="771">
        <f t="shared" si="1"/>
        <v>100</v>
      </c>
      <c r="V11" s="770" t="s">
        <v>17</v>
      </c>
      <c r="W11" s="771">
        <f t="shared" si="2"/>
        <v>100</v>
      </c>
      <c r="X11" s="772"/>
      <c r="Y11" s="3049"/>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6"/>
      <c r="Q12" s="1797">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6"/>
      <c r="Q13" s="1797">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6"/>
      <c r="Q14" s="1797">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43" t="s">
        <v>2564</v>
      </c>
      <c r="Q15" s="1812" t="str">
        <f t="shared" si="6"/>
        <v>办公集聚程度</v>
      </c>
      <c r="R15" s="774" t="s">
        <v>17</v>
      </c>
      <c r="S15" s="775">
        <f t="shared" si="0"/>
        <v>102</v>
      </c>
      <c r="T15" s="774" t="s">
        <v>17</v>
      </c>
      <c r="U15" s="775">
        <f t="shared" si="1"/>
        <v>102</v>
      </c>
      <c r="V15" s="774" t="s">
        <v>17</v>
      </c>
      <c r="W15" s="775">
        <f t="shared" si="2"/>
        <v>102</v>
      </c>
      <c r="X15" s="1815"/>
      <c r="Y15" s="3236" t="s">
        <v>2564</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3072</v>
      </c>
      <c r="D16" s="448"/>
      <c r="E16" s="2951" t="s">
        <v>3073</v>
      </c>
      <c r="F16" s="448"/>
      <c r="G16" s="2950" t="s">
        <v>3073</v>
      </c>
      <c r="H16" s="450"/>
      <c r="I16" s="2951" t="s">
        <v>3074</v>
      </c>
      <c r="J16" s="448"/>
      <c r="K16" s="615"/>
      <c r="L16" s="1143"/>
      <c r="M16" s="1134"/>
      <c r="N16" s="1134"/>
      <c r="O16" s="1134"/>
      <c r="P16" s="3244"/>
      <c r="Q16" s="1812"/>
      <c r="R16" s="774"/>
      <c r="S16" s="775"/>
      <c r="T16" s="774"/>
      <c r="U16" s="775"/>
      <c r="V16" s="774"/>
      <c r="W16" s="775"/>
      <c r="X16" s="1815"/>
      <c r="Y16" s="3237"/>
      <c r="Z16" s="1816"/>
      <c r="AA16" s="1813">
        <v>1</v>
      </c>
      <c r="AB16" s="1813">
        <v>1</v>
      </c>
      <c r="AC16" s="2675">
        <v>1</v>
      </c>
    </row>
    <row r="17" spans="1:29" ht="71.25">
      <c r="A17" s="428"/>
      <c r="B17" s="631" t="s">
        <v>2100</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43"/>
      <c r="M17" s="1134"/>
      <c r="N17" s="1134"/>
      <c r="O17" s="1134"/>
      <c r="P17" s="3244"/>
      <c r="Q17" s="1812" t="str">
        <f>B17</f>
        <v>交通便捷度</v>
      </c>
      <c r="R17" s="774" t="s">
        <v>17</v>
      </c>
      <c r="S17" s="775">
        <f>F17</f>
        <v>100</v>
      </c>
      <c r="T17" s="774" t="s">
        <v>17</v>
      </c>
      <c r="U17" s="775">
        <f>H17</f>
        <v>100</v>
      </c>
      <c r="V17" s="774" t="s">
        <v>17</v>
      </c>
      <c r="W17" s="775">
        <f>J17</f>
        <v>100</v>
      </c>
      <c r="X17" s="1815"/>
      <c r="Y17" s="3237"/>
      <c r="Z17" s="1816" t="str">
        <f>Q17</f>
        <v>交通便捷度</v>
      </c>
      <c r="AA17" s="1813">
        <f t="shared" si="3"/>
        <v>1</v>
      </c>
      <c r="AB17" s="1813">
        <f t="shared" si="4"/>
        <v>1</v>
      </c>
      <c r="AC17" s="2675">
        <f t="shared" si="5"/>
        <v>1</v>
      </c>
    </row>
    <row r="18" spans="1:29" ht="15">
      <c r="A18" s="428"/>
      <c r="B18" s="632"/>
      <c r="C18" s="2955" t="s">
        <v>3073</v>
      </c>
      <c r="D18" s="450"/>
      <c r="E18" s="2956" t="s">
        <v>3073</v>
      </c>
      <c r="F18" s="450"/>
      <c r="G18" s="2957" t="s">
        <v>3073</v>
      </c>
      <c r="H18" s="448"/>
      <c r="I18" s="2957" t="s">
        <v>3073</v>
      </c>
      <c r="J18" s="448"/>
      <c r="K18" s="615"/>
      <c r="L18" s="1143"/>
      <c r="M18" s="1134"/>
      <c r="N18" s="1134"/>
      <c r="O18" s="1134"/>
      <c r="P18" s="3244"/>
      <c r="Q18" s="1812"/>
      <c r="R18" s="774"/>
      <c r="S18" s="775"/>
      <c r="T18" s="774"/>
      <c r="U18" s="775"/>
      <c r="V18" s="774"/>
      <c r="W18" s="775"/>
      <c r="X18" s="1815"/>
      <c r="Y18" s="3237"/>
      <c r="Z18" s="1816"/>
      <c r="AA18" s="1813">
        <v>1</v>
      </c>
      <c r="AB18" s="1813">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3"/>
      <c r="M19" s="1134"/>
      <c r="N19" s="1134"/>
      <c r="O19" s="1134"/>
      <c r="P19" s="3244"/>
      <c r="Q19" s="1812" t="str">
        <f>B19</f>
        <v>公共配套设施</v>
      </c>
      <c r="R19" s="774" t="s">
        <v>17</v>
      </c>
      <c r="S19" s="775">
        <f>F19</f>
        <v>101</v>
      </c>
      <c r="T19" s="774" t="s">
        <v>17</v>
      </c>
      <c r="U19" s="775">
        <f>H19</f>
        <v>101</v>
      </c>
      <c r="V19" s="774" t="s">
        <v>17</v>
      </c>
      <c r="W19" s="775">
        <f>J19</f>
        <v>101</v>
      </c>
      <c r="X19" s="1815"/>
      <c r="Y19" s="3237"/>
      <c r="Z19" s="1816" t="str">
        <f>Q19</f>
        <v>公共配套设施</v>
      </c>
      <c r="AA19" s="1813">
        <f t="shared" si="3"/>
        <v>0.99009900990099009</v>
      </c>
      <c r="AB19" s="1813">
        <f t="shared" si="4"/>
        <v>0.99009900990099009</v>
      </c>
      <c r="AC19" s="2675">
        <f t="shared" si="5"/>
        <v>0.99009900990099009</v>
      </c>
    </row>
    <row r="20" spans="1:29" ht="15">
      <c r="A20" s="428"/>
      <c r="B20" s="632"/>
      <c r="C20" s="2950" t="s">
        <v>3077</v>
      </c>
      <c r="D20" s="448"/>
      <c r="E20" s="2949" t="s">
        <v>3073</v>
      </c>
      <c r="F20" s="448"/>
      <c r="G20" s="2948" t="s">
        <v>3073</v>
      </c>
      <c r="H20" s="448"/>
      <c r="I20" s="2948" t="s">
        <v>3073</v>
      </c>
      <c r="J20" s="448"/>
      <c r="K20" s="615"/>
      <c r="L20" s="1143"/>
      <c r="M20" s="1134"/>
      <c r="N20" s="1134"/>
      <c r="O20" s="1134"/>
      <c r="P20" s="3244"/>
      <c r="Q20" s="1812"/>
      <c r="R20" s="774"/>
      <c r="S20" s="775"/>
      <c r="T20" s="774"/>
      <c r="U20" s="775"/>
      <c r="V20" s="774"/>
      <c r="W20" s="775"/>
      <c r="X20" s="1815"/>
      <c r="Y20" s="3237"/>
      <c r="Z20" s="1816"/>
      <c r="AA20" s="1813">
        <v>1</v>
      </c>
      <c r="AB20" s="1813">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44"/>
      <c r="Q21" s="1812" t="str">
        <f>B21</f>
        <v>基础设施水平</v>
      </c>
      <c r="R21" s="774" t="s">
        <v>17</v>
      </c>
      <c r="S21" s="775">
        <f>F21</f>
        <v>100</v>
      </c>
      <c r="T21" s="774" t="s">
        <v>17</v>
      </c>
      <c r="U21" s="775">
        <f>H21</f>
        <v>100</v>
      </c>
      <c r="V21" s="774" t="s">
        <v>17</v>
      </c>
      <c r="W21" s="775">
        <f>J21</f>
        <v>100</v>
      </c>
      <c r="X21" s="1815"/>
      <c r="Y21" s="3237"/>
      <c r="Z21" s="1816" t="str">
        <f>Q21</f>
        <v>基础设施水平</v>
      </c>
      <c r="AA21" s="1813">
        <f t="shared" ref="AA21" si="8">D21/F21</f>
        <v>1</v>
      </c>
      <c r="AB21" s="1813">
        <f t="shared" ref="AB21" si="9">D21/H21</f>
        <v>1</v>
      </c>
      <c r="AC21" s="2675">
        <f t="shared" ref="AC21" si="10">D21/J21</f>
        <v>1</v>
      </c>
    </row>
    <row r="22" spans="1:29" ht="15">
      <c r="A22" s="428"/>
      <c r="B22" s="633"/>
      <c r="C22" s="2955" t="s">
        <v>3078</v>
      </c>
      <c r="D22" s="448"/>
      <c r="E22" s="2951" t="s">
        <v>3079</v>
      </c>
      <c r="F22" s="448"/>
      <c r="G22" s="2950" t="s">
        <v>3078</v>
      </c>
      <c r="H22" s="448"/>
      <c r="I22" s="2950" t="s">
        <v>3079</v>
      </c>
      <c r="J22" s="448"/>
      <c r="K22" s="1385"/>
      <c r="L22" s="1143"/>
      <c r="M22" s="1134"/>
      <c r="N22" s="1134"/>
      <c r="O22" s="1134"/>
      <c r="P22" s="3244"/>
      <c r="Q22" s="1812"/>
      <c r="R22" s="774"/>
      <c r="S22" s="775"/>
      <c r="T22" s="774"/>
      <c r="U22" s="775"/>
      <c r="V22" s="774"/>
      <c r="W22" s="775"/>
      <c r="X22" s="1815"/>
      <c r="Y22" s="3237"/>
      <c r="Z22" s="1816"/>
      <c r="AA22" s="1813">
        <v>1</v>
      </c>
      <c r="AB22" s="1813">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44"/>
      <c r="Q23" s="1812" t="str">
        <f>B23</f>
        <v>环境质量</v>
      </c>
      <c r="R23" s="774" t="s">
        <v>17</v>
      </c>
      <c r="S23" s="775">
        <f>F23</f>
        <v>100</v>
      </c>
      <c r="T23" s="774" t="s">
        <v>17</v>
      </c>
      <c r="U23" s="775">
        <f>H23</f>
        <v>100</v>
      </c>
      <c r="V23" s="774" t="s">
        <v>17</v>
      </c>
      <c r="W23" s="775">
        <f>J23</f>
        <v>100</v>
      </c>
      <c r="X23" s="1815"/>
      <c r="Y23" s="3237"/>
      <c r="Z23" s="1816" t="str">
        <f>Q23</f>
        <v>环境质量</v>
      </c>
      <c r="AA23" s="1813">
        <f t="shared" si="3"/>
        <v>1</v>
      </c>
      <c r="AB23" s="1813">
        <f t="shared" si="4"/>
        <v>1</v>
      </c>
      <c r="AC23" s="2675">
        <f t="shared" si="5"/>
        <v>1</v>
      </c>
    </row>
    <row r="24" spans="1:29" ht="15">
      <c r="A24" s="428"/>
      <c r="B24" s="633"/>
      <c r="C24" s="2950" t="s">
        <v>3073</v>
      </c>
      <c r="D24" s="448"/>
      <c r="E24" s="2949" t="s">
        <v>3073</v>
      </c>
      <c r="F24" s="448"/>
      <c r="G24" s="2948" t="s">
        <v>3073</v>
      </c>
      <c r="H24" s="448"/>
      <c r="I24" s="2948" t="s">
        <v>3074</v>
      </c>
      <c r="J24" s="448"/>
      <c r="K24" s="615"/>
      <c r="L24" s="1143"/>
      <c r="M24" s="1134"/>
      <c r="N24" s="1134"/>
      <c r="O24" s="1134"/>
      <c r="P24" s="3244"/>
      <c r="Q24" s="1812"/>
      <c r="R24" s="774"/>
      <c r="S24" s="775"/>
      <c r="T24" s="774"/>
      <c r="U24" s="775"/>
      <c r="V24" s="774"/>
      <c r="W24" s="775"/>
      <c r="X24" s="1815"/>
      <c r="Y24" s="3237"/>
      <c r="Z24" s="1816"/>
      <c r="AA24" s="1813">
        <v>1</v>
      </c>
      <c r="AB24" s="1813">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v>1</v>
      </c>
      <c r="L25" s="1143"/>
      <c r="M25" s="1134"/>
      <c r="N25" s="1134"/>
      <c r="O25" s="1134"/>
      <c r="P25" s="3244"/>
      <c r="Q25" s="1812" t="str">
        <f>B25</f>
        <v>毗邻道路的类型与等级</v>
      </c>
      <c r="R25" s="774" t="s">
        <v>17</v>
      </c>
      <c r="S25" s="775">
        <f>F25</f>
        <v>100</v>
      </c>
      <c r="T25" s="774" t="s">
        <v>17</v>
      </c>
      <c r="U25" s="775">
        <f>H25</f>
        <v>100</v>
      </c>
      <c r="V25" s="774" t="s">
        <v>17</v>
      </c>
      <c r="W25" s="775">
        <f>J25</f>
        <v>100</v>
      </c>
      <c r="X25" s="1815"/>
      <c r="Y25" s="3237"/>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44"/>
      <c r="Q26" s="1812"/>
      <c r="R26" s="774"/>
      <c r="S26" s="775"/>
      <c r="T26" s="774"/>
      <c r="U26" s="775"/>
      <c r="V26" s="774"/>
      <c r="W26" s="775"/>
      <c r="X26" s="1815"/>
      <c r="Y26" s="3237"/>
      <c r="Z26" s="1816"/>
      <c r="AA26" s="1813">
        <v>1</v>
      </c>
      <c r="AB26" s="1813">
        <v>1</v>
      </c>
      <c r="AC26" s="2675">
        <v>1</v>
      </c>
    </row>
    <row r="27" spans="1:29" ht="15">
      <c r="A27" s="428"/>
      <c r="B27" s="632" t="s">
        <v>2663</v>
      </c>
      <c r="C27" s="2962" t="s">
        <v>3089</v>
      </c>
      <c r="D27" s="435">
        <v>100</v>
      </c>
      <c r="E27" s="2960" t="s">
        <v>3091</v>
      </c>
      <c r="F27" s="435">
        <f>SUMIF(89:89,E27,90:90)-SUMIF(89:89,C27,90:90)+100</f>
        <v>95</v>
      </c>
      <c r="G27" s="2962" t="s">
        <v>3091</v>
      </c>
      <c r="H27" s="435">
        <f>SUMIF(89:89,G27,90:90)-SUMIF(89:89,C27,90:90)+100</f>
        <v>95</v>
      </c>
      <c r="I27" s="2960" t="s">
        <v>3091</v>
      </c>
      <c r="J27" s="435">
        <f>SUMIF(89:89,I27,90:90)-SUMIF(89:89,C27,90:90)+100</f>
        <v>95</v>
      </c>
      <c r="K27" s="612">
        <v>5</v>
      </c>
      <c r="L27" s="1143"/>
      <c r="M27" s="1134"/>
      <c r="N27" s="1134"/>
      <c r="O27" s="1134"/>
      <c r="P27" s="3244"/>
      <c r="Q27" s="1812" t="str">
        <f t="shared" ref="Q27:Q47" si="11">B27</f>
        <v>楼层</v>
      </c>
      <c r="R27" s="774" t="s">
        <v>17</v>
      </c>
      <c r="S27" s="775">
        <f>F27</f>
        <v>95</v>
      </c>
      <c r="T27" s="774" t="s">
        <v>17</v>
      </c>
      <c r="U27" s="775">
        <f>H27</f>
        <v>95</v>
      </c>
      <c r="V27" s="774" t="s">
        <v>17</v>
      </c>
      <c r="W27" s="775">
        <f>J27</f>
        <v>95</v>
      </c>
      <c r="X27" s="1815"/>
      <c r="Y27" s="3237"/>
      <c r="Z27" s="1816" t="str">
        <f>Q27</f>
        <v>楼层</v>
      </c>
      <c r="AA27" s="1813">
        <f t="shared" si="3"/>
        <v>1.0526315789473684</v>
      </c>
      <c r="AB27" s="1813">
        <f t="shared" si="4"/>
        <v>1.0526315789473684</v>
      </c>
      <c r="AC27" s="2675">
        <f t="shared" si="5"/>
        <v>1.0526315789473684</v>
      </c>
    </row>
    <row r="28" spans="1:29" s="117" customFormat="1" ht="15">
      <c r="A28" s="431"/>
      <c r="B28" s="631" t="s">
        <v>2696</v>
      </c>
      <c r="C28" s="2677"/>
      <c r="D28" s="462">
        <v>100</v>
      </c>
      <c r="E28" s="2666"/>
      <c r="F28" s="462">
        <f>SUMIF(91:91,E28,92:92)-SUMIF(91:91,C28,92:92)+100</f>
        <v>100</v>
      </c>
      <c r="G28" s="2677"/>
      <c r="H28" s="462">
        <f>SUMIF(91:91,G28,92:92)-SUMIF(91:91,C28,92:92)+100</f>
        <v>100</v>
      </c>
      <c r="I28" s="2666"/>
      <c r="J28" s="462">
        <f>SUMIF(91:91,I28,92:92)-SUMIF(91:91,C28,92:92)+100</f>
        <v>100</v>
      </c>
      <c r="K28" s="612">
        <v>1</v>
      </c>
      <c r="L28" s="1135"/>
      <c r="M28" s="1136"/>
      <c r="N28" s="1136"/>
      <c r="O28" s="1136"/>
      <c r="P28" s="3244"/>
      <c r="Q28" s="1797" t="str">
        <f t="shared" si="11"/>
        <v>朝向</v>
      </c>
      <c r="R28" s="770" t="s">
        <v>17</v>
      </c>
      <c r="S28" s="771">
        <f>F28</f>
        <v>100</v>
      </c>
      <c r="T28" s="770" t="s">
        <v>17</v>
      </c>
      <c r="U28" s="771">
        <f>H28</f>
        <v>100</v>
      </c>
      <c r="V28" s="770" t="s">
        <v>17</v>
      </c>
      <c r="W28" s="771">
        <f>J28</f>
        <v>100</v>
      </c>
      <c r="X28" s="772"/>
      <c r="Y28" s="3237"/>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44"/>
      <c r="Q29" s="1812">
        <f t="shared" si="11"/>
        <v>111</v>
      </c>
      <c r="R29" s="774" t="s">
        <v>17</v>
      </c>
      <c r="S29" s="775">
        <f t="shared" ref="S29:S47" si="12">F29</f>
        <v>100</v>
      </c>
      <c r="T29" s="774" t="s">
        <v>17</v>
      </c>
      <c r="U29" s="775">
        <f t="shared" ref="U29:U47" si="13">H29</f>
        <v>100</v>
      </c>
      <c r="V29" s="774" t="s">
        <v>17</v>
      </c>
      <c r="W29" s="775">
        <f t="shared" ref="W29:W47" si="14">J29</f>
        <v>100</v>
      </c>
      <c r="X29" s="1815"/>
      <c r="Y29" s="3237"/>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237"/>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237"/>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44"/>
      <c r="Q32" s="1812">
        <f t="shared" si="11"/>
        <v>111</v>
      </c>
      <c r="R32" s="774" t="s">
        <v>17</v>
      </c>
      <c r="S32" s="775">
        <f t="shared" si="12"/>
        <v>100</v>
      </c>
      <c r="T32" s="774" t="s">
        <v>17</v>
      </c>
      <c r="U32" s="775">
        <f t="shared" si="13"/>
        <v>100</v>
      </c>
      <c r="V32" s="774" t="s">
        <v>17</v>
      </c>
      <c r="W32" s="775">
        <f t="shared" si="14"/>
        <v>100</v>
      </c>
      <c r="X32" s="1815"/>
      <c r="Y32" s="3237"/>
      <c r="Z32" s="1816">
        <f t="shared" si="15"/>
        <v>111</v>
      </c>
      <c r="AA32" s="1813">
        <f t="shared" si="3"/>
        <v>1</v>
      </c>
      <c r="AB32" s="1813">
        <f t="shared" si="4"/>
        <v>1</v>
      </c>
      <c r="AC32" s="2675">
        <f t="shared" si="5"/>
        <v>1</v>
      </c>
    </row>
    <row r="33" spans="1:29" ht="15">
      <c r="A33" s="440" t="s">
        <v>2567</v>
      </c>
      <c r="B33" s="71" t="s">
        <v>2697</v>
      </c>
      <c r="C33" s="2958" t="s">
        <v>3080</v>
      </c>
      <c r="D33" s="467">
        <v>100</v>
      </c>
      <c r="E33" s="2958" t="s">
        <v>3080</v>
      </c>
      <c r="F33" s="461">
        <f>SUMIF(101:101,E33,102:102)-SUMIF(101:101,C33,102:102)+100</f>
        <v>100</v>
      </c>
      <c r="G33" s="2958" t="s">
        <v>3080</v>
      </c>
      <c r="H33" s="435">
        <f>SUMIF(101:101,G33,102:102)-SUMIF(101:101,C33,102:102)+100</f>
        <v>100</v>
      </c>
      <c r="I33" s="2958" t="s">
        <v>3080</v>
      </c>
      <c r="J33" s="467">
        <f>SUMIF(101:101,I33,102:102)-SUMIF(101:101,C33,102:102)+100</f>
        <v>100</v>
      </c>
      <c r="K33" s="612">
        <v>1</v>
      </c>
      <c r="L33" s="1143"/>
      <c r="M33" s="1134"/>
      <c r="N33" s="1134"/>
      <c r="O33" s="1134"/>
      <c r="P33" s="3238" t="s">
        <v>2569</v>
      </c>
      <c r="Q33" s="1812" t="str">
        <f t="shared" si="11"/>
        <v>建筑类型</v>
      </c>
      <c r="R33" s="774" t="s">
        <v>17</v>
      </c>
      <c r="S33" s="775">
        <f t="shared" si="12"/>
        <v>100</v>
      </c>
      <c r="T33" s="774" t="s">
        <v>17</v>
      </c>
      <c r="U33" s="775">
        <f t="shared" si="13"/>
        <v>100</v>
      </c>
      <c r="V33" s="774" t="s">
        <v>17</v>
      </c>
      <c r="W33" s="775">
        <f t="shared" si="14"/>
        <v>100</v>
      </c>
      <c r="X33" s="1815"/>
      <c r="Y33" s="3241" t="s">
        <v>2569</v>
      </c>
      <c r="Z33" s="1816" t="str">
        <f t="shared" si="15"/>
        <v>建筑类型</v>
      </c>
      <c r="AA33" s="1813">
        <f t="shared" si="3"/>
        <v>1</v>
      </c>
      <c r="AB33" s="1813">
        <f t="shared" si="4"/>
        <v>1</v>
      </c>
      <c r="AC33" s="2675">
        <f t="shared" si="5"/>
        <v>1</v>
      </c>
    </row>
    <row r="34" spans="1:29" s="471" customFormat="1" ht="15">
      <c r="A34" s="468"/>
      <c r="B34" s="422" t="s">
        <v>2570</v>
      </c>
      <c r="C34" s="469">
        <f>SUM(Sheet2!E2:E10)</f>
        <v>1345.5100000000002</v>
      </c>
      <c r="D34" s="136">
        <v>100</v>
      </c>
      <c r="E34" s="430">
        <v>1000</v>
      </c>
      <c r="F34" s="425">
        <f>LOOKUP(E34,104:104,105:105)-LOOKUP(C34,104:104,105:105)+100</f>
        <v>102</v>
      </c>
      <c r="G34" s="429">
        <v>1222</v>
      </c>
      <c r="H34" s="136">
        <f>LOOKUP(G34,104:104,105:105)-LOOKUP(C34,104:104,105:105)+100</f>
        <v>100</v>
      </c>
      <c r="I34" s="429">
        <v>1200</v>
      </c>
      <c r="J34" s="136">
        <f>LOOKUP(I34,104:104,105:105)-LOOKUP(C34,104:104,105:105)+100</f>
        <v>100</v>
      </c>
      <c r="K34" s="613"/>
      <c r="L34" s="1141"/>
      <c r="M34" s="1144"/>
      <c r="N34" s="1144"/>
      <c r="O34" s="1144"/>
      <c r="P34" s="3239"/>
      <c r="Q34" s="776" t="str">
        <f t="shared" si="11"/>
        <v>项目建筑规模</v>
      </c>
      <c r="R34" s="777" t="s">
        <v>17</v>
      </c>
      <c r="S34" s="778">
        <f t="shared" si="12"/>
        <v>102</v>
      </c>
      <c r="T34" s="777" t="s">
        <v>17</v>
      </c>
      <c r="U34" s="778">
        <f t="shared" si="13"/>
        <v>100</v>
      </c>
      <c r="V34" s="777" t="s">
        <v>17</v>
      </c>
      <c r="W34" s="778">
        <f t="shared" si="14"/>
        <v>100</v>
      </c>
      <c r="X34" s="779"/>
      <c r="Y34" s="3241"/>
      <c r="Z34" s="780" t="str">
        <f t="shared" si="15"/>
        <v>项目建筑规模</v>
      </c>
      <c r="AA34" s="1813">
        <f t="shared" si="3"/>
        <v>0.98039215686274506</v>
      </c>
      <c r="AB34" s="1813">
        <f t="shared" si="4"/>
        <v>1</v>
      </c>
      <c r="AC34" s="2675">
        <f t="shared" si="5"/>
        <v>1</v>
      </c>
    </row>
    <row r="35" spans="1:29" ht="15">
      <c r="A35" s="472"/>
      <c r="B35" s="422" t="s">
        <v>2571</v>
      </c>
      <c r="C35" s="2959" t="s">
        <v>3081</v>
      </c>
      <c r="D35" s="435">
        <v>100</v>
      </c>
      <c r="E35" s="2959" t="s">
        <v>3081</v>
      </c>
      <c r="F35" s="461">
        <f>SUMIF(106:106,E35,107:107)-SUMIF(106:106,C35,107:107)+100</f>
        <v>100</v>
      </c>
      <c r="G35" s="2959" t="s">
        <v>3081</v>
      </c>
      <c r="H35" s="435">
        <f>SUMIF(106:106,G35,107:107)-SUMIF(106:106,C35,107:107)+100</f>
        <v>100</v>
      </c>
      <c r="I35" s="2959" t="s">
        <v>3081</v>
      </c>
      <c r="J35" s="435">
        <f>SUMIF(106:106,I35,107:107)-SUMIF(106:106,C35,107:107)+100</f>
        <v>100</v>
      </c>
      <c r="K35" s="612">
        <v>1</v>
      </c>
      <c r="L35" s="1143"/>
      <c r="M35" s="1134"/>
      <c r="N35" s="1134"/>
      <c r="O35" s="1134"/>
      <c r="P35" s="3239"/>
      <c r="Q35" s="1812" t="str">
        <f t="shared" si="11"/>
        <v>建筑结构</v>
      </c>
      <c r="R35" s="774" t="s">
        <v>17</v>
      </c>
      <c r="S35" s="775">
        <f t="shared" si="12"/>
        <v>100</v>
      </c>
      <c r="T35" s="774" t="s">
        <v>17</v>
      </c>
      <c r="U35" s="775">
        <f t="shared" si="13"/>
        <v>100</v>
      </c>
      <c r="V35" s="774" t="s">
        <v>17</v>
      </c>
      <c r="W35" s="775">
        <f t="shared" si="14"/>
        <v>100</v>
      </c>
      <c r="X35" s="1815"/>
      <c r="Y35" s="3241"/>
      <c r="Z35" s="1816" t="str">
        <f t="shared" si="15"/>
        <v>建筑结构</v>
      </c>
      <c r="AA35" s="1813">
        <f t="shared" si="3"/>
        <v>1</v>
      </c>
      <c r="AB35" s="1813">
        <f t="shared" si="4"/>
        <v>1</v>
      </c>
      <c r="AC35" s="2675">
        <f t="shared" si="5"/>
        <v>1</v>
      </c>
    </row>
    <row r="36" spans="1:29" ht="15">
      <c r="A36" s="472"/>
      <c r="B36" s="422" t="s">
        <v>2665</v>
      </c>
      <c r="C36" s="2959" t="s">
        <v>3082</v>
      </c>
      <c r="D36" s="435">
        <v>100</v>
      </c>
      <c r="E36" s="2959" t="s">
        <v>3082</v>
      </c>
      <c r="F36" s="461">
        <f>SUMIF(108:108,E36,109:109)-SUMIF(108:108,C36,109:109)+100</f>
        <v>100</v>
      </c>
      <c r="G36" s="2959" t="s">
        <v>3082</v>
      </c>
      <c r="H36" s="435">
        <f>SUMIF(108:108,G36,109:109)-SUMIF(108:108,C36,109:109)+100</f>
        <v>100</v>
      </c>
      <c r="I36" s="2959" t="s">
        <v>3082</v>
      </c>
      <c r="J36" s="435">
        <f>SUMIF(108:108,I36,109:109)-SUMIF(108:108,C36,109:109)+100</f>
        <v>100</v>
      </c>
      <c r="K36" s="612">
        <v>1</v>
      </c>
      <c r="L36" s="1143"/>
      <c r="M36" s="1134"/>
      <c r="N36" s="1134"/>
      <c r="O36" s="1134"/>
      <c r="P36" s="3239"/>
      <c r="Q36" s="1812" t="str">
        <f t="shared" si="11"/>
        <v>公共部分装修</v>
      </c>
      <c r="R36" s="774" t="s">
        <v>17</v>
      </c>
      <c r="S36" s="775">
        <f t="shared" si="12"/>
        <v>100</v>
      </c>
      <c r="T36" s="774" t="s">
        <v>17</v>
      </c>
      <c r="U36" s="775">
        <f t="shared" si="13"/>
        <v>100</v>
      </c>
      <c r="V36" s="774" t="s">
        <v>17</v>
      </c>
      <c r="W36" s="775">
        <f t="shared" si="14"/>
        <v>100</v>
      </c>
      <c r="X36" s="1815"/>
      <c r="Y36" s="3241"/>
      <c r="Z36" s="1816" t="str">
        <f t="shared" si="15"/>
        <v>公共部分装修</v>
      </c>
      <c r="AA36" s="1813">
        <f t="shared" si="3"/>
        <v>1</v>
      </c>
      <c r="AB36" s="1813">
        <f t="shared" si="4"/>
        <v>1</v>
      </c>
      <c r="AC36" s="2675">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39"/>
      <c r="Q37" s="1812" t="str">
        <f t="shared" si="11"/>
        <v>成新度</v>
      </c>
      <c r="R37" s="774" t="s">
        <v>17</v>
      </c>
      <c r="S37" s="775">
        <f t="shared" si="12"/>
        <v>100</v>
      </c>
      <c r="T37" s="774" t="s">
        <v>17</v>
      </c>
      <c r="U37" s="775">
        <f t="shared" si="13"/>
        <v>100</v>
      </c>
      <c r="V37" s="774" t="s">
        <v>17</v>
      </c>
      <c r="W37" s="775">
        <f t="shared" si="14"/>
        <v>100</v>
      </c>
      <c r="X37" s="1815"/>
      <c r="Y37" s="3241"/>
      <c r="Z37" s="1816" t="str">
        <f t="shared" si="15"/>
        <v>成新度</v>
      </c>
      <c r="AA37" s="1813">
        <f t="shared" si="3"/>
        <v>1</v>
      </c>
      <c r="AB37" s="1813">
        <f t="shared" si="4"/>
        <v>1</v>
      </c>
      <c r="AC37" s="2675">
        <f t="shared" si="5"/>
        <v>1</v>
      </c>
    </row>
    <row r="38" spans="1:29" s="117" customFormat="1" ht="15">
      <c r="A38" s="473"/>
      <c r="B38" s="422" t="s">
        <v>2698</v>
      </c>
      <c r="C38" s="2959" t="s">
        <v>3083</v>
      </c>
      <c r="D38" s="136">
        <v>100</v>
      </c>
      <c r="E38" s="2959" t="s">
        <v>3083</v>
      </c>
      <c r="F38" s="461">
        <f>SUMIF(113:113,E38,114:114)-SUMIF(113:113,C38,114:114)+100</f>
        <v>100</v>
      </c>
      <c r="G38" s="2959" t="s">
        <v>3083</v>
      </c>
      <c r="H38" s="435">
        <f>SUMIF(113:113,G38,114:114)-SUMIF(113:113,C38,114:114)+100</f>
        <v>100</v>
      </c>
      <c r="I38" s="2959" t="s">
        <v>3083</v>
      </c>
      <c r="J38" s="435">
        <f>SUMIF(113:113,I38,114:114)-SUMIF(113:113,C38,114:114)+100</f>
        <v>100</v>
      </c>
      <c r="K38" s="612">
        <v>1</v>
      </c>
      <c r="L38" s="1135"/>
      <c r="M38" s="1136"/>
      <c r="N38" s="1136"/>
      <c r="O38" s="1136"/>
      <c r="P38" s="3239"/>
      <c r="Q38" s="1797"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2">
        <f t="shared" si="5"/>
        <v>1</v>
      </c>
    </row>
    <row r="39" spans="1:29" ht="15">
      <c r="A39" s="472"/>
      <c r="B39" s="422" t="s">
        <v>2699</v>
      </c>
      <c r="C39" s="2959" t="s">
        <v>3084</v>
      </c>
      <c r="D39" s="435">
        <v>100</v>
      </c>
      <c r="E39" s="2959" t="s">
        <v>3084</v>
      </c>
      <c r="F39" s="461">
        <f>SUMIF(115:115,E39,116:116)-SUMIF(115:115,C39,116:116)+100</f>
        <v>100</v>
      </c>
      <c r="G39" s="2959" t="s">
        <v>3084</v>
      </c>
      <c r="H39" s="435">
        <f>SUMIF(115:115,G39,116:116)-SUMIF(115:115,C39,116:116)+100</f>
        <v>100</v>
      </c>
      <c r="I39" s="2959" t="s">
        <v>3084</v>
      </c>
      <c r="J39" s="435">
        <f>SUMIF(115:115,I39,116:116)-SUMIF(115:115,C39,116:116)+100</f>
        <v>100</v>
      </c>
      <c r="K39" s="612">
        <v>1</v>
      </c>
      <c r="L39" s="1143"/>
      <c r="M39" s="1134"/>
      <c r="N39" s="1134"/>
      <c r="O39" s="1134"/>
      <c r="P39" s="3239" t="s">
        <v>2569</v>
      </c>
      <c r="Q39" s="1812" t="str">
        <f t="shared" si="11"/>
        <v>物业管理</v>
      </c>
      <c r="R39" s="774" t="s">
        <v>17</v>
      </c>
      <c r="S39" s="775">
        <f t="shared" si="12"/>
        <v>100</v>
      </c>
      <c r="T39" s="774" t="s">
        <v>17</v>
      </c>
      <c r="U39" s="775">
        <f t="shared" si="13"/>
        <v>100</v>
      </c>
      <c r="V39" s="774" t="s">
        <v>17</v>
      </c>
      <c r="W39" s="775">
        <f t="shared" si="14"/>
        <v>100</v>
      </c>
      <c r="X39" s="1815"/>
      <c r="Y39" s="3241" t="s">
        <v>2569</v>
      </c>
      <c r="Z39" s="1816" t="str">
        <f t="shared" si="15"/>
        <v>物业管理</v>
      </c>
      <c r="AA39" s="1813">
        <f t="shared" si="3"/>
        <v>1</v>
      </c>
      <c r="AB39" s="1813">
        <f t="shared" si="4"/>
        <v>1</v>
      </c>
      <c r="AC39" s="2675">
        <f t="shared" si="5"/>
        <v>1</v>
      </c>
    </row>
    <row r="40" spans="1:29" ht="15">
      <c r="A40" s="472"/>
      <c r="B40" s="422" t="s">
        <v>2667</v>
      </c>
      <c r="C40" s="2959" t="s">
        <v>3079</v>
      </c>
      <c r="D40" s="435">
        <v>100</v>
      </c>
      <c r="E40" s="2959" t="s">
        <v>3079</v>
      </c>
      <c r="F40" s="461">
        <f>SUMIF(117:117,E40,118:118)-SUMIF(117:117,C40,118:118)+100</f>
        <v>100</v>
      </c>
      <c r="G40" s="2959" t="s">
        <v>3079</v>
      </c>
      <c r="H40" s="435">
        <f>SUMIF(117:117,G40,118:118)-SUMIF(117:117,C40,118:118)+100</f>
        <v>100</v>
      </c>
      <c r="I40" s="2959" t="s">
        <v>3079</v>
      </c>
      <c r="J40" s="435">
        <f>SUMIF(117:117,I40,118:118)-SUMIF(117:117,C40,118:118)+100</f>
        <v>100</v>
      </c>
      <c r="K40" s="612">
        <v>1</v>
      </c>
      <c r="L40" s="1143"/>
      <c r="M40" s="1134"/>
      <c r="N40" s="1134"/>
      <c r="O40" s="1134"/>
      <c r="P40" s="3239"/>
      <c r="Q40" s="1812" t="str">
        <f t="shared" si="11"/>
        <v>市政基础设施</v>
      </c>
      <c r="R40" s="774" t="s">
        <v>17</v>
      </c>
      <c r="S40" s="775">
        <f t="shared" si="12"/>
        <v>100</v>
      </c>
      <c r="T40" s="774" t="s">
        <v>17</v>
      </c>
      <c r="U40" s="775">
        <f t="shared" si="13"/>
        <v>100</v>
      </c>
      <c r="V40" s="774" t="s">
        <v>17</v>
      </c>
      <c r="W40" s="775">
        <f t="shared" si="14"/>
        <v>100</v>
      </c>
      <c r="X40" s="1815"/>
      <c r="Y40" s="3241"/>
      <c r="Z40" s="1816" t="str">
        <f t="shared" si="15"/>
        <v>市政基础设施</v>
      </c>
      <c r="AA40" s="1813">
        <f t="shared" si="3"/>
        <v>1</v>
      </c>
      <c r="AB40" s="1813">
        <f t="shared" si="4"/>
        <v>1</v>
      </c>
      <c r="AC40" s="2675">
        <f t="shared" si="5"/>
        <v>1</v>
      </c>
    </row>
    <row r="41" spans="1:29" ht="15">
      <c r="A41" s="472"/>
      <c r="B41" s="422" t="s">
        <v>2669</v>
      </c>
      <c r="C41" s="2960" t="s">
        <v>3085</v>
      </c>
      <c r="D41" s="435">
        <v>100</v>
      </c>
      <c r="E41" s="2960" t="s">
        <v>3087</v>
      </c>
      <c r="F41" s="461">
        <f>SUMIF(119:119,E41,120:120)-SUMIF(119:119,C41,120:120)+100</f>
        <v>101</v>
      </c>
      <c r="G41" s="2960" t="s">
        <v>3086</v>
      </c>
      <c r="H41" s="435">
        <f>SUMIF(119:119,G41,120:120)-SUMIF(119:119,C41,120:120)+100</f>
        <v>100</v>
      </c>
      <c r="I41" s="2960" t="s">
        <v>3086</v>
      </c>
      <c r="J41" s="435">
        <f>SUMIF(119:119,I41,120:120)-SUMIF(119:119,C41,120:120)+100</f>
        <v>100</v>
      </c>
      <c r="K41" s="612">
        <v>1</v>
      </c>
      <c r="L41" s="1143"/>
      <c r="M41" s="1134"/>
      <c r="N41" s="1134"/>
      <c r="O41" s="1134"/>
      <c r="P41" s="3239"/>
      <c r="Q41" s="1812" t="str">
        <f t="shared" si="11"/>
        <v>层高</v>
      </c>
      <c r="R41" s="774" t="s">
        <v>17</v>
      </c>
      <c r="S41" s="775">
        <f t="shared" si="12"/>
        <v>101</v>
      </c>
      <c r="T41" s="774" t="s">
        <v>17</v>
      </c>
      <c r="U41" s="775">
        <f t="shared" si="13"/>
        <v>100</v>
      </c>
      <c r="V41" s="774" t="s">
        <v>17</v>
      </c>
      <c r="W41" s="775">
        <f t="shared" si="14"/>
        <v>100</v>
      </c>
      <c r="X41" s="1815"/>
      <c r="Y41" s="3241"/>
      <c r="Z41" s="1816" t="str">
        <f t="shared" si="15"/>
        <v>层高</v>
      </c>
      <c r="AA41" s="1813">
        <f t="shared" si="3"/>
        <v>0.99009900990099009</v>
      </c>
      <c r="AB41" s="1813">
        <f t="shared" si="4"/>
        <v>1</v>
      </c>
      <c r="AC41" s="2675">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3">
        <f t="shared" si="3"/>
        <v>1</v>
      </c>
      <c r="AB42" s="1813">
        <f t="shared" si="4"/>
        <v>1</v>
      </c>
      <c r="AC42" s="2675">
        <f t="shared" si="5"/>
        <v>1</v>
      </c>
    </row>
    <row r="43" spans="1:29" ht="15">
      <c r="A43" s="472"/>
      <c r="B43" s="422" t="s">
        <v>2672</v>
      </c>
      <c r="C43" s="2959" t="s">
        <v>3088</v>
      </c>
      <c r="D43" s="435">
        <v>100</v>
      </c>
      <c r="E43" s="2959" t="s">
        <v>3088</v>
      </c>
      <c r="F43" s="461">
        <f>SUMIF(123:123,E43,124:124)-SUMIF(123:123,C43,124:124)+100</f>
        <v>100</v>
      </c>
      <c r="G43" s="2959" t="s">
        <v>3088</v>
      </c>
      <c r="H43" s="435">
        <f>SUMIF(123:123,G43,124:124)-SUMIF(123:123,C43,124:124)+100</f>
        <v>100</v>
      </c>
      <c r="I43" s="2959" t="s">
        <v>3088</v>
      </c>
      <c r="J43" s="435">
        <f>SUMIF(123:123,I43,124:124)-SUMIF(123:123,C43,124:124)+100</f>
        <v>100</v>
      </c>
      <c r="K43" s="612">
        <v>1</v>
      </c>
      <c r="L43" s="1143"/>
      <c r="M43" s="1134"/>
      <c r="N43" s="1134"/>
      <c r="O43" s="1134"/>
      <c r="P43" s="3239"/>
      <c r="Q43" s="1812" t="str">
        <f t="shared" si="11"/>
        <v>内部装修</v>
      </c>
      <c r="R43" s="774" t="s">
        <v>17</v>
      </c>
      <c r="S43" s="775">
        <f t="shared" si="12"/>
        <v>100</v>
      </c>
      <c r="T43" s="774" t="s">
        <v>17</v>
      </c>
      <c r="U43" s="775">
        <f t="shared" si="13"/>
        <v>100</v>
      </c>
      <c r="V43" s="774" t="s">
        <v>17</v>
      </c>
      <c r="W43" s="775">
        <f t="shared" si="14"/>
        <v>100</v>
      </c>
      <c r="X43" s="1815"/>
      <c r="Y43" s="3241"/>
      <c r="Z43" s="1816" t="str">
        <f t="shared" si="15"/>
        <v>内部装修</v>
      </c>
      <c r="AA43" s="1813">
        <f t="shared" si="3"/>
        <v>1</v>
      </c>
      <c r="AB43" s="1813">
        <f t="shared" si="4"/>
        <v>1</v>
      </c>
      <c r="AC43" s="2675">
        <f t="shared" si="5"/>
        <v>1</v>
      </c>
    </row>
    <row r="44" spans="1:29" ht="15">
      <c r="A44" s="472"/>
      <c r="B44" s="422" t="s">
        <v>2580</v>
      </c>
      <c r="C44" s="2959" t="s">
        <v>3073</v>
      </c>
      <c r="D44" s="435">
        <v>100</v>
      </c>
      <c r="E44" s="2961" t="s">
        <v>3073</v>
      </c>
      <c r="F44" s="461">
        <f>SUMIF(125:125,E44,126:126)-SUMIF(125:125,C44,126:126)+100</f>
        <v>100</v>
      </c>
      <c r="G44" s="2961" t="s">
        <v>3073</v>
      </c>
      <c r="H44" s="435">
        <f>SUMIF(125:125,G44,126:126)-SUMIF(125:125,C44,126:126)+100</f>
        <v>100</v>
      </c>
      <c r="I44" s="2961" t="s">
        <v>3073</v>
      </c>
      <c r="J44" s="435">
        <f>SUMIF(125:125,I44,126:126)-SUMIF(125:125,C44,126:126)+100</f>
        <v>100</v>
      </c>
      <c r="K44" s="612">
        <v>1</v>
      </c>
      <c r="L44" s="1143"/>
      <c r="M44" s="1134"/>
      <c r="N44" s="1134"/>
      <c r="O44" s="1134"/>
      <c r="P44" s="3239"/>
      <c r="Q44" s="1812" t="str">
        <f t="shared" si="11"/>
        <v>内部装修维护情况</v>
      </c>
      <c r="R44" s="774" t="s">
        <v>17</v>
      </c>
      <c r="S44" s="775">
        <f t="shared" si="12"/>
        <v>100</v>
      </c>
      <c r="T44" s="774" t="s">
        <v>17</v>
      </c>
      <c r="U44" s="775">
        <f t="shared" si="13"/>
        <v>100</v>
      </c>
      <c r="V44" s="774" t="s">
        <v>17</v>
      </c>
      <c r="W44" s="775">
        <f t="shared" si="14"/>
        <v>100</v>
      </c>
      <c r="X44" s="1815"/>
      <c r="Y44" s="3241"/>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7">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2">
        <f t="shared" si="11"/>
        <v>111</v>
      </c>
      <c r="R46" s="774" t="s">
        <v>17</v>
      </c>
      <c r="S46" s="775">
        <f t="shared" si="12"/>
        <v>100</v>
      </c>
      <c r="T46" s="774" t="s">
        <v>17</v>
      </c>
      <c r="U46" s="775">
        <f t="shared" si="13"/>
        <v>100</v>
      </c>
      <c r="V46" s="774" t="s">
        <v>17</v>
      </c>
      <c r="W46" s="775">
        <f t="shared" si="14"/>
        <v>100</v>
      </c>
      <c r="X46" s="1815"/>
      <c r="Y46" s="3241"/>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2">
        <f t="shared" si="11"/>
        <v>111</v>
      </c>
      <c r="R47" s="774" t="s">
        <v>17</v>
      </c>
      <c r="S47" s="775">
        <f t="shared" si="12"/>
        <v>100</v>
      </c>
      <c r="T47" s="774" t="s">
        <v>17</v>
      </c>
      <c r="U47" s="775">
        <f t="shared" si="13"/>
        <v>100</v>
      </c>
      <c r="V47" s="774" t="s">
        <v>17</v>
      </c>
      <c r="W47" s="775">
        <f t="shared" si="14"/>
        <v>100</v>
      </c>
      <c r="X47" s="1815"/>
      <c r="Y47" s="3242"/>
      <c r="Z47" s="1816">
        <f t="shared" si="15"/>
        <v>111</v>
      </c>
      <c r="AA47" s="1813">
        <f t="shared" si="3"/>
        <v>1</v>
      </c>
      <c r="AB47" s="1813">
        <f t="shared" si="4"/>
        <v>1</v>
      </c>
      <c r="AC47" s="2675">
        <f t="shared" si="5"/>
        <v>1</v>
      </c>
    </row>
    <row r="48" spans="1:29" ht="15">
      <c r="A48" s="479" t="s">
        <v>2581</v>
      </c>
      <c r="B48" s="480"/>
      <c r="C48" s="1409" t="s">
        <v>1</v>
      </c>
      <c r="D48" s="1410"/>
      <c r="E48" s="1411">
        <v>18500</v>
      </c>
      <c r="F48" s="1412"/>
      <c r="G48" s="1413">
        <v>19500</v>
      </c>
      <c r="H48" s="1414"/>
      <c r="I48" s="1411">
        <v>18000</v>
      </c>
      <c r="J48" s="485"/>
      <c r="K48" s="783"/>
      <c r="L48" s="1146"/>
      <c r="M48" s="1134"/>
      <c r="N48" s="1134"/>
      <c r="O48" s="1134"/>
      <c r="P48" s="3216" t="str">
        <f>A48</f>
        <v>成交单价（元/平方米）</v>
      </c>
      <c r="Q48" s="3234"/>
      <c r="R48" s="3235">
        <f>E48</f>
        <v>18500</v>
      </c>
      <c r="S48" s="3235"/>
      <c r="T48" s="3235">
        <f>G48</f>
        <v>19500</v>
      </c>
      <c r="U48" s="3235"/>
      <c r="V48" s="3235">
        <f>I48</f>
        <v>18000</v>
      </c>
      <c r="W48" s="3235"/>
      <c r="X48" s="446"/>
      <c r="Y48" s="781"/>
      <c r="Z48" s="446"/>
      <c r="AA48" s="446"/>
      <c r="AB48" s="446"/>
      <c r="AC48" s="630"/>
    </row>
    <row r="49" spans="1:29" ht="15.75" thickBot="1">
      <c r="A49" s="486" t="s">
        <v>2673</v>
      </c>
      <c r="B49" s="487"/>
      <c r="C49" s="1415">
        <f>R50</f>
        <v>18889</v>
      </c>
      <c r="D49" s="1416"/>
      <c r="E49" s="1417">
        <f>R49</f>
        <v>18349</v>
      </c>
      <c r="F49" s="1417"/>
      <c r="G49" s="1415">
        <f>T49</f>
        <v>19925</v>
      </c>
      <c r="H49" s="1416"/>
      <c r="I49" s="1417">
        <f>V49</f>
        <v>18392</v>
      </c>
      <c r="J49" s="489"/>
      <c r="K49" s="784"/>
      <c r="L49" s="1146"/>
      <c r="M49" s="1134"/>
      <c r="N49" s="1134"/>
      <c r="O49" s="1134"/>
      <c r="P49" s="3216" t="str">
        <f>A49</f>
        <v>比较价值（元/平方米）</v>
      </c>
      <c r="Q49" s="3234"/>
      <c r="R49" s="3235">
        <f>IF(F1="售价",ROUND(PRODUCT(R48,AA7:AA47),0),ROUND(PRODUCT(R48,AA7:AA47),1))</f>
        <v>18349</v>
      </c>
      <c r="S49" s="3235"/>
      <c r="T49" s="3235">
        <f>IF(F1="售价",ROUND(PRODUCT(T48,AB7:AB47),0),ROUND(PRODUCT(T48,AB7:AB47),1))</f>
        <v>19925</v>
      </c>
      <c r="U49" s="3235"/>
      <c r="V49" s="3235">
        <f>IF(F1="售价",ROUND(PRODUCT(V48,AC7:AC47),0),ROUND(PRODUCT(V48,AC7:AC47),1))</f>
        <v>18392</v>
      </c>
      <c r="W49" s="3235"/>
      <c r="X49" s="446"/>
      <c r="Y49" s="446"/>
      <c r="Z49" s="446"/>
      <c r="AA49" s="446"/>
      <c r="AB49" s="446"/>
      <c r="AC49" s="630"/>
    </row>
    <row r="50" spans="1:29" ht="15.75" thickBot="1">
      <c r="A50" s="492" t="s">
        <v>2674</v>
      </c>
      <c r="B50" s="493"/>
      <c r="C50" s="1419">
        <f>R50</f>
        <v>18889</v>
      </c>
      <c r="D50" s="1419"/>
      <c r="E50" s="1419"/>
      <c r="F50" s="1419"/>
      <c r="G50" s="1419"/>
      <c r="H50" s="1419"/>
      <c r="I50" s="1419"/>
      <c r="J50" s="494"/>
      <c r="K50" s="785"/>
      <c r="L50" s="1146"/>
      <c r="M50" s="1134"/>
      <c r="N50" s="1134"/>
      <c r="O50" s="1134"/>
      <c r="P50" s="3259" t="str">
        <f>A50</f>
        <v>估价对象XX用房的比较价值（楼面单价，元/平方米）</v>
      </c>
      <c r="Q50" s="3260"/>
      <c r="R50" s="3261">
        <f>IF(F1="售价",ROUND(AVERAGE(R49:V49),0),ROUND(AVERAGE(R49:V49),1))</f>
        <v>18889</v>
      </c>
      <c r="S50" s="3261"/>
      <c r="T50" s="3261"/>
      <c r="U50" s="3261"/>
      <c r="V50" s="3261"/>
      <c r="W50" s="3261"/>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8.2293312987082867E-3</v>
      </c>
      <c r="F53" s="500" t="str">
        <f>IF(OR(E53&gt;=0.3,E53&lt;=-0.3),"超过30%","")</f>
        <v/>
      </c>
      <c r="G53" s="499">
        <f>IF(G48&lt;G49,G49/G48-1,G48/G49-1)</f>
        <v>2.1794871794871717E-2</v>
      </c>
      <c r="H53" s="500" t="str">
        <f>IF(OR(G53&gt;=0.3,G53&lt;=-0.3),"超过30%","")</f>
        <v/>
      </c>
      <c r="I53" s="499">
        <f>IF(I48&lt;I49,I49/I48-1,I48/I49-1)</f>
        <v>2.1777777777777674E-2</v>
      </c>
      <c r="J53" s="500" t="str">
        <f>IF(OR(I53&gt;=0.3,I53&lt;=-0.3),"超过30%","")</f>
        <v/>
      </c>
      <c r="K53" s="1108"/>
      <c r="L53" s="1109"/>
      <c r="M53" s="1147"/>
      <c r="N53" s="1147"/>
      <c r="O53" s="1147"/>
    </row>
    <row r="54" spans="1:29" ht="13.5" customHeight="1">
      <c r="A54" s="1147"/>
      <c r="B54" s="1147"/>
      <c r="C54" s="497" t="s">
        <v>2676</v>
      </c>
      <c r="D54" s="501"/>
      <c r="E54" s="499">
        <f>IF(E49&lt;G49,G49/E49-1,E49/G49-1)</f>
        <v>8.5890239250095313E-2</v>
      </c>
      <c r="F54" s="500" t="str">
        <f>IF(OR(E54&gt;=0.2,E54&lt;=-0.2),"超过20%","")</f>
        <v/>
      </c>
      <c r="G54" s="499">
        <f>IF(G49&lt;I49,I49/G49-1,G49/I49-1)</f>
        <v>8.3351457155284914E-2</v>
      </c>
      <c r="H54" s="500" t="str">
        <f>IF(OR(G54&gt;=0.2,G54&lt;=-0.2),"超过20%","")</f>
        <v/>
      </c>
      <c r="I54" s="499">
        <f>IF(I49&lt;E49,E49/I49-1,I49/E49-1)</f>
        <v>2.3434519592349101E-3</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5.4054054054053946E-2</v>
      </c>
      <c r="F55" s="500" t="str">
        <f>IF(OR(E55&gt;=0.3,E55&lt;=-0.3),"超过30%","")</f>
        <v/>
      </c>
      <c r="G55" s="499">
        <f>IF(G48&lt;I48,I48/G48-1,G48/I48-1)</f>
        <v>8.3333333333333259E-2</v>
      </c>
      <c r="H55" s="500" t="str">
        <f>IF(OR(G55&gt;=0.3,G55&lt;=-0.3),"超过30%","")</f>
        <v/>
      </c>
      <c r="I55" s="499">
        <f>IF(I48&lt;E48,E48/I48-1,I48/E48-1)</f>
        <v>2.7777777777777679E-2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1"/>
      <c r="Q58" s="504"/>
    </row>
    <row r="59" spans="1:29" s="508" customFormat="1" ht="15">
      <c r="A59" s="505" t="s">
        <v>2552</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2589</v>
      </c>
      <c r="B61" s="516"/>
      <c r="C61" s="517"/>
      <c r="D61" s="518"/>
      <c r="E61" s="518"/>
      <c r="F61" s="518"/>
      <c r="G61" s="518"/>
      <c r="H61" s="518"/>
      <c r="I61" s="518"/>
      <c r="J61" s="518"/>
      <c r="K61" s="518"/>
      <c r="L61" s="518"/>
      <c r="M61" s="519"/>
      <c r="N61" s="518"/>
      <c r="O61" s="519"/>
      <c r="P61" s="2682"/>
      <c r="Q61" s="504"/>
    </row>
    <row r="62" spans="1:29" s="117" customFormat="1" ht="15">
      <c r="A62" s="521" t="s">
        <v>2554</v>
      </c>
      <c r="B62" s="510"/>
      <c r="C62" s="522" t="s">
        <v>2656</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2592</v>
      </c>
      <c r="B64" s="528" t="s">
        <v>2558</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4"/>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4"/>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4"/>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4"/>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6"/>
      <c r="O83" s="1156"/>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4"/>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4"/>
      <c r="Q86" s="504"/>
    </row>
    <row r="87" spans="1:17" s="117" customFormat="1" ht="27.75" thickTop="1">
      <c r="A87" s="579"/>
      <c r="B87" s="538" t="s">
        <v>2703</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4"/>
      <c r="Q88" s="504"/>
    </row>
    <row r="89" spans="1:17" s="117" customFormat="1" ht="15.75" thickTop="1">
      <c r="A89" s="579"/>
      <c r="B89" s="538" t="str">
        <f>B27</f>
        <v>楼层</v>
      </c>
      <c r="C89" s="2963" t="s">
        <v>3093</v>
      </c>
      <c r="D89" s="2963" t="s">
        <v>3091</v>
      </c>
      <c r="E89" s="2963" t="s">
        <v>3092</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2567</v>
      </c>
      <c r="B101" s="528" t="s">
        <v>2616</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4"/>
      <c r="Q102" s="504"/>
    </row>
    <row r="103" spans="1:17" ht="29.25" thickTop="1">
      <c r="A103" s="534"/>
      <c r="B103" s="538" t="s">
        <v>2617</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94</v>
      </c>
      <c r="D105" s="536">
        <v>96</v>
      </c>
      <c r="E105" s="536">
        <v>98</v>
      </c>
      <c r="F105" s="536">
        <v>100</v>
      </c>
      <c r="G105" s="536">
        <v>98</v>
      </c>
      <c r="H105" s="536">
        <v>96</v>
      </c>
      <c r="I105" s="536">
        <v>94</v>
      </c>
      <c r="J105" s="536">
        <v>92</v>
      </c>
      <c r="K105" s="536">
        <v>90</v>
      </c>
      <c r="L105" s="536"/>
      <c r="M105" s="537"/>
      <c r="N105" s="1156"/>
      <c r="O105" s="1156"/>
      <c r="P105" s="2685"/>
      <c r="Q105" s="559"/>
    </row>
    <row r="106" spans="1:17" ht="15" thickTop="1">
      <c r="A106" s="599"/>
      <c r="B106" s="538" t="s">
        <v>2618</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4"/>
      <c r="Q107" s="504"/>
    </row>
    <row r="108" spans="1:17" ht="15" thickTop="1">
      <c r="A108" s="599"/>
      <c r="B108" s="538" t="s">
        <v>2620</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4"/>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5"/>
      <c r="Q114" s="559"/>
    </row>
    <row r="115" spans="1:17" ht="15" thickTop="1">
      <c r="A115" s="599"/>
      <c r="B115" s="538" t="s">
        <v>2621</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4"/>
      <c r="Q116" s="504"/>
    </row>
    <row r="117" spans="1:17" ht="15" thickTop="1">
      <c r="A117" s="599"/>
      <c r="B117" s="538" t="s">
        <v>2622</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4"/>
      <c r="Q118" s="504"/>
    </row>
    <row r="119" spans="1:17" ht="15" thickTop="1">
      <c r="A119" s="599"/>
      <c r="B119" s="636" t="s">
        <v>2705</v>
      </c>
      <c r="C119" s="2973" t="s">
        <v>3117</v>
      </c>
      <c r="D119" s="2973" t="s">
        <v>3118</v>
      </c>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4"/>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2624</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4"/>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2706</v>
      </c>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87"/>
      <c r="D2" s="112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107.51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04" t="s">
        <v>2651</v>
      </c>
      <c r="S4" s="3205"/>
      <c r="T4" s="3204" t="s">
        <v>2652</v>
      </c>
      <c r="U4" s="3205"/>
      <c r="V4" s="3229" t="s">
        <v>2653</v>
      </c>
      <c r="W4" s="3229"/>
      <c r="X4" s="1815"/>
      <c r="Y4" s="3204" t="s">
        <v>2655</v>
      </c>
      <c r="Z4" s="3205"/>
      <c r="AA4" s="3199" t="s">
        <v>2651</v>
      </c>
      <c r="AB4" s="3200" t="s">
        <v>2652</v>
      </c>
      <c r="AC4" s="3199" t="s">
        <v>2653</v>
      </c>
    </row>
    <row r="5" spans="1:29" ht="15">
      <c r="A5" s="404"/>
      <c r="B5" s="405"/>
      <c r="C5" s="3210" t="s">
        <v>2546</v>
      </c>
      <c r="D5" s="3211"/>
      <c r="E5" s="3208" t="s">
        <v>2547</v>
      </c>
      <c r="F5" s="3209"/>
      <c r="G5" s="3210" t="s">
        <v>2548</v>
      </c>
      <c r="H5" s="3211"/>
      <c r="I5" s="3210" t="s">
        <v>2549</v>
      </c>
      <c r="J5" s="3211"/>
      <c r="K5" s="610"/>
      <c r="L5" s="1133"/>
      <c r="M5" s="1134"/>
      <c r="N5" s="1134"/>
      <c r="O5" s="1134"/>
      <c r="P5" s="3223"/>
      <c r="Q5" s="3224"/>
      <c r="R5" s="3206"/>
      <c r="S5" s="3207"/>
      <c r="T5" s="3206"/>
      <c r="U5" s="3207"/>
      <c r="V5" s="3229"/>
      <c r="W5" s="3229"/>
      <c r="X5" s="1815"/>
      <c r="Y5" s="3206"/>
      <c r="Z5" s="3207"/>
      <c r="AA5" s="3200"/>
      <c r="AB5" s="3200"/>
      <c r="AC5" s="3200"/>
    </row>
    <row r="6" spans="1:29" ht="15.75" thickBot="1">
      <c r="A6" s="406"/>
      <c r="B6" s="407"/>
      <c r="C6" s="3212" t="s">
        <v>2550</v>
      </c>
      <c r="D6" s="3213"/>
      <c r="E6" s="3214" t="s">
        <v>2550</v>
      </c>
      <c r="F6" s="3215"/>
      <c r="G6" s="3212" t="s">
        <v>2550</v>
      </c>
      <c r="H6" s="3213"/>
      <c r="I6" s="3212" t="s">
        <v>2550</v>
      </c>
      <c r="J6" s="3213"/>
      <c r="K6" s="610" t="s">
        <v>2551</v>
      </c>
      <c r="L6" s="1133"/>
      <c r="M6" s="1134"/>
      <c r="N6" s="1134"/>
      <c r="O6" s="1134"/>
      <c r="P6" s="3225"/>
      <c r="Q6" s="3226"/>
      <c r="R6" s="3206"/>
      <c r="S6" s="3207"/>
      <c r="T6" s="3227"/>
      <c r="U6" s="3228"/>
      <c r="V6" s="3229"/>
      <c r="W6" s="3229"/>
      <c r="X6" s="1815"/>
      <c r="Y6" s="3227"/>
      <c r="Z6" s="3228"/>
      <c r="AA6" s="3201"/>
      <c r="AB6" s="3201"/>
      <c r="AC6" s="3201"/>
    </row>
    <row r="7" spans="1:29" s="117" customFormat="1" ht="15.75" thickBot="1">
      <c r="A7" s="408" t="s">
        <v>2552</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2553</v>
      </c>
      <c r="Q7" s="3230"/>
      <c r="R7" s="770" t="s">
        <v>17</v>
      </c>
      <c r="S7" s="771">
        <f t="shared" ref="S7:S15" si="0">F7</f>
        <v>0</v>
      </c>
      <c r="T7" s="770" t="s">
        <v>17</v>
      </c>
      <c r="U7" s="771">
        <f t="shared" ref="U7:U15" si="1">H7</f>
        <v>0</v>
      </c>
      <c r="V7" s="770" t="s">
        <v>17</v>
      </c>
      <c r="W7" s="771">
        <f t="shared" ref="W7:W15" si="2">J7</f>
        <v>0</v>
      </c>
      <c r="X7" s="772"/>
      <c r="Y7" s="3202" t="s">
        <v>2553</v>
      </c>
      <c r="Z7" s="3203"/>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2556</v>
      </c>
      <c r="Q8" s="3203"/>
      <c r="R8" s="770" t="s">
        <v>17</v>
      </c>
      <c r="S8" s="771">
        <f t="shared" si="0"/>
        <v>0</v>
      </c>
      <c r="T8" s="770" t="s">
        <v>17</v>
      </c>
      <c r="U8" s="771">
        <f t="shared" si="1"/>
        <v>0</v>
      </c>
      <c r="V8" s="770" t="s">
        <v>17</v>
      </c>
      <c r="W8" s="771">
        <f t="shared" si="2"/>
        <v>0</v>
      </c>
      <c r="X8" s="772"/>
      <c r="Y8" s="3202" t="s">
        <v>2556</v>
      </c>
      <c r="Z8" s="3203"/>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4" t="s">
        <v>2559</v>
      </c>
      <c r="Q9" s="1797" t="str">
        <f t="shared" ref="Q9:Q15" si="6">B9</f>
        <v>用途</v>
      </c>
      <c r="R9" s="770" t="s">
        <v>17</v>
      </c>
      <c r="S9" s="771">
        <f t="shared" si="0"/>
        <v>100</v>
      </c>
      <c r="T9" s="770" t="s">
        <v>17</v>
      </c>
      <c r="U9" s="771">
        <f t="shared" si="1"/>
        <v>100</v>
      </c>
      <c r="V9" s="770" t="s">
        <v>17</v>
      </c>
      <c r="W9" s="771">
        <f t="shared" si="2"/>
        <v>100</v>
      </c>
      <c r="X9" s="772"/>
      <c r="Y9" s="304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7"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7"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34"/>
      <c r="Q12" s="1797">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34"/>
      <c r="Q13" s="1797">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34"/>
      <c r="Q14" s="1797">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2563</v>
      </c>
      <c r="B15" s="69" t="s">
        <v>2707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6" t="s">
        <v>2564</v>
      </c>
      <c r="Q15" s="1812" t="str">
        <f t="shared" si="6"/>
        <v>产业集聚程度</v>
      </c>
      <c r="R15" s="774" t="s">
        <v>17</v>
      </c>
      <c r="S15" s="775">
        <f t="shared" si="0"/>
        <v>100</v>
      </c>
      <c r="T15" s="774" t="s">
        <v>17</v>
      </c>
      <c r="U15" s="775">
        <f t="shared" si="1"/>
        <v>100</v>
      </c>
      <c r="V15" s="774" t="s">
        <v>17</v>
      </c>
      <c r="W15" s="775">
        <f t="shared" si="2"/>
        <v>100</v>
      </c>
      <c r="X15" s="1815"/>
      <c r="Y15" s="3236"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7"/>
      <c r="Q16" s="1812"/>
      <c r="R16" s="774"/>
      <c r="S16" s="775"/>
      <c r="T16" s="774"/>
      <c r="U16" s="775"/>
      <c r="V16" s="774"/>
      <c r="W16" s="775"/>
      <c r="X16" s="1815"/>
      <c r="Y16" s="3237"/>
      <c r="Z16" s="1816"/>
      <c r="AA16" s="1813">
        <v>1</v>
      </c>
      <c r="AB16" s="1813">
        <v>1</v>
      </c>
      <c r="AC16" s="1813">
        <v>1</v>
      </c>
    </row>
    <row r="17" spans="1:29" ht="85.5">
      <c r="A17" s="428"/>
      <c r="B17" s="451" t="s">
        <v>2100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7"/>
      <c r="Q17" s="1812" t="str">
        <f>B17</f>
        <v>交通便捷度</v>
      </c>
      <c r="R17" s="774" t="s">
        <v>17</v>
      </c>
      <c r="S17" s="775">
        <f>F17</f>
        <v>100</v>
      </c>
      <c r="T17" s="774" t="s">
        <v>17</v>
      </c>
      <c r="U17" s="775">
        <f>H17</f>
        <v>100</v>
      </c>
      <c r="V17" s="774" t="s">
        <v>17</v>
      </c>
      <c r="W17" s="775">
        <f>J17</f>
        <v>100</v>
      </c>
      <c r="X17" s="1815"/>
      <c r="Y17" s="323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37"/>
      <c r="Q18" s="1812"/>
      <c r="R18" s="774"/>
      <c r="S18" s="775"/>
      <c r="T18" s="774"/>
      <c r="U18" s="775"/>
      <c r="V18" s="774"/>
      <c r="W18" s="775"/>
      <c r="X18" s="1815"/>
      <c r="Y18" s="3237"/>
      <c r="Z18" s="1816"/>
      <c r="AA18" s="1813">
        <v>1</v>
      </c>
      <c r="AB18" s="1813">
        <v>1</v>
      </c>
      <c r="AC18" s="1813">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7"/>
      <c r="Q19" s="1812" t="str">
        <f>B19</f>
        <v>公共配套设施</v>
      </c>
      <c r="R19" s="774" t="s">
        <v>17</v>
      </c>
      <c r="S19" s="775">
        <f>F19</f>
        <v>100</v>
      </c>
      <c r="T19" s="774" t="s">
        <v>17</v>
      </c>
      <c r="U19" s="775">
        <f>H19</f>
        <v>100</v>
      </c>
      <c r="V19" s="774" t="s">
        <v>17</v>
      </c>
      <c r="W19" s="775">
        <f>J19</f>
        <v>100</v>
      </c>
      <c r="X19" s="1815"/>
      <c r="Y19" s="323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37"/>
      <c r="Q20" s="1812"/>
      <c r="R20" s="774"/>
      <c r="S20" s="775"/>
      <c r="T20" s="774"/>
      <c r="U20" s="775"/>
      <c r="V20" s="774"/>
      <c r="W20" s="775"/>
      <c r="X20" s="1815"/>
      <c r="Y20" s="3237"/>
      <c r="Z20" s="1816"/>
      <c r="AA20" s="1813">
        <v>1</v>
      </c>
      <c r="AB20" s="1813">
        <v>1</v>
      </c>
      <c r="AC20" s="1813">
        <v>1</v>
      </c>
    </row>
    <row r="21" spans="1:29" ht="28.5">
      <c r="A21" s="428"/>
      <c r="B21" s="1386"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7"/>
      <c r="Q21" s="1812" t="str">
        <f>B21</f>
        <v>基础设施水平</v>
      </c>
      <c r="R21" s="774" t="s">
        <v>17</v>
      </c>
      <c r="S21" s="775">
        <f>F21</f>
        <v>100</v>
      </c>
      <c r="T21" s="774" t="s">
        <v>17</v>
      </c>
      <c r="U21" s="775">
        <f>H21</f>
        <v>100</v>
      </c>
      <c r="V21" s="774" t="s">
        <v>17</v>
      </c>
      <c r="W21" s="775">
        <f>J21</f>
        <v>100</v>
      </c>
      <c r="X21" s="1815"/>
      <c r="Y21" s="323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237"/>
      <c r="Q22" s="1812"/>
      <c r="R22" s="774"/>
      <c r="S22" s="775"/>
      <c r="T22" s="774"/>
      <c r="U22" s="775"/>
      <c r="V22" s="774"/>
      <c r="W22" s="775"/>
      <c r="X22" s="1815"/>
      <c r="Y22" s="3237"/>
      <c r="Z22" s="1816"/>
      <c r="AA22" s="1813">
        <v>1</v>
      </c>
      <c r="AB22" s="1813">
        <v>1</v>
      </c>
      <c r="AC22" s="1813">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7"/>
      <c r="Q23" s="1812" t="str">
        <f>B23</f>
        <v>环境质量</v>
      </c>
      <c r="R23" s="774" t="s">
        <v>17</v>
      </c>
      <c r="S23" s="775">
        <f>F23</f>
        <v>100</v>
      </c>
      <c r="T23" s="774" t="s">
        <v>17</v>
      </c>
      <c r="U23" s="775">
        <f>H23</f>
        <v>100</v>
      </c>
      <c r="V23" s="774" t="s">
        <v>17</v>
      </c>
      <c r="W23" s="775">
        <f>J23</f>
        <v>100</v>
      </c>
      <c r="X23" s="1815"/>
      <c r="Y23" s="3237"/>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237"/>
      <c r="Q24" s="1812"/>
      <c r="R24" s="774"/>
      <c r="S24" s="775"/>
      <c r="T24" s="774"/>
      <c r="U24" s="775"/>
      <c r="V24" s="774"/>
      <c r="W24" s="775"/>
      <c r="X24" s="1815"/>
      <c r="Y24" s="323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7"/>
      <c r="Q25" s="1812">
        <f>B25</f>
        <v>111</v>
      </c>
      <c r="R25" s="774" t="s">
        <v>17</v>
      </c>
      <c r="S25" s="775">
        <f>F25</f>
        <v>100</v>
      </c>
      <c r="T25" s="774" t="s">
        <v>17</v>
      </c>
      <c r="U25" s="775">
        <f>H25</f>
        <v>100</v>
      </c>
      <c r="V25" s="774" t="s">
        <v>17</v>
      </c>
      <c r="W25" s="775">
        <f>J25</f>
        <v>100</v>
      </c>
      <c r="X25" s="1815"/>
      <c r="Y25" s="323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7"/>
      <c r="Q26" s="1812">
        <f t="shared" ref="Q26:Q40" si="11">B26</f>
        <v>111</v>
      </c>
      <c r="R26" s="774" t="s">
        <v>17</v>
      </c>
      <c r="S26" s="775">
        <f>F26</f>
        <v>100</v>
      </c>
      <c r="T26" s="774" t="s">
        <v>17</v>
      </c>
      <c r="U26" s="775">
        <f>H26</f>
        <v>100</v>
      </c>
      <c r="V26" s="774" t="s">
        <v>17</v>
      </c>
      <c r="W26" s="775">
        <f>J26</f>
        <v>100</v>
      </c>
      <c r="X26" s="1815"/>
      <c r="Y26" s="323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7"/>
      <c r="Q27" s="1797">
        <f t="shared" si="11"/>
        <v>111</v>
      </c>
      <c r="R27" s="770" t="s">
        <v>17</v>
      </c>
      <c r="S27" s="771">
        <f>F27</f>
        <v>100</v>
      </c>
      <c r="T27" s="770" t="s">
        <v>17</v>
      </c>
      <c r="U27" s="771">
        <f>H27</f>
        <v>100</v>
      </c>
      <c r="V27" s="770" t="s">
        <v>17</v>
      </c>
      <c r="W27" s="771">
        <f>J27</f>
        <v>100</v>
      </c>
      <c r="X27" s="772"/>
      <c r="Y27" s="323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7"/>
      <c r="Q28" s="1812">
        <f t="shared" si="11"/>
        <v>111</v>
      </c>
      <c r="R28" s="774" t="s">
        <v>17</v>
      </c>
      <c r="S28" s="775">
        <f t="shared" ref="S28:S40" si="12">F28</f>
        <v>100</v>
      </c>
      <c r="T28" s="774" t="s">
        <v>17</v>
      </c>
      <c r="U28" s="775">
        <f t="shared" ref="U28:U40" si="13">H28</f>
        <v>100</v>
      </c>
      <c r="V28" s="774" t="s">
        <v>17</v>
      </c>
      <c r="W28" s="775">
        <f t="shared" ref="W28:W40" si="14">J28</f>
        <v>100</v>
      </c>
      <c r="X28" s="1815"/>
      <c r="Y28" s="3237"/>
      <c r="Z28" s="1816">
        <f t="shared" ref="Z28:Z40" si="15">Q28</f>
        <v>111</v>
      </c>
      <c r="AA28" s="1813">
        <f t="shared" si="3"/>
        <v>1</v>
      </c>
      <c r="AB28" s="1813">
        <f t="shared" si="4"/>
        <v>1</v>
      </c>
      <c r="AC28" s="1813">
        <f t="shared" si="5"/>
        <v>1</v>
      </c>
    </row>
    <row r="29" spans="1:29" ht="15">
      <c r="A29" s="466" t="s">
        <v>2567</v>
      </c>
      <c r="B29" s="71" t="s">
        <v>2697</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62" t="s">
        <v>2569</v>
      </c>
      <c r="Q29" s="1812" t="str">
        <f t="shared" si="11"/>
        <v>建筑类型</v>
      </c>
      <c r="R29" s="774" t="s">
        <v>17</v>
      </c>
      <c r="S29" s="775">
        <f t="shared" si="12"/>
        <v>100</v>
      </c>
      <c r="T29" s="774" t="s">
        <v>17</v>
      </c>
      <c r="U29" s="775">
        <f t="shared" si="13"/>
        <v>100</v>
      </c>
      <c r="V29" s="774" t="s">
        <v>17</v>
      </c>
      <c r="W29" s="775">
        <f t="shared" si="14"/>
        <v>100</v>
      </c>
      <c r="X29" s="1815"/>
      <c r="Y29" s="3241"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1"/>
      <c r="Q31" s="1812" t="str">
        <f t="shared" si="11"/>
        <v>建筑结构</v>
      </c>
      <c r="R31" s="774" t="s">
        <v>17</v>
      </c>
      <c r="S31" s="775">
        <f t="shared" si="12"/>
        <v>100</v>
      </c>
      <c r="T31" s="774" t="s">
        <v>17</v>
      </c>
      <c r="U31" s="775">
        <f t="shared" si="13"/>
        <v>100</v>
      </c>
      <c r="V31" s="774" t="s">
        <v>17</v>
      </c>
      <c r="W31" s="775">
        <f t="shared" si="14"/>
        <v>100</v>
      </c>
      <c r="X31" s="1815"/>
      <c r="Y31" s="3241"/>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1"/>
      <c r="Q32" s="1812" t="str">
        <f t="shared" si="11"/>
        <v>公共部分装修</v>
      </c>
      <c r="R32" s="774" t="s">
        <v>17</v>
      </c>
      <c r="S32" s="775">
        <f t="shared" si="12"/>
        <v>100</v>
      </c>
      <c r="T32" s="774" t="s">
        <v>17</v>
      </c>
      <c r="U32" s="775">
        <f t="shared" si="13"/>
        <v>100</v>
      </c>
      <c r="V32" s="774" t="s">
        <v>17</v>
      </c>
      <c r="W32" s="775">
        <f t="shared" si="14"/>
        <v>100</v>
      </c>
      <c r="X32" s="1815"/>
      <c r="Y32" s="3241"/>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1"/>
      <c r="Q33" s="1812" t="str">
        <f t="shared" si="11"/>
        <v>成新度</v>
      </c>
      <c r="R33" s="774" t="s">
        <v>17</v>
      </c>
      <c r="S33" s="775" t="e">
        <f t="shared" si="12"/>
        <v>#N/A</v>
      </c>
      <c r="T33" s="774" t="s">
        <v>17</v>
      </c>
      <c r="U33" s="775" t="e">
        <f t="shared" si="13"/>
        <v>#N/A</v>
      </c>
      <c r="V33" s="774" t="s">
        <v>17</v>
      </c>
      <c r="W33" s="775" t="e">
        <f t="shared" si="14"/>
        <v>#N/A</v>
      </c>
      <c r="X33" s="1815"/>
      <c r="Y33" s="3241"/>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1"/>
      <c r="Q34" s="1797"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1" t="s">
        <v>2569</v>
      </c>
      <c r="Q35" s="1812" t="str">
        <f t="shared" si="11"/>
        <v>市政基础设施</v>
      </c>
      <c r="R35" s="774" t="s">
        <v>17</v>
      </c>
      <c r="S35" s="775">
        <f t="shared" si="12"/>
        <v>100</v>
      </c>
      <c r="T35" s="774" t="s">
        <v>17</v>
      </c>
      <c r="U35" s="775">
        <f t="shared" si="13"/>
        <v>100</v>
      </c>
      <c r="V35" s="774" t="s">
        <v>17</v>
      </c>
      <c r="W35" s="775">
        <f t="shared" si="14"/>
        <v>100</v>
      </c>
      <c r="X35" s="1815"/>
      <c r="Y35" s="3241"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1"/>
      <c r="Q36" s="1812" t="str">
        <f t="shared" si="11"/>
        <v>内部装修</v>
      </c>
      <c r="R36" s="774" t="s">
        <v>17</v>
      </c>
      <c r="S36" s="775">
        <f t="shared" si="12"/>
        <v>100</v>
      </c>
      <c r="T36" s="774" t="s">
        <v>17</v>
      </c>
      <c r="U36" s="775">
        <f t="shared" si="13"/>
        <v>100</v>
      </c>
      <c r="V36" s="774" t="s">
        <v>17</v>
      </c>
      <c r="W36" s="775">
        <f t="shared" si="14"/>
        <v>100</v>
      </c>
      <c r="X36" s="1815"/>
      <c r="Y36" s="3241"/>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1"/>
      <c r="Q37" s="1812" t="str">
        <f t="shared" si="11"/>
        <v>内部装修状况</v>
      </c>
      <c r="R37" s="774" t="s">
        <v>17</v>
      </c>
      <c r="S37" s="775">
        <f t="shared" si="12"/>
        <v>100</v>
      </c>
      <c r="T37" s="774" t="s">
        <v>17</v>
      </c>
      <c r="U37" s="775">
        <f t="shared" si="13"/>
        <v>100</v>
      </c>
      <c r="V37" s="774" t="s">
        <v>17</v>
      </c>
      <c r="W37" s="775">
        <f t="shared" si="14"/>
        <v>100</v>
      </c>
      <c r="X37" s="1815"/>
      <c r="Y37" s="324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1"/>
      <c r="Q39" s="1812">
        <f t="shared" si="11"/>
        <v>111</v>
      </c>
      <c r="R39" s="774" t="s">
        <v>17</v>
      </c>
      <c r="S39" s="775">
        <f t="shared" si="12"/>
        <v>100</v>
      </c>
      <c r="T39" s="774" t="s">
        <v>17</v>
      </c>
      <c r="U39" s="775">
        <f t="shared" si="13"/>
        <v>100</v>
      </c>
      <c r="V39" s="774" t="s">
        <v>17</v>
      </c>
      <c r="W39" s="775">
        <f t="shared" si="14"/>
        <v>100</v>
      </c>
      <c r="X39" s="1815"/>
      <c r="Y39" s="3241"/>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2">
        <f t="shared" si="11"/>
        <v>111</v>
      </c>
      <c r="R40" s="774" t="s">
        <v>17</v>
      </c>
      <c r="S40" s="775">
        <f t="shared" si="12"/>
        <v>100</v>
      </c>
      <c r="T40" s="774" t="s">
        <v>17</v>
      </c>
      <c r="U40" s="775">
        <f t="shared" si="13"/>
        <v>100</v>
      </c>
      <c r="V40" s="774" t="s">
        <v>17</v>
      </c>
      <c r="W40" s="775">
        <f t="shared" si="14"/>
        <v>100</v>
      </c>
      <c r="X40" s="1815"/>
      <c r="Y40" s="3242"/>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6"/>
      <c r="M41" s="1147"/>
      <c r="N41" s="1134"/>
      <c r="O41" s="1147"/>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6"/>
      <c r="M42" s="1147"/>
      <c r="N42" s="1134"/>
      <c r="O42" s="1147"/>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6"/>
      <c r="M43" s="1147"/>
      <c r="N43" s="1147"/>
      <c r="O43" s="1147"/>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5.45平方米，建筑面积为107.51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5.45平方米，规划建筑面积为107.51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5"/>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t="e">
        <f ca="1">IF(C2="——",IF(B37="元/平方米",ROUND(C39*D3/10000,0),ROUND(F3*C39/10000,0)),IF(B37="元/平方米",ROUND(C39*D3/10000,0),ROUND(F3*C39/10000,0))-D2)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04" t="s">
        <v>2651</v>
      </c>
      <c r="S4" s="3205"/>
      <c r="T4" s="3204" t="s">
        <v>2652</v>
      </c>
      <c r="U4" s="3205"/>
      <c r="V4" s="3229" t="s">
        <v>2653</v>
      </c>
      <c r="W4" s="3229"/>
      <c r="X4" s="1815"/>
      <c r="Y4" s="3204" t="s">
        <v>2655</v>
      </c>
      <c r="Z4" s="3205"/>
      <c r="AA4" s="3199" t="s">
        <v>2651</v>
      </c>
      <c r="AB4" s="3200" t="s">
        <v>2652</v>
      </c>
      <c r="AC4" s="3199" t="s">
        <v>2653</v>
      </c>
    </row>
    <row r="5" spans="1:29" ht="15">
      <c r="A5" s="404"/>
      <c r="B5" s="405"/>
      <c r="C5" s="3210" t="s">
        <v>2546</v>
      </c>
      <c r="D5" s="3211"/>
      <c r="E5" s="3208" t="s">
        <v>2547</v>
      </c>
      <c r="F5" s="3209"/>
      <c r="G5" s="3210" t="s">
        <v>2548</v>
      </c>
      <c r="H5" s="3211"/>
      <c r="I5" s="3210" t="s">
        <v>2549</v>
      </c>
      <c r="J5" s="3211"/>
      <c r="K5" s="610"/>
      <c r="L5" s="1133"/>
      <c r="M5" s="1134"/>
      <c r="N5" s="1134"/>
      <c r="O5" s="1134"/>
      <c r="P5" s="3223"/>
      <c r="Q5" s="3224"/>
      <c r="R5" s="3206"/>
      <c r="S5" s="3207"/>
      <c r="T5" s="3206"/>
      <c r="U5" s="3207"/>
      <c r="V5" s="3229"/>
      <c r="W5" s="3229"/>
      <c r="X5" s="1815"/>
      <c r="Y5" s="3206"/>
      <c r="Z5" s="3207"/>
      <c r="AA5" s="3200"/>
      <c r="AB5" s="3200"/>
      <c r="AC5" s="3200"/>
    </row>
    <row r="6" spans="1:29" ht="15.75" thickBot="1">
      <c r="A6" s="406"/>
      <c r="B6" s="407"/>
      <c r="C6" s="3212" t="s">
        <v>2550</v>
      </c>
      <c r="D6" s="3213"/>
      <c r="E6" s="3214" t="s">
        <v>2550</v>
      </c>
      <c r="F6" s="3215"/>
      <c r="G6" s="3212" t="s">
        <v>2550</v>
      </c>
      <c r="H6" s="3213"/>
      <c r="I6" s="3212" t="s">
        <v>2550</v>
      </c>
      <c r="J6" s="3213"/>
      <c r="K6" s="610" t="s">
        <v>2551</v>
      </c>
      <c r="L6" s="1133"/>
      <c r="M6" s="1134"/>
      <c r="N6" s="1134"/>
      <c r="O6" s="1134"/>
      <c r="P6" s="3225"/>
      <c r="Q6" s="3226"/>
      <c r="R6" s="3206"/>
      <c r="S6" s="3207"/>
      <c r="T6" s="3227"/>
      <c r="U6" s="3228"/>
      <c r="V6" s="3229"/>
      <c r="W6" s="3229"/>
      <c r="X6" s="1815"/>
      <c r="Y6" s="3227"/>
      <c r="Z6" s="3228"/>
      <c r="AA6" s="3201"/>
      <c r="AB6" s="3201"/>
      <c r="AC6" s="3201"/>
    </row>
    <row r="7" spans="1:29" s="117" customFormat="1" ht="15.75" thickBot="1">
      <c r="A7" s="408" t="s">
        <v>2552</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2553</v>
      </c>
      <c r="Q7" s="3230"/>
      <c r="R7" s="770" t="s">
        <v>17</v>
      </c>
      <c r="S7" s="771">
        <f t="shared" ref="S7:S14" si="0">F7</f>
        <v>0</v>
      </c>
      <c r="T7" s="770" t="s">
        <v>17</v>
      </c>
      <c r="U7" s="771">
        <f t="shared" ref="U7:U14" si="1">H7</f>
        <v>0</v>
      </c>
      <c r="V7" s="770" t="s">
        <v>17</v>
      </c>
      <c r="W7" s="771">
        <f t="shared" ref="W7:W14" si="2">J7</f>
        <v>0</v>
      </c>
      <c r="X7" s="772"/>
      <c r="Y7" s="3202" t="s">
        <v>2553</v>
      </c>
      <c r="Z7" s="3203"/>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2556</v>
      </c>
      <c r="Q8" s="3203"/>
      <c r="R8" s="770" t="s">
        <v>17</v>
      </c>
      <c r="S8" s="771">
        <f t="shared" si="0"/>
        <v>0</v>
      </c>
      <c r="T8" s="770" t="s">
        <v>17</v>
      </c>
      <c r="U8" s="771">
        <f t="shared" si="1"/>
        <v>0</v>
      </c>
      <c r="V8" s="770" t="s">
        <v>17</v>
      </c>
      <c r="W8" s="771">
        <f t="shared" si="2"/>
        <v>0</v>
      </c>
      <c r="X8" s="772"/>
      <c r="Y8" s="3202" t="s">
        <v>2556</v>
      </c>
      <c r="Z8" s="3203"/>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2559</v>
      </c>
      <c r="Q9" s="1797" t="str">
        <f t="shared" ref="Q9:Q14" si="6">B9</f>
        <v>用途</v>
      </c>
      <c r="R9" s="770" t="s">
        <v>17</v>
      </c>
      <c r="S9" s="771">
        <f t="shared" si="0"/>
        <v>100</v>
      </c>
      <c r="T9" s="770" t="s">
        <v>17</v>
      </c>
      <c r="U9" s="771">
        <f t="shared" si="1"/>
        <v>100</v>
      </c>
      <c r="V9" s="770" t="s">
        <v>17</v>
      </c>
      <c r="W9" s="771">
        <f t="shared" si="2"/>
        <v>100</v>
      </c>
      <c r="X9" s="772"/>
      <c r="Y9" s="3049"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7"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7">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7">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7">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01" t="s">
        <v>2563</v>
      </c>
      <c r="B14" s="629" t="s">
        <v>2713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6" t="s">
        <v>2564</v>
      </c>
      <c r="Q14" s="1812" t="str">
        <f t="shared" si="6"/>
        <v>交通便捷度</v>
      </c>
      <c r="R14" s="774" t="s">
        <v>17</v>
      </c>
      <c r="S14" s="775">
        <f t="shared" si="0"/>
        <v>100</v>
      </c>
      <c r="T14" s="774" t="s">
        <v>17</v>
      </c>
      <c r="U14" s="775">
        <f t="shared" si="1"/>
        <v>100</v>
      </c>
      <c r="V14" s="774" t="s">
        <v>17</v>
      </c>
      <c r="W14" s="775">
        <f t="shared" si="2"/>
        <v>100</v>
      </c>
      <c r="X14" s="1815"/>
      <c r="Y14" s="3236"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7"/>
      <c r="Q15" s="1812"/>
      <c r="R15" s="774"/>
      <c r="S15" s="775"/>
      <c r="T15" s="774"/>
      <c r="U15" s="775"/>
      <c r="V15" s="774"/>
      <c r="W15" s="775"/>
      <c r="X15" s="1815"/>
      <c r="Y15" s="3237"/>
      <c r="Z15" s="1816"/>
      <c r="AA15" s="1813">
        <v>1</v>
      </c>
      <c r="AB15" s="1813">
        <v>1</v>
      </c>
      <c r="AC15" s="1813">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7"/>
      <c r="Q16" s="1812" t="str">
        <f>B16</f>
        <v>公共配套设施</v>
      </c>
      <c r="R16" s="774" t="s">
        <v>17</v>
      </c>
      <c r="S16" s="775">
        <f>F16</f>
        <v>100</v>
      </c>
      <c r="T16" s="774" t="s">
        <v>17</v>
      </c>
      <c r="U16" s="775">
        <f>H16</f>
        <v>100</v>
      </c>
      <c r="V16" s="774" t="s">
        <v>17</v>
      </c>
      <c r="W16" s="775">
        <f>J16</f>
        <v>100</v>
      </c>
      <c r="X16" s="1815"/>
      <c r="Y16" s="3237"/>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37"/>
      <c r="Q17" s="1812"/>
      <c r="R17" s="774"/>
      <c r="S17" s="775"/>
      <c r="T17" s="774"/>
      <c r="U17" s="775"/>
      <c r="V17" s="774"/>
      <c r="W17" s="775"/>
      <c r="X17" s="1815"/>
      <c r="Y17" s="3237"/>
      <c r="Z17" s="1816"/>
      <c r="AA17" s="1813">
        <v>1</v>
      </c>
      <c r="AB17" s="1813">
        <v>1</v>
      </c>
      <c r="AC17" s="1813">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7"/>
      <c r="Q18" s="1812" t="str">
        <f>B18</f>
        <v>基础设施水平</v>
      </c>
      <c r="R18" s="774" t="s">
        <v>17</v>
      </c>
      <c r="S18" s="775">
        <f>F18</f>
        <v>100</v>
      </c>
      <c r="T18" s="774" t="s">
        <v>17</v>
      </c>
      <c r="U18" s="775">
        <f>H18</f>
        <v>100</v>
      </c>
      <c r="V18" s="774" t="s">
        <v>17</v>
      </c>
      <c r="W18" s="775">
        <f>J18</f>
        <v>100</v>
      </c>
      <c r="X18" s="1815"/>
      <c r="Y18" s="3237"/>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237"/>
      <c r="Q19" s="1812"/>
      <c r="R19" s="774"/>
      <c r="S19" s="775"/>
      <c r="T19" s="774"/>
      <c r="U19" s="775"/>
      <c r="V19" s="774"/>
      <c r="W19" s="775"/>
      <c r="X19" s="1815"/>
      <c r="Y19" s="3237"/>
      <c r="Z19" s="1816"/>
      <c r="AA19" s="1813">
        <v>1</v>
      </c>
      <c r="AB19" s="1813">
        <v>1</v>
      </c>
      <c r="AC19" s="1813">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7"/>
      <c r="Q20" s="1812" t="str">
        <f>B20</f>
        <v>自然及人文环境</v>
      </c>
      <c r="R20" s="774" t="s">
        <v>17</v>
      </c>
      <c r="S20" s="775">
        <f>F20</f>
        <v>100</v>
      </c>
      <c r="T20" s="774" t="s">
        <v>17</v>
      </c>
      <c r="U20" s="775">
        <f>H20</f>
        <v>100</v>
      </c>
      <c r="V20" s="774" t="s">
        <v>17</v>
      </c>
      <c r="W20" s="775">
        <f>J20</f>
        <v>100</v>
      </c>
      <c r="X20" s="1815"/>
      <c r="Y20" s="323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7"/>
      <c r="Q21" s="1812"/>
      <c r="R21" s="774"/>
      <c r="S21" s="775"/>
      <c r="T21" s="774"/>
      <c r="U21" s="775"/>
      <c r="V21" s="774"/>
      <c r="W21" s="775"/>
      <c r="X21" s="1815"/>
      <c r="Y21" s="3237"/>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7"/>
      <c r="Q22" s="1812" t="str">
        <f>B22</f>
        <v>楼层</v>
      </c>
      <c r="R22" s="774" t="s">
        <v>17</v>
      </c>
      <c r="S22" s="775">
        <f>F22</f>
        <v>100</v>
      </c>
      <c r="T22" s="774" t="s">
        <v>17</v>
      </c>
      <c r="U22" s="775">
        <f>H22</f>
        <v>100</v>
      </c>
      <c r="V22" s="774" t="s">
        <v>17</v>
      </c>
      <c r="W22" s="775">
        <f>J22</f>
        <v>100</v>
      </c>
      <c r="X22" s="1815"/>
      <c r="Y22" s="323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7"/>
      <c r="Q23" s="1812">
        <f>B23</f>
        <v>111</v>
      </c>
      <c r="R23" s="774" t="s">
        <v>17</v>
      </c>
      <c r="S23" s="775">
        <f>F23</f>
        <v>100</v>
      </c>
      <c r="T23" s="774" t="s">
        <v>17</v>
      </c>
      <c r="U23" s="775">
        <f>H23</f>
        <v>100</v>
      </c>
      <c r="V23" s="774" t="s">
        <v>17</v>
      </c>
      <c r="W23" s="775">
        <f>J23</f>
        <v>100</v>
      </c>
      <c r="X23" s="1815"/>
      <c r="Y23" s="323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7"/>
      <c r="Q24" s="1812">
        <f t="shared" ref="Q24:Q36" si="11">B24</f>
        <v>111</v>
      </c>
      <c r="R24" s="774" t="s">
        <v>17</v>
      </c>
      <c r="S24" s="775">
        <f>F24</f>
        <v>100</v>
      </c>
      <c r="T24" s="774" t="s">
        <v>17</v>
      </c>
      <c r="U24" s="775">
        <f>H24</f>
        <v>100</v>
      </c>
      <c r="V24" s="774" t="s">
        <v>17</v>
      </c>
      <c r="W24" s="775">
        <f>J24</f>
        <v>100</v>
      </c>
      <c r="X24" s="1815"/>
      <c r="Y24" s="323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7"/>
      <c r="Q25" s="1797">
        <f t="shared" si="11"/>
        <v>111</v>
      </c>
      <c r="R25" s="770" t="s">
        <v>17</v>
      </c>
      <c r="S25" s="771">
        <f>F25</f>
        <v>100</v>
      </c>
      <c r="T25" s="770" t="s">
        <v>17</v>
      </c>
      <c r="U25" s="771">
        <f>H25</f>
        <v>100</v>
      </c>
      <c r="V25" s="770" t="s">
        <v>17</v>
      </c>
      <c r="W25" s="771">
        <f>J25</f>
        <v>100</v>
      </c>
      <c r="X25" s="772"/>
      <c r="Y25" s="3237"/>
      <c r="Z25" s="55">
        <f>Q25</f>
        <v>111</v>
      </c>
      <c r="AA25" s="1813">
        <f>D25/F25</f>
        <v>1</v>
      </c>
      <c r="AB25" s="1813">
        <f>D25/H25</f>
        <v>1</v>
      </c>
      <c r="AC25" s="1813">
        <f>D25/J25</f>
        <v>1</v>
      </c>
    </row>
    <row r="26" spans="1:29" ht="15">
      <c r="A26" s="652" t="s">
        <v>2567</v>
      </c>
      <c r="B26" s="70" t="s">
        <v>2716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2"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1"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1"/>
      <c r="Q28" s="1812" t="str">
        <f t="shared" si="11"/>
        <v>公共部分装修</v>
      </c>
      <c r="R28" s="774" t="s">
        <v>17</v>
      </c>
      <c r="S28" s="775">
        <f t="shared" si="12"/>
        <v>100</v>
      </c>
      <c r="T28" s="774" t="s">
        <v>17</v>
      </c>
      <c r="U28" s="775">
        <f t="shared" si="13"/>
        <v>100</v>
      </c>
      <c r="V28" s="774" t="s">
        <v>17</v>
      </c>
      <c r="W28" s="775">
        <f t="shared" si="14"/>
        <v>100</v>
      </c>
      <c r="X28" s="1815"/>
      <c r="Y28" s="3241"/>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1"/>
      <c r="Q29" s="1812" t="str">
        <f t="shared" si="11"/>
        <v>成新率</v>
      </c>
      <c r="R29" s="774" t="s">
        <v>17</v>
      </c>
      <c r="S29" s="775" t="e">
        <f t="shared" si="12"/>
        <v>#N/A</v>
      </c>
      <c r="T29" s="774" t="s">
        <v>17</v>
      </c>
      <c r="U29" s="775" t="e">
        <f t="shared" si="13"/>
        <v>#N/A</v>
      </c>
      <c r="V29" s="774" t="s">
        <v>17</v>
      </c>
      <c r="W29" s="775" t="e">
        <f t="shared" si="14"/>
        <v>#N/A</v>
      </c>
      <c r="X29" s="1815"/>
      <c r="Y29" s="3241"/>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1"/>
      <c r="Q30" s="1812" t="str">
        <f t="shared" si="11"/>
        <v>物业等级</v>
      </c>
      <c r="R30" s="774" t="s">
        <v>17</v>
      </c>
      <c r="S30" s="775">
        <f t="shared" si="12"/>
        <v>100</v>
      </c>
      <c r="T30" s="774" t="s">
        <v>17</v>
      </c>
      <c r="U30" s="775">
        <f t="shared" si="13"/>
        <v>100</v>
      </c>
      <c r="V30" s="774" t="s">
        <v>17</v>
      </c>
      <c r="W30" s="775">
        <f t="shared" si="14"/>
        <v>100</v>
      </c>
      <c r="X30" s="1815"/>
      <c r="Y30" s="3241"/>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1"/>
      <c r="Q31" s="1797"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1" t="s">
        <v>2569</v>
      </c>
      <c r="Q32" s="1812" t="str">
        <f t="shared" si="11"/>
        <v>车位类型</v>
      </c>
      <c r="R32" s="774" t="s">
        <v>17</v>
      </c>
      <c r="S32" s="775">
        <f t="shared" si="12"/>
        <v>100</v>
      </c>
      <c r="T32" s="774" t="s">
        <v>17</v>
      </c>
      <c r="U32" s="775">
        <f t="shared" si="13"/>
        <v>100</v>
      </c>
      <c r="V32" s="774" t="s">
        <v>17</v>
      </c>
      <c r="W32" s="775">
        <f t="shared" si="14"/>
        <v>100</v>
      </c>
      <c r="X32" s="1815"/>
      <c r="Y32" s="3241"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1"/>
      <c r="Q33" s="1812" t="str">
        <f t="shared" si="11"/>
        <v>是否直接入户</v>
      </c>
      <c r="R33" s="774" t="s">
        <v>17</v>
      </c>
      <c r="S33" s="775">
        <f t="shared" si="12"/>
        <v>100</v>
      </c>
      <c r="T33" s="774" t="s">
        <v>17</v>
      </c>
      <c r="U33" s="775">
        <f t="shared" si="13"/>
        <v>100</v>
      </c>
      <c r="V33" s="774" t="s">
        <v>17</v>
      </c>
      <c r="W33" s="775">
        <f t="shared" si="14"/>
        <v>100</v>
      </c>
      <c r="X33" s="1815"/>
      <c r="Y33" s="324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1"/>
      <c r="Q34" s="1812">
        <f t="shared" si="11"/>
        <v>111</v>
      </c>
      <c r="R34" s="774" t="s">
        <v>17</v>
      </c>
      <c r="S34" s="775">
        <f t="shared" si="12"/>
        <v>100</v>
      </c>
      <c r="T34" s="774" t="s">
        <v>17</v>
      </c>
      <c r="U34" s="775">
        <f t="shared" si="13"/>
        <v>100</v>
      </c>
      <c r="V34" s="774" t="s">
        <v>17</v>
      </c>
      <c r="W34" s="775">
        <f t="shared" si="14"/>
        <v>100</v>
      </c>
      <c r="X34" s="1815"/>
      <c r="Y34" s="324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1"/>
      <c r="Q36" s="1812">
        <f t="shared" si="11"/>
        <v>111</v>
      </c>
      <c r="R36" s="774" t="s">
        <v>17</v>
      </c>
      <c r="S36" s="775">
        <f t="shared" si="12"/>
        <v>100</v>
      </c>
      <c r="T36" s="774" t="s">
        <v>17</v>
      </c>
      <c r="U36" s="775">
        <f t="shared" si="13"/>
        <v>100</v>
      </c>
      <c r="V36" s="774" t="s">
        <v>17</v>
      </c>
      <c r="W36" s="775">
        <f t="shared" si="14"/>
        <v>100</v>
      </c>
      <c r="X36" s="1815"/>
      <c r="Y36" s="3241"/>
      <c r="Z36" s="1816">
        <f t="shared" si="15"/>
        <v>111</v>
      </c>
      <c r="AA36" s="1813">
        <f t="shared" si="3"/>
        <v>1</v>
      </c>
      <c r="AB36" s="1813">
        <f t="shared" si="4"/>
        <v>1</v>
      </c>
      <c r="AC36" s="1813">
        <f t="shared" si="5"/>
        <v>1</v>
      </c>
    </row>
    <row r="37" spans="1:29" ht="15">
      <c r="A37" s="479" t="s">
        <v>2724</v>
      </c>
      <c r="B37" s="2695" t="s">
        <v>2725</v>
      </c>
      <c r="C37" s="1409" t="s">
        <v>1</v>
      </c>
      <c r="D37" s="1410"/>
      <c r="E37" s="1411"/>
      <c r="F37" s="1412"/>
      <c r="G37" s="1413"/>
      <c r="H37" s="1414"/>
      <c r="I37" s="1411"/>
      <c r="J37" s="1414"/>
      <c r="K37" s="619"/>
      <c r="L37" s="1146"/>
      <c r="M37" s="1147"/>
      <c r="N37" s="1134"/>
      <c r="O37" s="1147"/>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2726</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2727</v>
      </c>
      <c r="B39" s="493"/>
      <c r="C39" s="1419" t="e">
        <f>R39</f>
        <v>#DIV/0!</v>
      </c>
      <c r="D39" s="1419"/>
      <c r="E39" s="1419"/>
      <c r="F39" s="1419"/>
      <c r="G39" s="1419"/>
      <c r="H39" s="1419"/>
      <c r="I39" s="1419"/>
      <c r="J39" s="1419"/>
      <c r="K39" s="621"/>
      <c r="L39" s="1146"/>
      <c r="M39" s="1147"/>
      <c r="N39" s="1147"/>
      <c r="O39" s="1147"/>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2731</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2732</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2592</v>
      </c>
      <c r="B53" s="528" t="s">
        <v>2558</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2739</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04" t="s">
        <v>2651</v>
      </c>
      <c r="S4" s="3205"/>
      <c r="T4" s="3204" t="s">
        <v>2652</v>
      </c>
      <c r="U4" s="3205"/>
      <c r="V4" s="3229" t="s">
        <v>2653</v>
      </c>
      <c r="W4" s="3229"/>
      <c r="X4" s="1815"/>
      <c r="Y4" s="3204" t="s">
        <v>2655</v>
      </c>
      <c r="Z4" s="3205"/>
      <c r="AA4" s="3199" t="s">
        <v>2651</v>
      </c>
      <c r="AB4" s="3200" t="s">
        <v>2652</v>
      </c>
      <c r="AC4" s="3199" t="s">
        <v>2653</v>
      </c>
    </row>
    <row r="5" spans="1:29" ht="15">
      <c r="A5" s="404"/>
      <c r="B5" s="405"/>
      <c r="C5" s="3210" t="s">
        <v>2546</v>
      </c>
      <c r="D5" s="3211"/>
      <c r="E5" s="3208" t="s">
        <v>2547</v>
      </c>
      <c r="F5" s="3209"/>
      <c r="G5" s="3210" t="s">
        <v>2548</v>
      </c>
      <c r="H5" s="3211"/>
      <c r="I5" s="3210" t="s">
        <v>2549</v>
      </c>
      <c r="J5" s="3211"/>
      <c r="K5" s="610"/>
      <c r="L5" s="1133"/>
      <c r="M5" s="1134"/>
      <c r="N5" s="1134"/>
      <c r="O5" s="1134"/>
      <c r="P5" s="3223"/>
      <c r="Q5" s="3224"/>
      <c r="R5" s="3206"/>
      <c r="S5" s="3207"/>
      <c r="T5" s="3206"/>
      <c r="U5" s="3207"/>
      <c r="V5" s="3229"/>
      <c r="W5" s="3229"/>
      <c r="X5" s="1815"/>
      <c r="Y5" s="3206"/>
      <c r="Z5" s="3207"/>
      <c r="AA5" s="3200"/>
      <c r="AB5" s="3200"/>
      <c r="AC5" s="3200"/>
    </row>
    <row r="6" spans="1:29" ht="15.75" thickBot="1">
      <c r="A6" s="406"/>
      <c r="B6" s="407"/>
      <c r="C6" s="3212" t="s">
        <v>2550</v>
      </c>
      <c r="D6" s="3213"/>
      <c r="E6" s="3214" t="s">
        <v>2550</v>
      </c>
      <c r="F6" s="3215"/>
      <c r="G6" s="3212" t="s">
        <v>2550</v>
      </c>
      <c r="H6" s="3213"/>
      <c r="I6" s="3212" t="s">
        <v>2550</v>
      </c>
      <c r="J6" s="3213"/>
      <c r="K6" s="610" t="s">
        <v>2551</v>
      </c>
      <c r="L6" s="1133"/>
      <c r="M6" s="1134"/>
      <c r="N6" s="1134"/>
      <c r="O6" s="1134"/>
      <c r="P6" s="3225"/>
      <c r="Q6" s="3226"/>
      <c r="R6" s="3206"/>
      <c r="S6" s="3207"/>
      <c r="T6" s="3227"/>
      <c r="U6" s="3228"/>
      <c r="V6" s="3229"/>
      <c r="W6" s="3229"/>
      <c r="X6" s="1815"/>
      <c r="Y6" s="3227"/>
      <c r="Z6" s="3228"/>
      <c r="AA6" s="3201"/>
      <c r="AB6" s="3201"/>
      <c r="AC6" s="3201"/>
    </row>
    <row r="7" spans="1:29" s="117" customFormat="1" ht="15.75" thickBot="1">
      <c r="A7" s="408" t="s">
        <v>2552</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02" t="s">
        <v>2553</v>
      </c>
      <c r="Q7" s="3230"/>
      <c r="R7" s="770" t="s">
        <v>17</v>
      </c>
      <c r="S7" s="771">
        <f t="shared" ref="S7:S14" si="0">F7</f>
        <v>0</v>
      </c>
      <c r="T7" s="770" t="s">
        <v>17</v>
      </c>
      <c r="U7" s="771">
        <f t="shared" ref="U7:U14" si="1">H7</f>
        <v>0</v>
      </c>
      <c r="V7" s="770" t="s">
        <v>17</v>
      </c>
      <c r="W7" s="771">
        <f t="shared" ref="W7:W14" si="2">J7</f>
        <v>0</v>
      </c>
      <c r="X7" s="772"/>
      <c r="Y7" s="3202" t="s">
        <v>2553</v>
      </c>
      <c r="Z7" s="3203"/>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2556</v>
      </c>
      <c r="Q8" s="3203"/>
      <c r="R8" s="770" t="s">
        <v>17</v>
      </c>
      <c r="S8" s="771">
        <f t="shared" si="0"/>
        <v>0</v>
      </c>
      <c r="T8" s="770" t="s">
        <v>17</v>
      </c>
      <c r="U8" s="771">
        <f t="shared" si="1"/>
        <v>0</v>
      </c>
      <c r="V8" s="770" t="s">
        <v>17</v>
      </c>
      <c r="W8" s="771">
        <f t="shared" si="2"/>
        <v>0</v>
      </c>
      <c r="X8" s="772"/>
      <c r="Y8" s="3202" t="s">
        <v>2556</v>
      </c>
      <c r="Z8" s="3203"/>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2559</v>
      </c>
      <c r="Q9" s="1797" t="str">
        <f t="shared" ref="Q9:Q14" si="6">B9</f>
        <v>用途</v>
      </c>
      <c r="R9" s="770" t="s">
        <v>17</v>
      </c>
      <c r="S9" s="771">
        <f t="shared" si="0"/>
        <v>100</v>
      </c>
      <c r="T9" s="770" t="s">
        <v>17</v>
      </c>
      <c r="U9" s="771">
        <f t="shared" si="1"/>
        <v>100</v>
      </c>
      <c r="V9" s="770" t="s">
        <v>17</v>
      </c>
      <c r="W9" s="771">
        <f t="shared" si="2"/>
        <v>100</v>
      </c>
      <c r="X9" s="772"/>
      <c r="Y9" s="3049"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7"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7">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7">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34"/>
      <c r="Q13" s="1797">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85.5">
      <c r="A14" s="440" t="s">
        <v>2563</v>
      </c>
      <c r="B14" s="69" t="s">
        <v>2713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6" t="s">
        <v>2564</v>
      </c>
      <c r="Q14" s="1812" t="str">
        <f t="shared" si="6"/>
        <v>交通便捷度</v>
      </c>
      <c r="R14" s="774" t="s">
        <v>17</v>
      </c>
      <c r="S14" s="775">
        <f t="shared" si="0"/>
        <v>100</v>
      </c>
      <c r="T14" s="774" t="s">
        <v>17</v>
      </c>
      <c r="U14" s="775">
        <f t="shared" si="1"/>
        <v>100</v>
      </c>
      <c r="V14" s="774" t="s">
        <v>17</v>
      </c>
      <c r="W14" s="775">
        <f t="shared" si="2"/>
        <v>100</v>
      </c>
      <c r="X14" s="1815"/>
      <c r="Y14" s="3236"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37"/>
      <c r="Q15" s="1812"/>
      <c r="R15" s="774"/>
      <c r="S15" s="775"/>
      <c r="T15" s="774"/>
      <c r="U15" s="775"/>
      <c r="V15" s="774"/>
      <c r="W15" s="775"/>
      <c r="X15" s="1815"/>
      <c r="Y15" s="3237"/>
      <c r="Z15" s="1816"/>
      <c r="AA15" s="1813">
        <v>1</v>
      </c>
      <c r="AB15" s="1813">
        <v>1</v>
      </c>
      <c r="AC15" s="1813">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7"/>
      <c r="Q16" s="1812" t="str">
        <f>B16</f>
        <v>公共配套设施</v>
      </c>
      <c r="R16" s="774" t="s">
        <v>17</v>
      </c>
      <c r="S16" s="775">
        <f>F16</f>
        <v>100</v>
      </c>
      <c r="T16" s="774" t="s">
        <v>17</v>
      </c>
      <c r="U16" s="775">
        <f>H16</f>
        <v>100</v>
      </c>
      <c r="V16" s="774" t="s">
        <v>17</v>
      </c>
      <c r="W16" s="775">
        <f>J16</f>
        <v>100</v>
      </c>
      <c r="X16" s="1815"/>
      <c r="Y16" s="3237"/>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37"/>
      <c r="Q17" s="1812"/>
      <c r="R17" s="774"/>
      <c r="S17" s="775"/>
      <c r="T17" s="774"/>
      <c r="U17" s="775"/>
      <c r="V17" s="774"/>
      <c r="W17" s="775"/>
      <c r="X17" s="1815"/>
      <c r="Y17" s="3237"/>
      <c r="Z17" s="1816"/>
      <c r="AA17" s="1813">
        <v>1</v>
      </c>
      <c r="AB17" s="1813">
        <v>1</v>
      </c>
      <c r="AC17" s="1813">
        <v>1</v>
      </c>
    </row>
    <row r="18" spans="1:29" ht="28.5">
      <c r="A18" s="428"/>
      <c r="B18" s="1386"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7"/>
      <c r="Q18" s="1812" t="str">
        <f>B18</f>
        <v>基础设施水平</v>
      </c>
      <c r="R18" s="774" t="s">
        <v>17</v>
      </c>
      <c r="S18" s="775">
        <f>F18</f>
        <v>100</v>
      </c>
      <c r="T18" s="774" t="s">
        <v>17</v>
      </c>
      <c r="U18" s="775">
        <f>H18</f>
        <v>100</v>
      </c>
      <c r="V18" s="774" t="s">
        <v>17</v>
      </c>
      <c r="W18" s="775">
        <f>J18</f>
        <v>100</v>
      </c>
      <c r="X18" s="1815"/>
      <c r="Y18" s="3237"/>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237"/>
      <c r="Q19" s="1812"/>
      <c r="R19" s="774"/>
      <c r="S19" s="775"/>
      <c r="T19" s="774"/>
      <c r="U19" s="775"/>
      <c r="V19" s="774"/>
      <c r="W19" s="775"/>
      <c r="X19" s="1815"/>
      <c r="Y19" s="3237"/>
      <c r="Z19" s="1816"/>
      <c r="AA19" s="1813">
        <v>1</v>
      </c>
      <c r="AB19" s="1813">
        <v>1</v>
      </c>
      <c r="AC19" s="1813">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7"/>
      <c r="Q20" s="1812" t="str">
        <f>B20</f>
        <v>自然及人文环境</v>
      </c>
      <c r="R20" s="774" t="s">
        <v>17</v>
      </c>
      <c r="S20" s="775">
        <f>F20</f>
        <v>100</v>
      </c>
      <c r="T20" s="774" t="s">
        <v>17</v>
      </c>
      <c r="U20" s="775">
        <f>H20</f>
        <v>100</v>
      </c>
      <c r="V20" s="774" t="s">
        <v>17</v>
      </c>
      <c r="W20" s="775">
        <f>J20</f>
        <v>100</v>
      </c>
      <c r="X20" s="1815"/>
      <c r="Y20" s="323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37"/>
      <c r="Q21" s="1812"/>
      <c r="R21" s="774"/>
      <c r="S21" s="775"/>
      <c r="T21" s="774"/>
      <c r="U21" s="775"/>
      <c r="V21" s="774"/>
      <c r="W21" s="775"/>
      <c r="X21" s="1815"/>
      <c r="Y21" s="3237"/>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7"/>
      <c r="Q22" s="1812" t="str">
        <f>B22</f>
        <v>楼层</v>
      </c>
      <c r="R22" s="774" t="s">
        <v>17</v>
      </c>
      <c r="S22" s="775">
        <f>F22</f>
        <v>100</v>
      </c>
      <c r="T22" s="774" t="s">
        <v>17</v>
      </c>
      <c r="U22" s="775">
        <f>H22</f>
        <v>100</v>
      </c>
      <c r="V22" s="774" t="s">
        <v>17</v>
      </c>
      <c r="W22" s="775">
        <f>J22</f>
        <v>100</v>
      </c>
      <c r="X22" s="1815"/>
      <c r="Y22" s="3237"/>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7"/>
      <c r="Q23" s="1812">
        <f>B23</f>
        <v>111</v>
      </c>
      <c r="R23" s="774" t="s">
        <v>17</v>
      </c>
      <c r="S23" s="775">
        <f>F23</f>
        <v>100</v>
      </c>
      <c r="T23" s="774" t="s">
        <v>17</v>
      </c>
      <c r="U23" s="775">
        <f>H23</f>
        <v>100</v>
      </c>
      <c r="V23" s="774" t="s">
        <v>17</v>
      </c>
      <c r="W23" s="775">
        <f>J23</f>
        <v>100</v>
      </c>
      <c r="X23" s="1815"/>
      <c r="Y23" s="3237"/>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7"/>
      <c r="Q24" s="1812">
        <f t="shared" ref="Q24:Q34" si="11">B24</f>
        <v>111</v>
      </c>
      <c r="R24" s="774" t="s">
        <v>17</v>
      </c>
      <c r="S24" s="775">
        <f>F24</f>
        <v>100</v>
      </c>
      <c r="T24" s="774" t="s">
        <v>17</v>
      </c>
      <c r="U24" s="775">
        <f>H24</f>
        <v>100</v>
      </c>
      <c r="V24" s="774" t="s">
        <v>17</v>
      </c>
      <c r="W24" s="775">
        <f>J24</f>
        <v>100</v>
      </c>
      <c r="X24" s="1815"/>
      <c r="Y24" s="3237"/>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37"/>
      <c r="Q25" s="1797">
        <f t="shared" si="11"/>
        <v>111</v>
      </c>
      <c r="R25" s="770" t="s">
        <v>17</v>
      </c>
      <c r="S25" s="771">
        <f>F25</f>
        <v>100</v>
      </c>
      <c r="T25" s="770" t="s">
        <v>17</v>
      </c>
      <c r="U25" s="771">
        <f>H25</f>
        <v>100</v>
      </c>
      <c r="V25" s="770" t="s">
        <v>17</v>
      </c>
      <c r="W25" s="771">
        <f>J25</f>
        <v>100</v>
      </c>
      <c r="X25" s="772"/>
      <c r="Y25" s="3237"/>
      <c r="Z25" s="55">
        <f>Q25</f>
        <v>111</v>
      </c>
      <c r="AA25" s="1813">
        <f>D25/F25</f>
        <v>1</v>
      </c>
      <c r="AB25" s="1813">
        <f>D25/H25</f>
        <v>1</v>
      </c>
      <c r="AC25" s="1813">
        <f>D25/J25</f>
        <v>1</v>
      </c>
    </row>
    <row r="26" spans="1:29" ht="15">
      <c r="A26" s="466" t="s">
        <v>2567</v>
      </c>
      <c r="B26" s="71" t="s">
        <v>2718</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62"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1"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1"/>
      <c r="Q28" s="1812" t="str">
        <f t="shared" si="11"/>
        <v>物业等级</v>
      </c>
      <c r="R28" s="774" t="s">
        <v>17</v>
      </c>
      <c r="S28" s="775">
        <f t="shared" si="12"/>
        <v>100</v>
      </c>
      <c r="T28" s="774" t="s">
        <v>17</v>
      </c>
      <c r="U28" s="775">
        <f t="shared" si="13"/>
        <v>100</v>
      </c>
      <c r="V28" s="774" t="s">
        <v>17</v>
      </c>
      <c r="W28" s="775">
        <f t="shared" si="14"/>
        <v>100</v>
      </c>
      <c r="X28" s="1815"/>
      <c r="Y28" s="3241"/>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1"/>
      <c r="Q29" s="1812" t="str">
        <f t="shared" si="11"/>
        <v>有无电梯</v>
      </c>
      <c r="R29" s="774" t="s">
        <v>17</v>
      </c>
      <c r="S29" s="775">
        <f t="shared" si="12"/>
        <v>100</v>
      </c>
      <c r="T29" s="774" t="s">
        <v>17</v>
      </c>
      <c r="U29" s="775">
        <f t="shared" si="13"/>
        <v>100</v>
      </c>
      <c r="V29" s="774" t="s">
        <v>17</v>
      </c>
      <c r="W29" s="775">
        <f t="shared" si="14"/>
        <v>100</v>
      </c>
      <c r="X29" s="1815"/>
      <c r="Y29" s="3241"/>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1"/>
      <c r="Q30" s="1812" t="str">
        <f t="shared" si="11"/>
        <v>建筑面积</v>
      </c>
      <c r="R30" s="774" t="s">
        <v>17</v>
      </c>
      <c r="S30" s="775" t="e">
        <f t="shared" si="12"/>
        <v>#N/A</v>
      </c>
      <c r="T30" s="774" t="s">
        <v>17</v>
      </c>
      <c r="U30" s="775" t="e">
        <f t="shared" si="13"/>
        <v>#N/A</v>
      </c>
      <c r="V30" s="774" t="s">
        <v>17</v>
      </c>
      <c r="W30" s="775" t="e">
        <f t="shared" si="14"/>
        <v>#N/A</v>
      </c>
      <c r="X30" s="1815"/>
      <c r="Y30" s="3241"/>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1"/>
      <c r="Q31" s="1797"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1" t="s">
        <v>2569</v>
      </c>
      <c r="Q32" s="1812">
        <f t="shared" si="11"/>
        <v>111</v>
      </c>
      <c r="R32" s="774" t="s">
        <v>17</v>
      </c>
      <c r="S32" s="775">
        <f t="shared" si="12"/>
        <v>100</v>
      </c>
      <c r="T32" s="774" t="s">
        <v>17</v>
      </c>
      <c r="U32" s="775">
        <f t="shared" si="13"/>
        <v>100</v>
      </c>
      <c r="V32" s="774" t="s">
        <v>17</v>
      </c>
      <c r="W32" s="775">
        <f t="shared" si="14"/>
        <v>100</v>
      </c>
      <c r="X32" s="1815"/>
      <c r="Y32" s="3241" t="s">
        <v>2569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1"/>
      <c r="Q33" s="1812">
        <f t="shared" si="11"/>
        <v>111</v>
      </c>
      <c r="R33" s="774" t="s">
        <v>17</v>
      </c>
      <c r="S33" s="775">
        <f t="shared" si="12"/>
        <v>100</v>
      </c>
      <c r="T33" s="774" t="s">
        <v>17</v>
      </c>
      <c r="U33" s="775">
        <f t="shared" si="13"/>
        <v>100</v>
      </c>
      <c r="V33" s="774" t="s">
        <v>17</v>
      </c>
      <c r="W33" s="775">
        <f t="shared" si="14"/>
        <v>100</v>
      </c>
      <c r="X33" s="1815"/>
      <c r="Y33" s="3241"/>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41"/>
      <c r="Q34" s="1812">
        <f t="shared" si="11"/>
        <v>111</v>
      </c>
      <c r="R34" s="774" t="s">
        <v>17</v>
      </c>
      <c r="S34" s="775">
        <f t="shared" si="12"/>
        <v>100</v>
      </c>
      <c r="T34" s="774" t="s">
        <v>17</v>
      </c>
      <c r="U34" s="775">
        <f t="shared" si="13"/>
        <v>100</v>
      </c>
      <c r="V34" s="774" t="s">
        <v>17</v>
      </c>
      <c r="W34" s="775">
        <f t="shared" si="14"/>
        <v>100</v>
      </c>
      <c r="X34" s="1815"/>
      <c r="Y34" s="3241"/>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6"/>
      <c r="M35" s="1147"/>
      <c r="N35" s="1134"/>
      <c r="O35" s="1147"/>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6"/>
      <c r="M36" s="1147"/>
      <c r="N36" s="1134"/>
      <c r="O36" s="1147"/>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6"/>
      <c r="M37" s="1147"/>
      <c r="N37" s="1147"/>
      <c r="O37" s="1147"/>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#N/A</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04" t="s">
        <v>2651</v>
      </c>
      <c r="S4" s="3205"/>
      <c r="T4" s="3204" t="s">
        <v>2652</v>
      </c>
      <c r="U4" s="3205"/>
      <c r="V4" s="3229" t="s">
        <v>2653</v>
      </c>
      <c r="W4" s="3229"/>
      <c r="X4" s="1815"/>
      <c r="Y4" s="3204" t="s">
        <v>2655</v>
      </c>
      <c r="Z4" s="3205"/>
      <c r="AA4" s="3199" t="s">
        <v>2651</v>
      </c>
      <c r="AB4" s="3200" t="s">
        <v>2652</v>
      </c>
      <c r="AC4" s="3199" t="s">
        <v>2653</v>
      </c>
    </row>
    <row r="5" spans="1:30" ht="15">
      <c r="A5" s="404"/>
      <c r="B5" s="405"/>
      <c r="C5" s="3210" t="s">
        <v>2546</v>
      </c>
      <c r="D5" s="3211"/>
      <c r="E5" s="3248" t="s">
        <v>3069</v>
      </c>
      <c r="F5" s="3209"/>
      <c r="G5" s="3249" t="s">
        <v>3070</v>
      </c>
      <c r="H5" s="3211"/>
      <c r="I5" s="3249" t="s">
        <v>3071</v>
      </c>
      <c r="J5" s="3211"/>
      <c r="K5" s="610"/>
      <c r="L5" s="1133"/>
      <c r="M5" s="1134"/>
      <c r="N5" s="1134"/>
      <c r="O5" s="1134"/>
      <c r="P5" s="3223"/>
      <c r="Q5" s="3224"/>
      <c r="R5" s="3206"/>
      <c r="S5" s="3207"/>
      <c r="T5" s="3206"/>
      <c r="U5" s="3207"/>
      <c r="V5" s="3229"/>
      <c r="W5" s="3229"/>
      <c r="X5" s="1815"/>
      <c r="Y5" s="3206"/>
      <c r="Z5" s="3207"/>
      <c r="AA5" s="3200"/>
      <c r="AB5" s="3200"/>
      <c r="AC5" s="3200"/>
    </row>
    <row r="6" spans="1:30" ht="15.75" thickBot="1">
      <c r="A6" s="406"/>
      <c r="B6" s="407"/>
      <c r="C6" s="3212" t="s">
        <v>2550</v>
      </c>
      <c r="D6" s="3213"/>
      <c r="E6" s="3214" t="s">
        <v>2550</v>
      </c>
      <c r="F6" s="3215"/>
      <c r="G6" s="3212" t="s">
        <v>2550</v>
      </c>
      <c r="H6" s="3213"/>
      <c r="I6" s="3212" t="s">
        <v>2550</v>
      </c>
      <c r="J6" s="3213"/>
      <c r="K6" s="610" t="s">
        <v>2551</v>
      </c>
      <c r="L6" s="1133"/>
      <c r="M6" s="1134"/>
      <c r="N6" s="1134"/>
      <c r="O6" s="1134"/>
      <c r="P6" s="3225"/>
      <c r="Q6" s="3226"/>
      <c r="R6" s="3206"/>
      <c r="S6" s="3207"/>
      <c r="T6" s="3227"/>
      <c r="U6" s="3228"/>
      <c r="V6" s="3229"/>
      <c r="W6" s="3229"/>
      <c r="X6" s="1815"/>
      <c r="Y6" s="3227"/>
      <c r="Z6" s="3228"/>
      <c r="AA6" s="3201"/>
      <c r="AB6" s="3201"/>
      <c r="AC6" s="3201"/>
    </row>
    <row r="7" spans="1:30" s="117" customFormat="1" ht="15.75" thickBot="1">
      <c r="A7" s="408" t="s">
        <v>2552</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202" t="s">
        <v>2553</v>
      </c>
      <c r="Q7" s="3230"/>
      <c r="R7" s="770" t="s">
        <v>17</v>
      </c>
      <c r="S7" s="771">
        <f t="shared" ref="S7:S15" si="0">F7</f>
        <v>100</v>
      </c>
      <c r="T7" s="770" t="s">
        <v>17</v>
      </c>
      <c r="U7" s="771">
        <f t="shared" ref="U7:U15" si="1">H7</f>
        <v>100</v>
      </c>
      <c r="V7" s="770" t="s">
        <v>17</v>
      </c>
      <c r="W7" s="771">
        <f t="shared" ref="W7:W15" si="2">J7</f>
        <v>100</v>
      </c>
      <c r="X7" s="772"/>
      <c r="Y7" s="3202" t="s">
        <v>2553</v>
      </c>
      <c r="Z7" s="3203"/>
      <c r="AA7" s="773">
        <f>D7/F7</f>
        <v>1</v>
      </c>
      <c r="AB7" s="773">
        <f>D7/H7</f>
        <v>1</v>
      </c>
      <c r="AC7" s="773">
        <f>D7/J7</f>
        <v>1</v>
      </c>
    </row>
    <row r="8" spans="1:30" s="117" customFormat="1" ht="15.75" thickBot="1">
      <c r="A8" s="408" t="s">
        <v>2554</v>
      </c>
      <c r="B8" s="409"/>
      <c r="C8" s="414" t="s">
        <v>2555</v>
      </c>
      <c r="D8" s="411">
        <v>100</v>
      </c>
      <c r="E8" s="2946" t="s">
        <v>3067</v>
      </c>
      <c r="F8" s="413">
        <f>SUMIF(73:73,E8,74:74)-SUMIF(73:73,C8,74:74)+100</f>
        <v>100</v>
      </c>
      <c r="G8" s="2946" t="s">
        <v>3067</v>
      </c>
      <c r="H8" s="411">
        <f>SUMIF(73:73,G8,74:74)-SUMIF(73:73,C8,74:74)+100</f>
        <v>100</v>
      </c>
      <c r="I8" s="2946" t="s">
        <v>3067</v>
      </c>
      <c r="J8" s="411">
        <f>SUMIF(73:73,I8,74:74)-SUMIF(73:73,C8,74:74)+100</f>
        <v>100</v>
      </c>
      <c r="K8" s="611"/>
      <c r="L8" s="1135"/>
      <c r="M8" s="1136"/>
      <c r="N8" s="1136"/>
      <c r="O8" s="1136"/>
      <c r="P8" s="3202" t="s">
        <v>2556</v>
      </c>
      <c r="Q8" s="3203"/>
      <c r="R8" s="770" t="s">
        <v>17</v>
      </c>
      <c r="S8" s="771">
        <f t="shared" si="0"/>
        <v>100</v>
      </c>
      <c r="T8" s="770" t="s">
        <v>17</v>
      </c>
      <c r="U8" s="771">
        <f t="shared" si="1"/>
        <v>100</v>
      </c>
      <c r="V8" s="770" t="s">
        <v>17</v>
      </c>
      <c r="W8" s="771">
        <f t="shared" si="2"/>
        <v>100</v>
      </c>
      <c r="X8" s="772"/>
      <c r="Y8" s="3202" t="s">
        <v>2556</v>
      </c>
      <c r="Z8" s="3203"/>
      <c r="AA8" s="773">
        <f t="shared" ref="AA8:AA45" si="3">D8/F8</f>
        <v>1</v>
      </c>
      <c r="AB8" s="773">
        <f t="shared" ref="AB8:AB45" si="4">D8/H8</f>
        <v>1</v>
      </c>
      <c r="AC8" s="773">
        <f t="shared" ref="AC8:AC45" si="5">D8/J8</f>
        <v>1</v>
      </c>
    </row>
    <row r="9" spans="1:30" s="117" customFormat="1">
      <c r="A9" s="415" t="s">
        <v>2557</v>
      </c>
      <c r="B9" s="71" t="s">
        <v>2558</v>
      </c>
      <c r="C9" s="2947" t="s">
        <v>3068</v>
      </c>
      <c r="D9" s="135">
        <v>100</v>
      </c>
      <c r="E9" s="2947" t="s">
        <v>3068</v>
      </c>
      <c r="F9" s="135">
        <f>SUMIF(75:75,E9,76:76)-SUMIF(75:75,C9,76:76)+100</f>
        <v>100</v>
      </c>
      <c r="G9" s="2947" t="s">
        <v>3068</v>
      </c>
      <c r="H9" s="135">
        <f>SUMIF(75:75,G9,76:76)-SUMIF(75:75,C9,76:76)+100</f>
        <v>100</v>
      </c>
      <c r="I9" s="2947" t="s">
        <v>3068</v>
      </c>
      <c r="J9" s="135">
        <f>SUMIF(75:75,I9,76:76)-SUMIF(75:75,C9,76:76)+100</f>
        <v>100</v>
      </c>
      <c r="K9" s="611"/>
      <c r="L9" s="1135"/>
      <c r="M9" s="1136"/>
      <c r="N9" s="1136"/>
      <c r="O9" s="1137"/>
      <c r="P9" s="3234" t="s">
        <v>2559</v>
      </c>
      <c r="Q9" s="1797" t="str">
        <f t="shared" ref="Q9:Q15" si="6">B9</f>
        <v>用途</v>
      </c>
      <c r="R9" s="770" t="s">
        <v>17</v>
      </c>
      <c r="S9" s="771">
        <f t="shared" si="0"/>
        <v>100</v>
      </c>
      <c r="T9" s="770" t="s">
        <v>17</v>
      </c>
      <c r="U9" s="771">
        <f t="shared" si="1"/>
        <v>100</v>
      </c>
      <c r="V9" s="770" t="s">
        <v>17</v>
      </c>
      <c r="W9" s="771">
        <f t="shared" si="2"/>
        <v>100</v>
      </c>
      <c r="X9" s="772"/>
      <c r="Y9" s="3049"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34"/>
      <c r="Q10" s="1797" t="str">
        <f t="shared" si="6"/>
        <v>土地使用年限（年）</v>
      </c>
      <c r="R10" s="770" t="s">
        <v>17</v>
      </c>
      <c r="S10" s="771">
        <f t="shared" si="0"/>
        <v>104</v>
      </c>
      <c r="T10" s="770" t="s">
        <v>17</v>
      </c>
      <c r="U10" s="771">
        <f t="shared" si="1"/>
        <v>104</v>
      </c>
      <c r="V10" s="770" t="s">
        <v>17</v>
      </c>
      <c r="W10" s="771">
        <f t="shared" si="2"/>
        <v>104</v>
      </c>
      <c r="X10" s="772"/>
      <c r="Y10" s="3049"/>
      <c r="Z10" s="55" t="str">
        <f t="shared" si="7"/>
        <v>土地使用年限（年）</v>
      </c>
      <c r="AA10" s="773">
        <f t="shared" si="3"/>
        <v>0.96153846153846156</v>
      </c>
      <c r="AB10" s="773">
        <f t="shared" si="4"/>
        <v>0.96153846153846156</v>
      </c>
      <c r="AC10" s="773">
        <f t="shared" si="5"/>
        <v>0.96153846153846156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7"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601"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7"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7">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7">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99.75">
      <c r="A15" s="440" t="s">
        <v>2563</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6" t="s">
        <v>2564</v>
      </c>
      <c r="Q15" s="1812" t="str">
        <f t="shared" si="6"/>
        <v>居住社区成熟度</v>
      </c>
      <c r="R15" s="774" t="s">
        <v>17</v>
      </c>
      <c r="S15" s="775">
        <f t="shared" si="0"/>
        <v>100</v>
      </c>
      <c r="T15" s="774" t="s">
        <v>17</v>
      </c>
      <c r="U15" s="775">
        <f t="shared" si="1"/>
        <v>100</v>
      </c>
      <c r="V15" s="774" t="s">
        <v>17</v>
      </c>
      <c r="W15" s="775">
        <f t="shared" si="2"/>
        <v>100</v>
      </c>
      <c r="X15" s="1815"/>
      <c r="Y15" s="3236" t="s">
        <v>2564</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237"/>
      <c r="Q16" s="1812"/>
      <c r="R16" s="774"/>
      <c r="S16" s="775"/>
      <c r="T16" s="774"/>
      <c r="U16" s="775"/>
      <c r="V16" s="774"/>
      <c r="W16" s="775"/>
      <c r="X16" s="1815"/>
      <c r="Y16" s="3237"/>
      <c r="Z16" s="1816"/>
      <c r="AA16" s="1813">
        <v>1</v>
      </c>
      <c r="AB16" s="1813">
        <v>1</v>
      </c>
      <c r="AC16" s="1813">
        <v>1</v>
      </c>
    </row>
    <row r="17" spans="1:29" ht="71.25" hidden="1">
      <c r="A17" s="428"/>
      <c r="B17" s="45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7"/>
      <c r="Q17" s="1812" t="str">
        <f>B17</f>
        <v>商业繁华度</v>
      </c>
      <c r="R17" s="774" t="s">
        <v>17</v>
      </c>
      <c r="S17" s="775">
        <f>F17</f>
        <v>100</v>
      </c>
      <c r="T17" s="774" t="s">
        <v>17</v>
      </c>
      <c r="U17" s="775">
        <f>H17</f>
        <v>100</v>
      </c>
      <c r="V17" s="774" t="s">
        <v>17</v>
      </c>
      <c r="W17" s="775">
        <f>J17</f>
        <v>100</v>
      </c>
      <c r="X17" s="1815"/>
      <c r="Y17" s="3237"/>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237"/>
      <c r="Q18" s="1812"/>
      <c r="R18" s="774"/>
      <c r="S18" s="775"/>
      <c r="T18" s="774"/>
      <c r="U18" s="775"/>
      <c r="V18" s="774"/>
      <c r="W18" s="775"/>
      <c r="X18" s="1815"/>
      <c r="Y18" s="3237"/>
      <c r="Z18" s="1816"/>
      <c r="AA18" s="1813">
        <v>1</v>
      </c>
      <c r="AB18" s="1813">
        <v>1</v>
      </c>
      <c r="AC18" s="1813">
        <v>1</v>
      </c>
    </row>
    <row r="19" spans="1:29" ht="71.25">
      <c r="A19" s="428"/>
      <c r="B19" s="45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7"/>
      <c r="Q19" s="1812" t="str">
        <f>B19</f>
        <v>办公集聚程度</v>
      </c>
      <c r="R19" s="774" t="s">
        <v>17</v>
      </c>
      <c r="S19" s="775">
        <f>F19</f>
        <v>100</v>
      </c>
      <c r="T19" s="774" t="s">
        <v>17</v>
      </c>
      <c r="U19" s="775">
        <f>H19</f>
        <v>100</v>
      </c>
      <c r="V19" s="774" t="s">
        <v>17</v>
      </c>
      <c r="W19" s="775">
        <f>J19</f>
        <v>100</v>
      </c>
      <c r="X19" s="1815"/>
      <c r="Y19" s="3237"/>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237"/>
      <c r="Q20" s="1812"/>
      <c r="R20" s="774"/>
      <c r="S20" s="775"/>
      <c r="T20" s="774"/>
      <c r="U20" s="775"/>
      <c r="V20" s="774"/>
      <c r="W20" s="775"/>
      <c r="X20" s="1815"/>
      <c r="Y20" s="3237"/>
      <c r="Z20" s="1816"/>
      <c r="AA20" s="1813">
        <v>1</v>
      </c>
      <c r="AB20" s="1813">
        <v>1</v>
      </c>
      <c r="AC20" s="1813">
        <v>1</v>
      </c>
    </row>
    <row r="21" spans="1:29" ht="85.5">
      <c r="A21" s="428"/>
      <c r="B21" s="45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7"/>
      <c r="Q21" s="1812" t="str">
        <f>B21</f>
        <v>交通便捷度</v>
      </c>
      <c r="R21" s="774" t="s">
        <v>17</v>
      </c>
      <c r="S21" s="775">
        <f>F21</f>
        <v>100</v>
      </c>
      <c r="T21" s="774" t="s">
        <v>17</v>
      </c>
      <c r="U21" s="775">
        <f>H21</f>
        <v>100</v>
      </c>
      <c r="V21" s="774" t="s">
        <v>17</v>
      </c>
      <c r="W21" s="775">
        <f>J21</f>
        <v>100</v>
      </c>
      <c r="X21" s="1815"/>
      <c r="Y21" s="3237"/>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237"/>
      <c r="Q22" s="1812"/>
      <c r="R22" s="774"/>
      <c r="S22" s="775"/>
      <c r="T22" s="774"/>
      <c r="U22" s="775"/>
      <c r="V22" s="774"/>
      <c r="W22" s="775"/>
      <c r="X22" s="1815"/>
      <c r="Y22" s="3237"/>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7"/>
      <c r="Q23" s="1812" t="str">
        <f t="shared" ref="Q23:Q37" si="8">B23</f>
        <v>区域土地利用方向</v>
      </c>
      <c r="R23" s="774" t="s">
        <v>17</v>
      </c>
      <c r="S23" s="775">
        <f>F23</f>
        <v>100</v>
      </c>
      <c r="T23" s="774" t="s">
        <v>17</v>
      </c>
      <c r="U23" s="775">
        <f>H23</f>
        <v>100</v>
      </c>
      <c r="V23" s="774" t="s">
        <v>17</v>
      </c>
      <c r="W23" s="775">
        <f>J23</f>
        <v>100</v>
      </c>
      <c r="X23" s="1815"/>
      <c r="Y23" s="3237"/>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237"/>
      <c r="Q24" s="1812"/>
      <c r="R24" s="774"/>
      <c r="S24" s="775"/>
      <c r="T24" s="774"/>
      <c r="U24" s="775"/>
      <c r="V24" s="774"/>
      <c r="W24" s="775"/>
      <c r="X24" s="1815"/>
      <c r="Y24" s="3237"/>
      <c r="Z24" s="1816"/>
      <c r="AA24" s="1813"/>
      <c r="AB24" s="1813"/>
      <c r="AC24" s="1813"/>
    </row>
    <row r="25" spans="1:29" ht="57">
      <c r="A25" s="404"/>
      <c r="B25" s="1386" t="s">
        <v>2753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7"/>
      <c r="Q25" s="1812" t="str">
        <f t="shared" si="8"/>
        <v>自然及人文环境状况</v>
      </c>
      <c r="R25" s="774" t="s">
        <v>17</v>
      </c>
      <c r="S25" s="775">
        <f>F25</f>
        <v>100</v>
      </c>
      <c r="T25" s="774" t="s">
        <v>17</v>
      </c>
      <c r="U25" s="775">
        <f>H25</f>
        <v>100</v>
      </c>
      <c r="V25" s="774" t="s">
        <v>17</v>
      </c>
      <c r="W25" s="775">
        <f>J25</f>
        <v>100</v>
      </c>
      <c r="X25" s="1815"/>
      <c r="Y25" s="3237"/>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237"/>
      <c r="Q26" s="1812"/>
      <c r="R26" s="774"/>
      <c r="S26" s="775"/>
      <c r="T26" s="774"/>
      <c r="U26" s="775"/>
      <c r="V26" s="774"/>
      <c r="W26" s="775"/>
      <c r="X26" s="1815"/>
      <c r="Y26" s="3237"/>
      <c r="Z26" s="1816"/>
      <c r="AA26" s="1813">
        <v>1</v>
      </c>
      <c r="AB26" s="1813">
        <v>1</v>
      </c>
      <c r="AC26" s="1813">
        <v>1</v>
      </c>
    </row>
    <row r="27" spans="1:29" s="117" customFormat="1" ht="42.75">
      <c r="A27" s="649"/>
      <c r="B27" s="1386"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7"/>
      <c r="Q27" s="1797" t="str">
        <f t="shared" si="8"/>
        <v>公共配套设施</v>
      </c>
      <c r="R27" s="770" t="s">
        <v>17</v>
      </c>
      <c r="S27" s="771">
        <f>F27</f>
        <v>100</v>
      </c>
      <c r="T27" s="770" t="s">
        <v>17</v>
      </c>
      <c r="U27" s="771">
        <f>H27</f>
        <v>100</v>
      </c>
      <c r="V27" s="770" t="s">
        <v>17</v>
      </c>
      <c r="W27" s="771">
        <f>J27</f>
        <v>100</v>
      </c>
      <c r="X27" s="772"/>
      <c r="Y27" s="3237"/>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237"/>
      <c r="Q28" s="1797"/>
      <c r="R28" s="770"/>
      <c r="S28" s="771"/>
      <c r="T28" s="770"/>
      <c r="U28" s="771"/>
      <c r="V28" s="770"/>
      <c r="W28" s="771"/>
      <c r="X28" s="772"/>
      <c r="Y28" s="3237"/>
      <c r="Z28" s="55"/>
      <c r="AA28" s="1813">
        <v>1</v>
      </c>
      <c r="AB28" s="1813">
        <v>1</v>
      </c>
      <c r="AC28" s="1813">
        <v>1</v>
      </c>
    </row>
    <row r="29" spans="1:29" s="117" customFormat="1" ht="28.5">
      <c r="A29" s="649"/>
      <c r="B29" s="1386"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7"/>
      <c r="Q29" s="1797"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237"/>
      <c r="Q30" s="1797"/>
      <c r="R30" s="770"/>
      <c r="S30" s="771"/>
      <c r="T30" s="770"/>
      <c r="U30" s="771"/>
      <c r="V30" s="770"/>
      <c r="W30" s="771"/>
      <c r="X30" s="772"/>
      <c r="Y30" s="3237"/>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7"/>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7"/>
      <c r="Q32" s="1812" t="str">
        <f t="shared" si="8"/>
        <v>毗邻道路的类型与等级</v>
      </c>
      <c r="R32" s="774" t="s">
        <v>17</v>
      </c>
      <c r="S32" s="775">
        <f t="shared" si="10"/>
        <v>100</v>
      </c>
      <c r="T32" s="774" t="s">
        <v>17</v>
      </c>
      <c r="U32" s="775">
        <f t="shared" si="11"/>
        <v>100</v>
      </c>
      <c r="V32" s="774" t="s">
        <v>17</v>
      </c>
      <c r="W32" s="775">
        <f t="shared" si="12"/>
        <v>100</v>
      </c>
      <c r="X32" s="1815"/>
      <c r="Y32" s="3237"/>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237"/>
      <c r="Q33" s="1812"/>
      <c r="R33" s="774"/>
      <c r="S33" s="775"/>
      <c r="T33" s="774"/>
      <c r="U33" s="775"/>
      <c r="V33" s="774"/>
      <c r="W33" s="775"/>
      <c r="X33" s="1815"/>
      <c r="Y33" s="3237"/>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7"/>
      <c r="Q34" s="1812" t="str">
        <f t="shared" si="8"/>
        <v>土地级别</v>
      </c>
      <c r="R34" s="774" t="s">
        <v>17</v>
      </c>
      <c r="S34" s="775">
        <f t="shared" si="10"/>
        <v>100</v>
      </c>
      <c r="T34" s="774" t="s">
        <v>17</v>
      </c>
      <c r="U34" s="775">
        <f t="shared" si="11"/>
        <v>100</v>
      </c>
      <c r="V34" s="774" t="s">
        <v>17</v>
      </c>
      <c r="W34" s="775">
        <f t="shared" si="12"/>
        <v>100</v>
      </c>
      <c r="X34" s="1815"/>
      <c r="Y34" s="323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7"/>
      <c r="Q35" s="1812">
        <f t="shared" si="8"/>
        <v>111</v>
      </c>
      <c r="R35" s="774" t="s">
        <v>17</v>
      </c>
      <c r="S35" s="775">
        <f t="shared" si="10"/>
        <v>100</v>
      </c>
      <c r="T35" s="774" t="s">
        <v>17</v>
      </c>
      <c r="U35" s="775">
        <f t="shared" si="11"/>
        <v>100</v>
      </c>
      <c r="V35" s="774" t="s">
        <v>17</v>
      </c>
      <c r="W35" s="775">
        <f t="shared" si="12"/>
        <v>100</v>
      </c>
      <c r="X35" s="1815"/>
      <c r="Y35" s="323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2" t="s">
        <v>2569</v>
      </c>
      <c r="Q36" s="1812">
        <f t="shared" si="8"/>
        <v>111</v>
      </c>
      <c r="R36" s="774" t="s">
        <v>17</v>
      </c>
      <c r="S36" s="775">
        <f t="shared" si="10"/>
        <v>100</v>
      </c>
      <c r="T36" s="774" t="s">
        <v>17</v>
      </c>
      <c r="U36" s="775">
        <f t="shared" si="11"/>
        <v>100</v>
      </c>
      <c r="V36" s="774" t="s">
        <v>17</v>
      </c>
      <c r="W36" s="775">
        <f t="shared" si="12"/>
        <v>100</v>
      </c>
      <c r="X36" s="1815"/>
      <c r="Y36" s="3241"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1"/>
      <c r="Q37" s="1812">
        <f t="shared" si="8"/>
        <v>111</v>
      </c>
      <c r="R37" s="777" t="s">
        <v>17</v>
      </c>
      <c r="S37" s="778">
        <f t="shared" si="10"/>
        <v>100</v>
      </c>
      <c r="T37" s="777" t="s">
        <v>17</v>
      </c>
      <c r="U37" s="778">
        <f t="shared" si="11"/>
        <v>100</v>
      </c>
      <c r="V37" s="777" t="s">
        <v>17</v>
      </c>
      <c r="W37" s="778">
        <f t="shared" si="12"/>
        <v>100</v>
      </c>
      <c r="X37" s="779"/>
      <c r="Y37" s="3241"/>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1"/>
      <c r="Q38" s="1812" t="str">
        <f>B38</f>
        <v>宗地面积</v>
      </c>
      <c r="R38" s="774" t="s">
        <v>17</v>
      </c>
      <c r="S38" s="775" t="e">
        <f t="shared" si="10"/>
        <v>#N/A</v>
      </c>
      <c r="T38" s="774" t="s">
        <v>17</v>
      </c>
      <c r="U38" s="775" t="e">
        <f t="shared" si="11"/>
        <v>#N/A</v>
      </c>
      <c r="V38" s="774" t="s">
        <v>17</v>
      </c>
      <c r="W38" s="775" t="e">
        <f t="shared" si="12"/>
        <v>#N/A</v>
      </c>
      <c r="X38" s="1815"/>
      <c r="Y38" s="3241"/>
      <c r="Z38" s="1816" t="str">
        <f t="shared" si="13"/>
        <v>宗地面积</v>
      </c>
      <c r="AA38" s="1813" t="e">
        <f t="shared" si="3"/>
        <v>#N/A</v>
      </c>
      <c r="AB38" s="1813" t="e">
        <f t="shared" si="4"/>
        <v>#N/A</v>
      </c>
      <c r="AC38" s="1813" t="e">
        <f t="shared" si="5"/>
        <v>#N/A</v>
      </c>
    </row>
    <row r="39" spans="1:29" ht="15">
      <c r="A39" s="472"/>
      <c r="B39" s="422" t="s">
        <v>2756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41"/>
      <c r="Q39" s="1812" t="str">
        <f t="shared" ref="Q39:Q45" si="14">B39</f>
        <v>宗地形状</v>
      </c>
      <c r="R39" s="774" t="s">
        <v>17</v>
      </c>
      <c r="S39" s="775">
        <f t="shared" si="10"/>
        <v>100</v>
      </c>
      <c r="T39" s="774" t="s">
        <v>17</v>
      </c>
      <c r="U39" s="775">
        <f t="shared" si="11"/>
        <v>100</v>
      </c>
      <c r="V39" s="774" t="s">
        <v>17</v>
      </c>
      <c r="W39" s="775">
        <f t="shared" si="12"/>
        <v>100</v>
      </c>
      <c r="X39" s="1815"/>
      <c r="Y39" s="3241"/>
      <c r="Z39" s="1816" t="str">
        <f t="shared" si="13"/>
        <v>宗地形状</v>
      </c>
      <c r="AA39" s="1813">
        <f t="shared" si="3"/>
        <v>1</v>
      </c>
      <c r="AB39" s="1813">
        <f t="shared" si="4"/>
        <v>1</v>
      </c>
      <c r="AC39" s="1813">
        <f t="shared" si="5"/>
        <v>1</v>
      </c>
    </row>
    <row r="40" spans="1:29" ht="15">
      <c r="A40" s="472"/>
      <c r="B40" s="422" t="s">
        <v>2757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41"/>
      <c r="Q40" s="1812" t="str">
        <f t="shared" si="14"/>
        <v>临街宽度及深度</v>
      </c>
      <c r="R40" s="774" t="s">
        <v>17</v>
      </c>
      <c r="S40" s="775">
        <f t="shared" si="10"/>
        <v>100</v>
      </c>
      <c r="T40" s="774" t="s">
        <v>17</v>
      </c>
      <c r="U40" s="775">
        <f t="shared" si="11"/>
        <v>100</v>
      </c>
      <c r="V40" s="774" t="s">
        <v>17</v>
      </c>
      <c r="W40" s="775">
        <f t="shared" si="12"/>
        <v>100</v>
      </c>
      <c r="X40" s="1815"/>
      <c r="Y40" s="3241"/>
      <c r="Z40" s="1816" t="str">
        <f t="shared" si="13"/>
        <v>临街宽度及深度</v>
      </c>
      <c r="AA40" s="1813">
        <f t="shared" si="3"/>
        <v>1</v>
      </c>
      <c r="AB40" s="1813">
        <f t="shared" si="4"/>
        <v>1</v>
      </c>
      <c r="AC40" s="1813">
        <f t="shared" si="5"/>
        <v>1</v>
      </c>
    </row>
    <row r="41" spans="1:29" s="117" customFormat="1" ht="15">
      <c r="A41" s="473"/>
      <c r="B41" s="422" t="s">
        <v>2758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41"/>
      <c r="Q41" s="1812"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41" t="s">
        <v>2569</v>
      </c>
      <c r="Q42" s="1812" t="str">
        <f t="shared" si="14"/>
        <v>工程地质条件</v>
      </c>
      <c r="R42" s="774" t="s">
        <v>17</v>
      </c>
      <c r="S42" s="775">
        <f t="shared" si="10"/>
        <v>100</v>
      </c>
      <c r="T42" s="774" t="s">
        <v>17</v>
      </c>
      <c r="U42" s="775">
        <f t="shared" si="11"/>
        <v>100</v>
      </c>
      <c r="V42" s="774" t="s">
        <v>17</v>
      </c>
      <c r="W42" s="775">
        <f t="shared" si="12"/>
        <v>100</v>
      </c>
      <c r="X42" s="1815"/>
      <c r="Y42" s="3241"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1"/>
      <c r="Q43" s="1812">
        <f t="shared" si="14"/>
        <v>111</v>
      </c>
      <c r="R43" s="774" t="s">
        <v>17</v>
      </c>
      <c r="S43" s="775">
        <f t="shared" si="10"/>
        <v>100</v>
      </c>
      <c r="T43" s="774" t="s">
        <v>17</v>
      </c>
      <c r="U43" s="775">
        <f t="shared" si="11"/>
        <v>100</v>
      </c>
      <c r="V43" s="774" t="s">
        <v>17</v>
      </c>
      <c r="W43" s="775">
        <f t="shared" si="12"/>
        <v>100</v>
      </c>
      <c r="X43" s="1815"/>
      <c r="Y43" s="324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1"/>
      <c r="Q44" s="1812">
        <f t="shared" si="14"/>
        <v>111</v>
      </c>
      <c r="R44" s="774" t="s">
        <v>17</v>
      </c>
      <c r="S44" s="775">
        <f t="shared" si="10"/>
        <v>100</v>
      </c>
      <c r="T44" s="774" t="s">
        <v>17</v>
      </c>
      <c r="U44" s="775">
        <f t="shared" si="11"/>
        <v>100</v>
      </c>
      <c r="V44" s="774" t="s">
        <v>17</v>
      </c>
      <c r="W44" s="775">
        <f t="shared" si="12"/>
        <v>100</v>
      </c>
      <c r="X44" s="1815"/>
      <c r="Y44" s="3241"/>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1"/>
      <c r="Q45" s="1812">
        <f t="shared" si="14"/>
        <v>111</v>
      </c>
      <c r="R45" s="777" t="s">
        <v>17</v>
      </c>
      <c r="S45" s="778">
        <f t="shared" si="10"/>
        <v>100</v>
      </c>
      <c r="T45" s="777" t="s">
        <v>17</v>
      </c>
      <c r="U45" s="778">
        <f t="shared" si="11"/>
        <v>100</v>
      </c>
      <c r="V45" s="777" t="s">
        <v>17</v>
      </c>
      <c r="W45" s="778">
        <f t="shared" si="12"/>
        <v>100</v>
      </c>
      <c r="X45" s="779"/>
      <c r="Y45" s="3241"/>
      <c r="Z45" s="780">
        <f t="shared" si="13"/>
        <v>111</v>
      </c>
      <c r="AA45" s="1813">
        <f t="shared" si="3"/>
        <v>1</v>
      </c>
      <c r="AB45" s="1813">
        <f t="shared" si="4"/>
        <v>1</v>
      </c>
      <c r="AC45" s="1813">
        <f t="shared" si="5"/>
        <v>1</v>
      </c>
    </row>
    <row r="46" spans="1:29" ht="15">
      <c r="A46" s="479" t="s">
        <v>2724</v>
      </c>
      <c r="B46" s="2704" t="s">
        <v>2760</v>
      </c>
      <c r="C46" s="682" t="s">
        <v>1</v>
      </c>
      <c r="D46" s="481"/>
      <c r="E46" s="482"/>
      <c r="F46" s="483"/>
      <c r="G46" s="484"/>
      <c r="H46" s="485"/>
      <c r="I46" s="482"/>
      <c r="J46" s="485"/>
      <c r="K46" s="783"/>
      <c r="L46" s="1146"/>
      <c r="M46" s="1147"/>
      <c r="N46" s="1134"/>
      <c r="O46" s="1147"/>
      <c r="P46" s="3234" t="str">
        <f>A46</f>
        <v>成交单价</v>
      </c>
      <c r="Q46" s="3234"/>
      <c r="R46" s="3229">
        <f>E46</f>
        <v>0</v>
      </c>
      <c r="S46" s="3229"/>
      <c r="T46" s="3229">
        <f>G46</f>
        <v>0</v>
      </c>
      <c r="U46" s="3229"/>
      <c r="V46" s="3229">
        <f>I46</f>
        <v>0</v>
      </c>
      <c r="W46" s="3229"/>
      <c r="X46" s="759"/>
      <c r="Y46" s="781"/>
      <c r="Z46" s="759"/>
      <c r="AA46" s="759"/>
      <c r="AB46" s="759"/>
      <c r="AC46" s="759"/>
    </row>
    <row r="47" spans="1:29" ht="15.75" thickBot="1">
      <c r="A47" s="486" t="s">
        <v>2673</v>
      </c>
      <c r="B47" s="683"/>
      <c r="C47" s="490" t="e">
        <f>R48</f>
        <v>#N/A</v>
      </c>
      <c r="D47" s="489"/>
      <c r="E47" s="490" t="e">
        <f>R47</f>
        <v>#N/A</v>
      </c>
      <c r="F47" s="491"/>
      <c r="G47" s="488" t="e">
        <f>T47</f>
        <v>#N/A</v>
      </c>
      <c r="H47" s="489"/>
      <c r="I47" s="490" t="e">
        <f>V47</f>
        <v>#N/A</v>
      </c>
      <c r="J47" s="489"/>
      <c r="K47" s="784"/>
      <c r="L47" s="1146"/>
      <c r="M47" s="1147"/>
      <c r="N47" s="1147"/>
      <c r="O47" s="1147"/>
      <c r="P47" s="3234" t="str">
        <f>A47</f>
        <v>比较价值（元/平方米）</v>
      </c>
      <c r="Q47" s="3234"/>
      <c r="R47" s="3263" t="e">
        <f>ROUND(PRODUCT(R46,AA7:AA45),0)</f>
        <v>#N/A</v>
      </c>
      <c r="S47" s="3263"/>
      <c r="T47" s="3263" t="e">
        <f>ROUND(PRODUCT(T46,AB7:AB45),0)</f>
        <v>#N/A</v>
      </c>
      <c r="U47" s="3263"/>
      <c r="V47" s="3263" t="e">
        <f>ROUND(PRODUCT(V46,AC7:AC45),0)</f>
        <v>#N/A</v>
      </c>
      <c r="W47" s="3263"/>
      <c r="X47" s="759"/>
      <c r="Y47" s="759"/>
      <c r="Z47" s="759"/>
      <c r="AA47" s="759"/>
      <c r="AB47" s="759"/>
      <c r="AC47" s="759"/>
    </row>
    <row r="48" spans="1:29" ht="15.75" thickBot="1">
      <c r="A48" s="492" t="s">
        <v>2761</v>
      </c>
      <c r="B48" s="493"/>
      <c r="C48" s="494" t="e">
        <f>R48</f>
        <v>#N/A</v>
      </c>
      <c r="D48" s="494"/>
      <c r="E48" s="494"/>
      <c r="F48" s="494"/>
      <c r="G48" s="494"/>
      <c r="H48" s="494"/>
      <c r="I48" s="494"/>
      <c r="J48" s="494"/>
      <c r="K48" s="785"/>
      <c r="L48" s="1146"/>
      <c r="M48" s="1147"/>
      <c r="N48" s="1147"/>
      <c r="O48" s="1147"/>
      <c r="P48" s="3231" t="str">
        <f>A48</f>
        <v>估价对象XX用房的比较价值（楼面单价，元/平方米）</v>
      </c>
      <c r="Q48" s="3232"/>
      <c r="R48" s="3264" t="e">
        <f>ROUND(AVERAGE(R47:V47),0)</f>
        <v>#N/A</v>
      </c>
      <c r="S48" s="3264"/>
      <c r="T48" s="3264"/>
      <c r="U48" s="3264"/>
      <c r="V48" s="3264"/>
      <c r="W48" s="32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2676</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05" t="s">
        <v>2764</v>
      </c>
      <c r="D55" s="2706" t="s">
        <v>2765</v>
      </c>
      <c r="E55" s="686" t="s">
        <v>2766</v>
      </c>
      <c r="F55" s="1110" t="s">
        <v>2767</v>
      </c>
      <c r="G55" s="3217" t="s">
        <v>2768</v>
      </c>
      <c r="H55" s="3265"/>
      <c r="I55" s="144" t="s">
        <v>2769</v>
      </c>
      <c r="J55" s="2707" t="str">
        <f>项目基本情况!F35</f>
        <v>湖北省武汉市</v>
      </c>
      <c r="K55" s="2708" t="s">
        <v>2770</v>
      </c>
      <c r="L55" s="1109"/>
      <c r="M55" s="1147"/>
      <c r="N55" s="1147"/>
      <c r="O55" s="1147"/>
    </row>
    <row r="56" spans="1:15" s="692" customFormat="1">
      <c r="A56" s="688" t="s">
        <v>2771</v>
      </c>
      <c r="B56" s="689" t="e">
        <f>C48</f>
        <v>#N/A</v>
      </c>
      <c r="C56" s="690">
        <v>1</v>
      </c>
      <c r="D56" s="1166">
        <v>1</v>
      </c>
      <c r="E56" s="690">
        <f>'数据-汇总表'!E8+'数据-汇总表'!E9</f>
        <v>107.51</v>
      </c>
      <c r="F56" s="1106" t="e">
        <f t="shared" ref="F56:F65" si="15">ROUND(B56*E56/10000,0)</f>
        <v>#N/A</v>
      </c>
      <c r="G56" s="3216"/>
      <c r="H56" s="3234"/>
      <c r="I56" s="1111">
        <v>1</v>
      </c>
      <c r="J56" s="1114">
        <v>1</v>
      </c>
      <c r="K56" s="1148"/>
      <c r="L56" s="944"/>
      <c r="M56" s="944"/>
      <c r="N56" s="944"/>
      <c r="O56" s="944"/>
    </row>
    <row r="57" spans="1:15" s="692" customFormat="1">
      <c r="A57" s="693" t="s">
        <v>2772</v>
      </c>
      <c r="B57" s="262" t="e">
        <f>ROUND($C$48*C57*D57,0)</f>
        <v>#N/A</v>
      </c>
      <c r="C57" s="200">
        <f t="shared" ref="C57:C65" si="16">IF($C$55="北京市系数",I57,J57)</f>
        <v>0</v>
      </c>
      <c r="D57" s="1167">
        <v>0.25</v>
      </c>
      <c r="E57" s="694"/>
      <c r="F57" s="1106" t="e">
        <f t="shared" si="15"/>
        <v>#N/A</v>
      </c>
      <c r="G57" s="3266" t="s">
        <v>2773</v>
      </c>
      <c r="H57" s="1107">
        <f>项目基本情况!B37</f>
        <v>0</v>
      </c>
      <c r="I57" s="1111">
        <f>SUMIF(修正!A45:A56,H57,修正!B45:B56)</f>
        <v>0</v>
      </c>
      <c r="J57" s="1115"/>
      <c r="K57" s="1147"/>
      <c r="L57" s="944"/>
      <c r="M57" s="944"/>
      <c r="N57" s="944"/>
      <c r="O57" s="944"/>
    </row>
    <row r="58" spans="1:15" s="692" customFormat="1">
      <c r="A58" s="693" t="s">
        <v>2774</v>
      </c>
      <c r="B58" s="262" t="e">
        <f t="shared" ref="B58:B65" si="17">ROUND($C$48*C58*D58,0)</f>
        <v>#N/A</v>
      </c>
      <c r="C58" s="200">
        <f t="shared" si="16"/>
        <v>0</v>
      </c>
      <c r="D58" s="1167">
        <v>0.25</v>
      </c>
      <c r="E58" s="694"/>
      <c r="F58" s="1106" t="e">
        <f t="shared" si="15"/>
        <v>#N/A</v>
      </c>
      <c r="G58" s="3266"/>
      <c r="H58" s="1107">
        <f>项目基本情况!B37</f>
        <v>0</v>
      </c>
      <c r="I58" s="1111">
        <f>SUMIF(修正!A45:A56,H58,修正!C45:C56)</f>
        <v>0</v>
      </c>
      <c r="J58" s="1115"/>
      <c r="K58" s="1148"/>
      <c r="L58" s="944"/>
      <c r="M58" s="944"/>
      <c r="N58" s="944"/>
      <c r="O58" s="944"/>
    </row>
    <row r="59" spans="1:15" s="692" customFormat="1">
      <c r="A59" s="693" t="s">
        <v>2775</v>
      </c>
      <c r="B59" s="262" t="e">
        <f t="shared" si="17"/>
        <v>#N/A</v>
      </c>
      <c r="C59" s="200">
        <f t="shared" si="16"/>
        <v>0</v>
      </c>
      <c r="D59" s="1167">
        <v>0.25</v>
      </c>
      <c r="E59" s="694"/>
      <c r="F59" s="1106" t="e">
        <f t="shared" si="15"/>
        <v>#N/A</v>
      </c>
      <c r="G59" s="3266"/>
      <c r="H59" s="1107">
        <f>项目基本情况!B37</f>
        <v>0</v>
      </c>
      <c r="I59" s="1111">
        <f>SUMIF(修正!A45:A56,H59,修正!D45:D56)</f>
        <v>0</v>
      </c>
      <c r="J59" s="1115"/>
      <c r="K59" s="1147"/>
      <c r="L59" s="944"/>
      <c r="M59" s="944"/>
      <c r="N59" s="944"/>
      <c r="O59" s="944"/>
    </row>
    <row r="60" spans="1:15" s="692" customFormat="1">
      <c r="A60" s="693" t="s">
        <v>2776</v>
      </c>
      <c r="B60" s="262" t="e">
        <f t="shared" si="17"/>
        <v>#N/A</v>
      </c>
      <c r="C60" s="200">
        <f t="shared" si="16"/>
        <v>0</v>
      </c>
      <c r="D60" s="1167">
        <v>0.25</v>
      </c>
      <c r="E60" s="694"/>
      <c r="F60" s="1106" t="e">
        <f t="shared" si="15"/>
        <v>#N/A</v>
      </c>
      <c r="G60" s="3266"/>
      <c r="H60" s="1107">
        <f>项目基本情况!B37</f>
        <v>0</v>
      </c>
      <c r="I60" s="1111">
        <f>SUMIF(修正!A45:A56,H60,修正!E45:E56)</f>
        <v>0</v>
      </c>
      <c r="J60" s="1115"/>
      <c r="K60" s="1148"/>
      <c r="L60" s="944"/>
      <c r="M60" s="944"/>
      <c r="N60" s="944"/>
      <c r="O60" s="944"/>
    </row>
    <row r="61" spans="1:15" s="692" customFormat="1">
      <c r="A61" s="693" t="s">
        <v>2777</v>
      </c>
      <c r="B61" s="262" t="e">
        <f t="shared" si="17"/>
        <v>#N/A</v>
      </c>
      <c r="C61" s="200">
        <f t="shared" si="16"/>
        <v>0</v>
      </c>
      <c r="D61" s="1167">
        <v>0.25</v>
      </c>
      <c r="E61" s="261">
        <f>'数据-汇总表'!E11</f>
        <v>0</v>
      </c>
      <c r="F61" s="1106" t="e">
        <f t="shared" si="15"/>
        <v>#N/A</v>
      </c>
      <c r="G61" s="2709" t="s">
        <v>2778</v>
      </c>
      <c r="H61" s="1107">
        <f>项目基本情况!C37</f>
        <v>0</v>
      </c>
      <c r="I61" s="1111">
        <f>SUMIF(修正!A45:A56,H61,修正!F45:F56)</f>
        <v>0</v>
      </c>
      <c r="J61" s="1115"/>
      <c r="K61" s="1147"/>
      <c r="L61" s="944"/>
      <c r="M61" s="944"/>
      <c r="N61" s="944"/>
      <c r="O61" s="944"/>
    </row>
    <row r="62" spans="1:15" s="692" customFormat="1">
      <c r="A62" s="693" t="s">
        <v>2779</v>
      </c>
      <c r="B62" s="262" t="e">
        <f t="shared" si="17"/>
        <v>#N/A</v>
      </c>
      <c r="C62" s="200">
        <f t="shared" si="16"/>
        <v>0</v>
      </c>
      <c r="D62" s="1167">
        <v>0.25</v>
      </c>
      <c r="E62" s="261">
        <f>'数据-汇总表'!E12</f>
        <v>0</v>
      </c>
      <c r="F62" s="1106" t="e">
        <f t="shared" si="15"/>
        <v>#N/A</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t="e">
        <f t="shared" si="17"/>
        <v>#N/A</v>
      </c>
      <c r="C63" s="200">
        <f t="shared" si="16"/>
        <v>0</v>
      </c>
      <c r="D63" s="1167">
        <v>0.25</v>
      </c>
      <c r="E63" s="261">
        <f>'数据-汇总表'!E13</f>
        <v>0</v>
      </c>
      <c r="F63" s="1106" t="e">
        <f t="shared" si="15"/>
        <v>#N/A</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t="e">
        <f t="shared" si="17"/>
        <v>#N/A</v>
      </c>
      <c r="C64" s="200">
        <f t="shared" si="16"/>
        <v>0</v>
      </c>
      <c r="D64" s="1167">
        <v>0.25</v>
      </c>
      <c r="E64" s="261">
        <f>'数据-汇总表'!E14</f>
        <v>0</v>
      </c>
      <c r="F64" s="1106" t="e">
        <f t="shared" si="15"/>
        <v>#N/A</v>
      </c>
      <c r="G64" s="2709" t="s">
        <v>2773</v>
      </c>
      <c r="H64" s="1107">
        <f>项目基本情况!B37</f>
        <v>0</v>
      </c>
      <c r="I64" s="1111">
        <f>SUMIF(修正!A45:A56,H64,修正!H45:H56)</f>
        <v>0</v>
      </c>
      <c r="J64" s="1115"/>
      <c r="K64" s="1148"/>
      <c r="L64" s="944"/>
      <c r="M64" s="944"/>
      <c r="N64" s="944"/>
      <c r="O64" s="944"/>
    </row>
    <row r="65" spans="1:17" s="692" customFormat="1" ht="15" thickBot="1">
      <c r="A65" s="693" t="s">
        <v>2784</v>
      </c>
      <c r="B65" s="262" t="e">
        <f t="shared" si="17"/>
        <v>#N/A</v>
      </c>
      <c r="C65" s="200">
        <f t="shared" si="16"/>
        <v>0</v>
      </c>
      <c r="D65" s="1167">
        <v>0.25</v>
      </c>
      <c r="E65" s="261">
        <f>'数据-汇总表'!E15</f>
        <v>0</v>
      </c>
      <c r="F65" s="1106" t="e">
        <f t="shared" si="15"/>
        <v>#N/A</v>
      </c>
      <c r="G65" s="2710"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107.51</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1"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04" t="s">
        <v>2651</v>
      </c>
      <c r="S4" s="3205"/>
      <c r="T4" s="3204" t="s">
        <v>2652</v>
      </c>
      <c r="U4" s="3205"/>
      <c r="V4" s="3229" t="s">
        <v>2653</v>
      </c>
      <c r="W4" s="3229"/>
      <c r="X4" s="1815"/>
      <c r="Y4" s="3204" t="s">
        <v>2655</v>
      </c>
      <c r="Z4" s="3205"/>
      <c r="AA4" s="3199" t="s">
        <v>2651</v>
      </c>
      <c r="AB4" s="3200" t="s">
        <v>2652</v>
      </c>
      <c r="AC4" s="3199" t="s">
        <v>2653</v>
      </c>
    </row>
    <row r="5" spans="1:29" ht="15">
      <c r="A5" s="404"/>
      <c r="B5" s="405"/>
      <c r="C5" s="3210" t="s">
        <v>2546</v>
      </c>
      <c r="D5" s="3211"/>
      <c r="E5" s="3208" t="s">
        <v>2547</v>
      </c>
      <c r="F5" s="3209"/>
      <c r="G5" s="3210" t="s">
        <v>2548</v>
      </c>
      <c r="H5" s="3211"/>
      <c r="I5" s="3210" t="s">
        <v>2549</v>
      </c>
      <c r="J5" s="3211"/>
      <c r="K5" s="610"/>
      <c r="L5" s="1133"/>
      <c r="M5" s="1134"/>
      <c r="N5" s="1134"/>
      <c r="O5" s="1134"/>
      <c r="P5" s="3223"/>
      <c r="Q5" s="3224"/>
      <c r="R5" s="3206"/>
      <c r="S5" s="3207"/>
      <c r="T5" s="3206"/>
      <c r="U5" s="3207"/>
      <c r="V5" s="3229"/>
      <c r="W5" s="3229"/>
      <c r="X5" s="1815"/>
      <c r="Y5" s="3206"/>
      <c r="Z5" s="3207"/>
      <c r="AA5" s="3200"/>
      <c r="AB5" s="3200"/>
      <c r="AC5" s="3200"/>
    </row>
    <row r="6" spans="1:29" ht="15.75" thickBot="1">
      <c r="A6" s="406"/>
      <c r="B6" s="407"/>
      <c r="C6" s="3267" t="s">
        <v>2801</v>
      </c>
      <c r="D6" s="3268"/>
      <c r="E6" s="3269" t="s">
        <v>2801</v>
      </c>
      <c r="F6" s="3270"/>
      <c r="G6" s="3267" t="s">
        <v>2801</v>
      </c>
      <c r="H6" s="3268"/>
      <c r="I6" s="3267" t="s">
        <v>2801</v>
      </c>
      <c r="J6" s="3268"/>
      <c r="K6" s="610" t="s">
        <v>2551</v>
      </c>
      <c r="L6" s="1133"/>
      <c r="M6" s="1134"/>
      <c r="N6" s="1134"/>
      <c r="O6" s="1134"/>
      <c r="P6" s="3225"/>
      <c r="Q6" s="3226"/>
      <c r="R6" s="3206"/>
      <c r="S6" s="3207"/>
      <c r="T6" s="3227"/>
      <c r="U6" s="3228"/>
      <c r="V6" s="3229"/>
      <c r="W6" s="3229"/>
      <c r="X6" s="1815"/>
      <c r="Y6" s="3227"/>
      <c r="Z6" s="3228"/>
      <c r="AA6" s="3201"/>
      <c r="AB6" s="3201"/>
      <c r="AC6" s="3201"/>
    </row>
    <row r="7" spans="1:29" s="117" customFormat="1" ht="15.75" thickBot="1">
      <c r="A7" s="408" t="s">
        <v>2552</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02" t="s">
        <v>2553</v>
      </c>
      <c r="Q7" s="3230"/>
      <c r="R7" s="770" t="s">
        <v>17</v>
      </c>
      <c r="S7" s="771">
        <f t="shared" ref="S7:S15" si="0">F7</f>
        <v>0</v>
      </c>
      <c r="T7" s="770" t="s">
        <v>17</v>
      </c>
      <c r="U7" s="771">
        <f t="shared" ref="U7:U15" si="1">H7</f>
        <v>0</v>
      </c>
      <c r="V7" s="770" t="s">
        <v>17</v>
      </c>
      <c r="W7" s="771">
        <f t="shared" ref="W7:W15" si="2">J7</f>
        <v>0</v>
      </c>
      <c r="X7" s="772"/>
      <c r="Y7" s="3202" t="s">
        <v>2553</v>
      </c>
      <c r="Z7" s="3203"/>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2556</v>
      </c>
      <c r="Q8" s="3203"/>
      <c r="R8" s="770" t="s">
        <v>17</v>
      </c>
      <c r="S8" s="771">
        <f t="shared" si="0"/>
        <v>0</v>
      </c>
      <c r="T8" s="770" t="s">
        <v>17</v>
      </c>
      <c r="U8" s="771">
        <f t="shared" si="1"/>
        <v>0</v>
      </c>
      <c r="V8" s="770" t="s">
        <v>17</v>
      </c>
      <c r="W8" s="771">
        <f t="shared" si="2"/>
        <v>0</v>
      </c>
      <c r="X8" s="772"/>
      <c r="Y8" s="3202" t="s">
        <v>2556</v>
      </c>
      <c r="Z8" s="3203"/>
      <c r="AA8" s="773" t="e">
        <f t="shared" ref="AA8:AA40" si="3">D8/F8</f>
        <v>#DIV/0!</v>
      </c>
      <c r="AB8" s="773" t="e">
        <f t="shared" ref="AB8:AB40" si="4">D8/H8</f>
        <v>#DIV/0!</v>
      </c>
      <c r="AC8" s="773" t="e">
        <f t="shared" ref="AC8:AC40" si="5">D8/J8</f>
        <v>#DIV/0!</v>
      </c>
    </row>
    <row r="9" spans="1:29" s="117" customFormat="1">
      <c r="A9" s="415" t="s">
        <v>2557</v>
      </c>
      <c r="B9" s="71" t="s">
        <v>2558</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34" t="s">
        <v>2559</v>
      </c>
      <c r="Q9" s="1797" t="str">
        <f t="shared" ref="Q9:Q15" si="6">B9</f>
        <v>用途</v>
      </c>
      <c r="R9" s="770" t="s">
        <v>17</v>
      </c>
      <c r="S9" s="771">
        <f t="shared" si="0"/>
        <v>100</v>
      </c>
      <c r="T9" s="770" t="s">
        <v>17</v>
      </c>
      <c r="U9" s="771">
        <f t="shared" si="1"/>
        <v>100</v>
      </c>
      <c r="V9" s="770" t="s">
        <v>17</v>
      </c>
      <c r="W9" s="771">
        <f t="shared" si="2"/>
        <v>100</v>
      </c>
      <c r="X9" s="772"/>
      <c r="Y9" s="3049"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34"/>
      <c r="Q10" s="1797" t="str">
        <f t="shared" si="6"/>
        <v>土地使用年限（年）</v>
      </c>
      <c r="R10" s="770" t="s">
        <v>17</v>
      </c>
      <c r="S10" s="771">
        <f t="shared" si="0"/>
        <v>104</v>
      </c>
      <c r="T10" s="770" t="s">
        <v>17</v>
      </c>
      <c r="U10" s="771">
        <f t="shared" si="1"/>
        <v>104</v>
      </c>
      <c r="V10" s="770" t="s">
        <v>17</v>
      </c>
      <c r="W10" s="771">
        <f t="shared" si="2"/>
        <v>104</v>
      </c>
      <c r="X10" s="772"/>
      <c r="Y10" s="3049"/>
      <c r="Z10" s="55" t="str">
        <f t="shared" si="7"/>
        <v>土地使用年限（年）</v>
      </c>
      <c r="AA10" s="773">
        <f t="shared" si="3"/>
        <v>0.96153846153846156</v>
      </c>
      <c r="AB10" s="773">
        <f t="shared" si="4"/>
        <v>0.96153846153846156</v>
      </c>
      <c r="AC10" s="773">
        <f t="shared" si="5"/>
        <v>0.96153846153846156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7"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7">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7">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7">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2563</v>
      </c>
      <c r="B15" s="629" t="s">
        <v>2802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6" t="s">
        <v>2564</v>
      </c>
      <c r="Q15" s="1812" t="str">
        <f t="shared" si="6"/>
        <v>产业集聚程度</v>
      </c>
      <c r="R15" s="774" t="s">
        <v>17</v>
      </c>
      <c r="S15" s="775">
        <f t="shared" si="0"/>
        <v>100</v>
      </c>
      <c r="T15" s="774" t="s">
        <v>17</v>
      </c>
      <c r="U15" s="775">
        <f t="shared" si="1"/>
        <v>100</v>
      </c>
      <c r="V15" s="774" t="s">
        <v>17</v>
      </c>
      <c r="W15" s="775">
        <f t="shared" si="2"/>
        <v>100</v>
      </c>
      <c r="X15" s="1815"/>
      <c r="Y15" s="3236" t="s">
        <v>2564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37"/>
      <c r="Q16" s="1812"/>
      <c r="R16" s="774"/>
      <c r="S16" s="775"/>
      <c r="T16" s="774"/>
      <c r="U16" s="775"/>
      <c r="V16" s="774"/>
      <c r="W16" s="775"/>
      <c r="X16" s="1815"/>
      <c r="Y16" s="3237"/>
      <c r="Z16" s="1816"/>
      <c r="AA16" s="1813">
        <v>1</v>
      </c>
      <c r="AB16" s="1813">
        <v>1</v>
      </c>
      <c r="AC16" s="1813">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7"/>
      <c r="Q17" s="1812" t="str">
        <f>B17</f>
        <v>交通便捷度</v>
      </c>
      <c r="R17" s="774" t="s">
        <v>17</v>
      </c>
      <c r="S17" s="775">
        <f>F17</f>
        <v>100</v>
      </c>
      <c r="T17" s="774" t="s">
        <v>17</v>
      </c>
      <c r="U17" s="775">
        <f>H17</f>
        <v>100</v>
      </c>
      <c r="V17" s="774" t="s">
        <v>17</v>
      </c>
      <c r="W17" s="775">
        <f>J17</f>
        <v>100</v>
      </c>
      <c r="X17" s="1815"/>
      <c r="Y17" s="3237"/>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37"/>
      <c r="Q18" s="1812"/>
      <c r="R18" s="774"/>
      <c r="S18" s="775"/>
      <c r="T18" s="774"/>
      <c r="U18" s="775"/>
      <c r="V18" s="774"/>
      <c r="W18" s="775"/>
      <c r="X18" s="1815"/>
      <c r="Y18" s="3237"/>
      <c r="Z18" s="1816"/>
      <c r="AA18" s="1813">
        <v>1</v>
      </c>
      <c r="AB18" s="1813">
        <v>1</v>
      </c>
      <c r="AC18" s="1813">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7"/>
      <c r="Q19" s="1812" t="str">
        <f t="shared" ref="Q19:Q33" si="8">B19</f>
        <v>区域土地利用方向</v>
      </c>
      <c r="R19" s="774" t="s">
        <v>17</v>
      </c>
      <c r="S19" s="775">
        <f>F19</f>
        <v>100</v>
      </c>
      <c r="T19" s="774" t="s">
        <v>17</v>
      </c>
      <c r="U19" s="775">
        <f>H19</f>
        <v>100</v>
      </c>
      <c r="V19" s="774" t="s">
        <v>17</v>
      </c>
      <c r="W19" s="775">
        <f>J19</f>
        <v>100</v>
      </c>
      <c r="X19" s="1815"/>
      <c r="Y19" s="3237"/>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37"/>
      <c r="Q20" s="1812"/>
      <c r="R20" s="774"/>
      <c r="S20" s="775"/>
      <c r="T20" s="774"/>
      <c r="U20" s="775"/>
      <c r="V20" s="774"/>
      <c r="W20" s="775"/>
      <c r="X20" s="1815"/>
      <c r="Y20" s="3237"/>
      <c r="Z20" s="1816"/>
      <c r="AA20" s="1813"/>
      <c r="AB20" s="1813"/>
      <c r="AC20" s="1813"/>
    </row>
    <row r="21" spans="1:29" ht="71.25">
      <c r="A21" s="404"/>
      <c r="B21" s="631" t="s">
        <v>2803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7"/>
      <c r="Q21" s="1812" t="str">
        <f t="shared" si="8"/>
        <v>环境状况</v>
      </c>
      <c r="R21" s="774" t="s">
        <v>17</v>
      </c>
      <c r="S21" s="775">
        <f>F21</f>
        <v>100</v>
      </c>
      <c r="T21" s="774" t="s">
        <v>17</v>
      </c>
      <c r="U21" s="775">
        <f>H21</f>
        <v>100</v>
      </c>
      <c r="V21" s="774" t="s">
        <v>17</v>
      </c>
      <c r="W21" s="775">
        <f>J21</f>
        <v>100</v>
      </c>
      <c r="X21" s="1815"/>
      <c r="Y21" s="3237"/>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37"/>
      <c r="Q22" s="1812"/>
      <c r="R22" s="774"/>
      <c r="S22" s="775"/>
      <c r="T22" s="774"/>
      <c r="U22" s="775"/>
      <c r="V22" s="774"/>
      <c r="W22" s="775"/>
      <c r="X22" s="1815"/>
      <c r="Y22" s="3237"/>
      <c r="Z22" s="1816"/>
      <c r="AA22" s="1813">
        <v>1</v>
      </c>
      <c r="AB22" s="1813">
        <v>1</v>
      </c>
      <c r="AC22" s="1813">
        <v>1</v>
      </c>
    </row>
    <row r="23" spans="1:29" s="117"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7"/>
      <c r="Q23" s="1797" t="str">
        <f t="shared" si="8"/>
        <v>公共配套设施</v>
      </c>
      <c r="R23" s="770" t="s">
        <v>17</v>
      </c>
      <c r="S23" s="771">
        <f>F23</f>
        <v>100</v>
      </c>
      <c r="T23" s="770" t="s">
        <v>17</v>
      </c>
      <c r="U23" s="771">
        <f>H23</f>
        <v>100</v>
      </c>
      <c r="V23" s="770" t="s">
        <v>17</v>
      </c>
      <c r="W23" s="771">
        <f>J23</f>
        <v>100</v>
      </c>
      <c r="X23" s="772"/>
      <c r="Y23" s="3237"/>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237"/>
      <c r="Q24" s="1797"/>
      <c r="R24" s="770"/>
      <c r="S24" s="771"/>
      <c r="T24" s="770"/>
      <c r="U24" s="771"/>
      <c r="V24" s="770"/>
      <c r="W24" s="771"/>
      <c r="X24" s="772"/>
      <c r="Y24" s="3237"/>
      <c r="Z24" s="55"/>
      <c r="AA24" s="773">
        <v>1</v>
      </c>
      <c r="AB24" s="773">
        <v>1</v>
      </c>
      <c r="AC24" s="773">
        <v>1</v>
      </c>
    </row>
    <row r="25" spans="1:29" s="117"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7"/>
      <c r="Q25" s="1797"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237"/>
      <c r="Q26" s="1797"/>
      <c r="R26" s="770"/>
      <c r="S26" s="771"/>
      <c r="T26" s="770"/>
      <c r="U26" s="771"/>
      <c r="V26" s="770"/>
      <c r="W26" s="771"/>
      <c r="X26" s="772"/>
      <c r="Y26" s="3237"/>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7"/>
      <c r="Z27" s="1816" t="str">
        <f t="shared" ref="Z27:Z40" si="13">Q27</f>
        <v>临街状况</v>
      </c>
      <c r="AA27" s="1813">
        <f t="shared" si="3"/>
        <v>1</v>
      </c>
      <c r="AB27" s="1813">
        <f t="shared" si="4"/>
        <v>1</v>
      </c>
      <c r="AC27" s="1813">
        <f t="shared" si="5"/>
        <v>1</v>
      </c>
    </row>
    <row r="28" spans="1:29" ht="27">
      <c r="A28" s="428"/>
      <c r="B28" s="633" t="s">
        <v>2695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7"/>
      <c r="Q28" s="1812" t="str">
        <f t="shared" si="8"/>
        <v>毗邻道路的类型与等级</v>
      </c>
      <c r="R28" s="774" t="s">
        <v>17</v>
      </c>
      <c r="S28" s="775">
        <f t="shared" si="10"/>
        <v>100</v>
      </c>
      <c r="T28" s="774" t="s">
        <v>17</v>
      </c>
      <c r="U28" s="775">
        <f t="shared" si="11"/>
        <v>100</v>
      </c>
      <c r="V28" s="774" t="s">
        <v>17</v>
      </c>
      <c r="W28" s="775">
        <f t="shared" si="12"/>
        <v>100</v>
      </c>
      <c r="X28" s="1815"/>
      <c r="Y28" s="3237"/>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37"/>
      <c r="Q29" s="1812"/>
      <c r="R29" s="774"/>
      <c r="S29" s="775"/>
      <c r="T29" s="774"/>
      <c r="U29" s="775"/>
      <c r="V29" s="774"/>
      <c r="W29" s="775"/>
      <c r="X29" s="1815"/>
      <c r="Y29" s="3237"/>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7"/>
      <c r="Q30" s="1812" t="str">
        <f t="shared" si="8"/>
        <v>土地级别</v>
      </c>
      <c r="R30" s="774" t="s">
        <v>17</v>
      </c>
      <c r="S30" s="775">
        <f t="shared" si="10"/>
        <v>100</v>
      </c>
      <c r="T30" s="774" t="s">
        <v>17</v>
      </c>
      <c r="U30" s="775">
        <f t="shared" si="11"/>
        <v>100</v>
      </c>
      <c r="V30" s="774" t="s">
        <v>17</v>
      </c>
      <c r="W30" s="775">
        <f t="shared" si="12"/>
        <v>100</v>
      </c>
      <c r="X30" s="1815"/>
      <c r="Y30" s="3237"/>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7"/>
      <c r="Q31" s="1812">
        <f t="shared" si="8"/>
        <v>111</v>
      </c>
      <c r="R31" s="774" t="s">
        <v>17</v>
      </c>
      <c r="S31" s="775">
        <f t="shared" si="10"/>
        <v>100</v>
      </c>
      <c r="T31" s="774" t="s">
        <v>17</v>
      </c>
      <c r="U31" s="775">
        <f t="shared" si="11"/>
        <v>100</v>
      </c>
      <c r="V31" s="774" t="s">
        <v>17</v>
      </c>
      <c r="W31" s="775">
        <f t="shared" si="12"/>
        <v>100</v>
      </c>
      <c r="X31" s="1815"/>
      <c r="Y31" s="3237"/>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2" t="s">
        <v>2569</v>
      </c>
      <c r="Q32" s="1812">
        <f t="shared" si="8"/>
        <v>111</v>
      </c>
      <c r="R32" s="774" t="s">
        <v>17</v>
      </c>
      <c r="S32" s="775">
        <f t="shared" si="10"/>
        <v>100</v>
      </c>
      <c r="T32" s="774" t="s">
        <v>17</v>
      </c>
      <c r="U32" s="775">
        <f t="shared" si="11"/>
        <v>100</v>
      </c>
      <c r="V32" s="774" t="s">
        <v>17</v>
      </c>
      <c r="W32" s="775">
        <f t="shared" si="12"/>
        <v>100</v>
      </c>
      <c r="X32" s="1815"/>
      <c r="Y32" s="3241" t="s">
        <v>2569</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1"/>
      <c r="Q33" s="1812">
        <f t="shared" si="8"/>
        <v>111</v>
      </c>
      <c r="R33" s="777" t="s">
        <v>17</v>
      </c>
      <c r="S33" s="778">
        <f t="shared" si="10"/>
        <v>100</v>
      </c>
      <c r="T33" s="777" t="s">
        <v>17</v>
      </c>
      <c r="U33" s="778">
        <f t="shared" si="11"/>
        <v>100</v>
      </c>
      <c r="V33" s="777" t="s">
        <v>17</v>
      </c>
      <c r="W33" s="778">
        <f t="shared" si="12"/>
        <v>100</v>
      </c>
      <c r="X33" s="779"/>
      <c r="Y33" s="3241"/>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1"/>
      <c r="Q34" s="1812" t="str">
        <f>B34</f>
        <v>宗地面积</v>
      </c>
      <c r="R34" s="774" t="s">
        <v>17</v>
      </c>
      <c r="S34" s="775" t="e">
        <f t="shared" si="10"/>
        <v>#N/A</v>
      </c>
      <c r="T34" s="774" t="s">
        <v>17</v>
      </c>
      <c r="U34" s="775" t="e">
        <f t="shared" si="11"/>
        <v>#N/A</v>
      </c>
      <c r="V34" s="774" t="s">
        <v>17</v>
      </c>
      <c r="W34" s="775" t="e">
        <f t="shared" si="12"/>
        <v>#N/A</v>
      </c>
      <c r="X34" s="1815"/>
      <c r="Y34" s="3241"/>
      <c r="Z34" s="1816" t="str">
        <f t="shared" si="13"/>
        <v>宗地面积</v>
      </c>
      <c r="AA34" s="1813" t="e">
        <f t="shared" si="3"/>
        <v>#N/A</v>
      </c>
      <c r="AB34" s="1813" t="e">
        <f t="shared" si="4"/>
        <v>#N/A</v>
      </c>
      <c r="AC34" s="1813"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41"/>
      <c r="Q35" s="1812" t="str">
        <f t="shared" ref="Q35:Q40" si="14">B35</f>
        <v>宗地形状</v>
      </c>
      <c r="R35" s="774" t="s">
        <v>17</v>
      </c>
      <c r="S35" s="775">
        <f t="shared" si="10"/>
        <v>100</v>
      </c>
      <c r="T35" s="774" t="s">
        <v>17</v>
      </c>
      <c r="U35" s="775">
        <f t="shared" si="11"/>
        <v>100</v>
      </c>
      <c r="V35" s="774" t="s">
        <v>17</v>
      </c>
      <c r="W35" s="775">
        <f t="shared" si="12"/>
        <v>100</v>
      </c>
      <c r="X35" s="1815"/>
      <c r="Y35" s="3241"/>
      <c r="Z35" s="1816" t="str">
        <f t="shared" si="13"/>
        <v>宗地形状</v>
      </c>
      <c r="AA35" s="1813">
        <f t="shared" si="3"/>
        <v>1</v>
      </c>
      <c r="AB35" s="1813">
        <f t="shared" si="4"/>
        <v>1</v>
      </c>
      <c r="AC35" s="1813">
        <f t="shared" si="5"/>
        <v>1</v>
      </c>
    </row>
    <row r="36" spans="1:29" s="117" customFormat="1" ht="15">
      <c r="A36" s="473"/>
      <c r="B36" s="422" t="s">
        <v>2758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41"/>
      <c r="Q36" s="1812"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41" t="s">
        <v>2569</v>
      </c>
      <c r="Q37" s="1812" t="str">
        <f t="shared" si="14"/>
        <v>工程地质条件</v>
      </c>
      <c r="R37" s="774" t="s">
        <v>17</v>
      </c>
      <c r="S37" s="775">
        <f t="shared" si="10"/>
        <v>100</v>
      </c>
      <c r="T37" s="774" t="s">
        <v>17</v>
      </c>
      <c r="U37" s="775">
        <f t="shared" si="11"/>
        <v>100</v>
      </c>
      <c r="V37" s="774" t="s">
        <v>17</v>
      </c>
      <c r="W37" s="775">
        <f t="shared" si="12"/>
        <v>100</v>
      </c>
      <c r="X37" s="1815"/>
      <c r="Y37" s="3241"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1"/>
      <c r="Q38" s="1812">
        <f t="shared" si="14"/>
        <v>111</v>
      </c>
      <c r="R38" s="774" t="s">
        <v>17</v>
      </c>
      <c r="S38" s="775">
        <f t="shared" si="10"/>
        <v>100</v>
      </c>
      <c r="T38" s="774" t="s">
        <v>17</v>
      </c>
      <c r="U38" s="775">
        <f t="shared" si="11"/>
        <v>100</v>
      </c>
      <c r="V38" s="774" t="s">
        <v>17</v>
      </c>
      <c r="W38" s="775">
        <f t="shared" si="12"/>
        <v>100</v>
      </c>
      <c r="X38" s="1815"/>
      <c r="Y38" s="324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1"/>
      <c r="Q39" s="1812">
        <f t="shared" si="14"/>
        <v>111</v>
      </c>
      <c r="R39" s="774" t="s">
        <v>17</v>
      </c>
      <c r="S39" s="775">
        <f t="shared" si="10"/>
        <v>100</v>
      </c>
      <c r="T39" s="774" t="s">
        <v>17</v>
      </c>
      <c r="U39" s="775">
        <f t="shared" si="11"/>
        <v>100</v>
      </c>
      <c r="V39" s="774" t="s">
        <v>17</v>
      </c>
      <c r="W39" s="775">
        <f t="shared" si="12"/>
        <v>100</v>
      </c>
      <c r="X39" s="1815"/>
      <c r="Y39" s="3241"/>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1"/>
      <c r="Q40" s="1812">
        <f t="shared" si="14"/>
        <v>111</v>
      </c>
      <c r="R40" s="777" t="s">
        <v>17</v>
      </c>
      <c r="S40" s="778">
        <f t="shared" si="10"/>
        <v>100</v>
      </c>
      <c r="T40" s="777" t="s">
        <v>17</v>
      </c>
      <c r="U40" s="778">
        <f t="shared" si="11"/>
        <v>100</v>
      </c>
      <c r="V40" s="777" t="s">
        <v>17</v>
      </c>
      <c r="W40" s="778">
        <f t="shared" si="12"/>
        <v>100</v>
      </c>
      <c r="X40" s="779"/>
      <c r="Y40" s="3241"/>
      <c r="Z40" s="780">
        <f t="shared" si="13"/>
        <v>111</v>
      </c>
      <c r="AA40" s="1813">
        <f t="shared" si="3"/>
        <v>1</v>
      </c>
      <c r="AB40" s="1813">
        <f t="shared" si="4"/>
        <v>1</v>
      </c>
      <c r="AC40" s="1813">
        <f t="shared" si="5"/>
        <v>1</v>
      </c>
    </row>
    <row r="41" spans="1:29" ht="15">
      <c r="A41" s="479" t="s">
        <v>2724</v>
      </c>
      <c r="B41" s="2704" t="s">
        <v>2804</v>
      </c>
      <c r="C41" s="682" t="s">
        <v>1</v>
      </c>
      <c r="D41" s="481"/>
      <c r="E41" s="482"/>
      <c r="F41" s="483"/>
      <c r="G41" s="484"/>
      <c r="H41" s="485"/>
      <c r="I41" s="482"/>
      <c r="J41" s="485"/>
      <c r="K41" s="783"/>
      <c r="L41" s="1146"/>
      <c r="M41" s="1134"/>
      <c r="N41" s="1134"/>
      <c r="O41" s="1147"/>
      <c r="P41" s="3234" t="str">
        <f>A41</f>
        <v>成交单价</v>
      </c>
      <c r="Q41" s="3234"/>
      <c r="R41" s="3229">
        <f>E41</f>
        <v>0</v>
      </c>
      <c r="S41" s="3229"/>
      <c r="T41" s="3229">
        <f>G41</f>
        <v>0</v>
      </c>
      <c r="U41" s="3229"/>
      <c r="V41" s="3229">
        <f>I41</f>
        <v>0</v>
      </c>
      <c r="W41" s="3229"/>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31" t="str">
        <f>A43</f>
        <v>估价对象XX用房的比较价值（楼面单价，元/平方米）</v>
      </c>
      <c r="Q43" s="3232"/>
      <c r="R43" s="3264" t="e">
        <f>ROUND(AVERAGE(R42:V42),0)</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05" t="s">
        <v>2764</v>
      </c>
      <c r="D50" s="2706" t="s">
        <v>2765</v>
      </c>
      <c r="E50" s="686" t="s">
        <v>2766</v>
      </c>
      <c r="F50" s="687" t="s">
        <v>2767</v>
      </c>
      <c r="G50" s="3217" t="s">
        <v>2768</v>
      </c>
      <c r="H50" s="3265"/>
      <c r="I50" s="1816" t="s">
        <v>2805</v>
      </c>
      <c r="J50" s="1816" t="str">
        <f>项目基本情况!F35</f>
        <v>湖北省武汉市</v>
      </c>
      <c r="K50" s="2708" t="s">
        <v>2770</v>
      </c>
      <c r="L50" s="1109"/>
      <c r="M50" s="1147"/>
      <c r="N50" s="1147"/>
      <c r="O50" s="1147"/>
    </row>
    <row r="51" spans="1:17" s="692" customFormat="1">
      <c r="A51" s="688" t="s">
        <v>2771</v>
      </c>
      <c r="B51" s="689" t="e">
        <f>C43</f>
        <v>#DIV/0!</v>
      </c>
      <c r="C51" s="690">
        <v>1</v>
      </c>
      <c r="D51" s="1166">
        <v>1</v>
      </c>
      <c r="E51" s="690">
        <f>'数据-汇总表'!E8+'数据-汇总表'!E9</f>
        <v>107.51</v>
      </c>
      <c r="F51" s="691" t="e">
        <f t="shared" ref="F51:F60" si="15">ROUND(B51*E51/10000,0)</f>
        <v>#DIV/0!</v>
      </c>
      <c r="G51" s="3216"/>
      <c r="H51" s="3234"/>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66"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66"/>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66"/>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66"/>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09"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09"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0"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5.45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1"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2806</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2808</v>
      </c>
      <c r="B1" s="241"/>
      <c r="C1" s="245" t="s">
        <v>2809</v>
      </c>
      <c r="D1" s="388">
        <f>SUM(D29:D30,D33:D39)</f>
        <v>0</v>
      </c>
      <c r="E1" s="2717"/>
      <c r="F1" s="2717"/>
      <c r="G1" s="2717"/>
      <c r="H1" s="2717"/>
      <c r="I1" s="2717"/>
      <c r="J1" s="2717"/>
      <c r="K1" s="1372"/>
      <c r="L1" s="2718" t="s">
        <v>2810</v>
      </c>
      <c r="M1" s="1083">
        <f>SUMPRODUCT((区片价!B5:B9=I2)*(区片价!C3:F3=E2)*(区片价!C5:F9))</f>
        <v>0</v>
      </c>
      <c r="N1" s="1086">
        <f>SUMPRODUCT((因素修正幅度!B5:B9=I2)*(因素修正幅度!C3:F3=E2)*(因素修正幅度!C5:F9))</f>
        <v>0</v>
      </c>
      <c r="O1" s="2719"/>
      <c r="P1" s="2719"/>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1" t="s">
        <v>2817</v>
      </c>
      <c r="D2" s="2722" t="s">
        <v>2818</v>
      </c>
      <c r="E2" s="2723"/>
      <c r="F2" s="2722" t="s">
        <v>2819</v>
      </c>
      <c r="G2" s="2724">
        <f>IF(E2="商业",项目基本情况!B37,IF(E2="办公",项目基本情况!C37,IF(E2="住宅",项目基本情况!D37,项目基本情况!E37)))</f>
        <v>0</v>
      </c>
      <c r="H2" s="2722" t="s">
        <v>2820</v>
      </c>
      <c r="I2" s="2724">
        <f>IF(E2="商业",项目基本情况!B38,IF(E2="办公",项目基本情况!C38,IF(E2="住宅",项目基本情况!D38,项目基本情况!E38)))</f>
        <v>0</v>
      </c>
      <c r="J2" s="2725"/>
      <c r="K2" s="1372"/>
      <c r="L2" s="2726" t="s">
        <v>2821</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1" t="s">
        <v>2823</v>
      </c>
      <c r="D3" s="2722" t="s">
        <v>2824</v>
      </c>
      <c r="E3" s="2727"/>
      <c r="F3" s="2728" t="s">
        <v>2825</v>
      </c>
      <c r="G3" s="916">
        <f>IF(F3="宗地容积率",'数据-汇总表'!I4,IF(F3="估价对象容积率",'数据-汇总表'!I6,'数据-汇总表'!I7))</f>
        <v>19.73</v>
      </c>
      <c r="H3" s="198" t="s">
        <v>2826</v>
      </c>
      <c r="I3" s="947"/>
      <c r="J3" s="2725" t="s">
        <v>2827</v>
      </c>
      <c r="K3" s="1372"/>
      <c r="L3" s="2726" t="s">
        <v>2828</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5"/>
      <c r="B4" s="3286"/>
      <c r="C4" s="3286"/>
      <c r="D4" s="3287"/>
      <c r="E4" s="3287"/>
      <c r="F4" s="3287"/>
      <c r="G4" s="3287"/>
      <c r="H4" s="3287"/>
      <c r="I4" s="3287"/>
      <c r="J4" s="3288"/>
      <c r="K4" s="1372"/>
      <c r="L4" s="2726" t="s">
        <v>2829</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2830</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2831</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2832</v>
      </c>
      <c r="B6" s="2740" t="s">
        <v>2833</v>
      </c>
      <c r="C6" s="918">
        <f>SUMIF(L1:L12,G2,M1:M12)</f>
        <v>0</v>
      </c>
      <c r="D6" s="2741" t="s">
        <v>2834</v>
      </c>
      <c r="E6" s="2742"/>
      <c r="F6" s="2742"/>
      <c r="G6" s="2743"/>
      <c r="H6" s="2743"/>
      <c r="I6" s="2743"/>
      <c r="J6" s="2744"/>
      <c r="K6" s="1844"/>
      <c r="L6" s="2726" t="s">
        <v>2835</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71" t="str">
        <f>IF(E2="商业",IF(C8="不临58条商业街","",2),"")</f>
        <v/>
      </c>
      <c r="B7" s="2745" t="s">
        <v>2836</v>
      </c>
      <c r="C7" s="919" t="e">
        <f>IF(C8="不临58条商业街",1,ROUND(1+(1.6*E8+1.2*E9+0.8*E10+0.4*E11)*C9,4))</f>
        <v>#DIV/0!</v>
      </c>
      <c r="D7" s="2746" t="s">
        <v>2837</v>
      </c>
      <c r="E7" s="948"/>
      <c r="F7" s="2747"/>
      <c r="G7" s="2748"/>
      <c r="H7" s="2748"/>
      <c r="I7" s="2748"/>
      <c r="J7" s="2749"/>
      <c r="K7" s="1844"/>
      <c r="L7" s="2726" t="s">
        <v>2838</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19.73</v>
      </c>
      <c r="AA7" s="1608"/>
      <c r="AB7" s="1608"/>
      <c r="AC7" s="1609"/>
      <c r="AD7" s="1610"/>
      <c r="AE7" s="1610"/>
      <c r="AF7" s="1610"/>
      <c r="AG7" s="1610"/>
      <c r="AH7" s="1610"/>
      <c r="AI7" s="1610"/>
      <c r="AJ7" s="1611"/>
    </row>
    <row r="8" spans="1:36" ht="15">
      <c r="A8" s="3272"/>
      <c r="B8" s="198" t="s">
        <v>2841</v>
      </c>
      <c r="C8" s="2750"/>
      <c r="D8" s="920" t="s">
        <v>139</v>
      </c>
      <c r="E8" s="921" t="e">
        <f>ROUND(C11/E7,4)</f>
        <v>#DIV/0!</v>
      </c>
      <c r="F8" s="2751" t="s">
        <v>2842</v>
      </c>
      <c r="G8" s="2752"/>
      <c r="H8" s="2752"/>
      <c r="I8" s="2752"/>
      <c r="J8" s="2753"/>
      <c r="K8" s="1372"/>
      <c r="L8" s="2726" t="s">
        <v>2843</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82" t="s">
        <v>2844</v>
      </c>
      <c r="X8" s="3283"/>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72"/>
      <c r="B9" s="198" t="s">
        <v>2857</v>
      </c>
      <c r="C9" s="922">
        <f>SUMIF(修正!C59:C119,C8,修正!E59:E119)</f>
        <v>0</v>
      </c>
      <c r="D9" s="200" t="s">
        <v>140</v>
      </c>
      <c r="E9" s="200" t="e">
        <f>ROUND(C11/E7,4)</f>
        <v>#DIV/0!</v>
      </c>
      <c r="F9" s="2751" t="s">
        <v>2858</v>
      </c>
      <c r="G9" s="2752"/>
      <c r="H9" s="2752"/>
      <c r="I9" s="2752"/>
      <c r="J9" s="2753"/>
      <c r="K9" s="1372"/>
      <c r="L9" s="2726" t="s">
        <v>2859</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84"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2"/>
      <c r="B10" s="198" t="s">
        <v>2862</v>
      </c>
      <c r="C10" s="200">
        <f>SUMIF(修正!C59:C119,C8,修正!F59:F119)</f>
        <v>0</v>
      </c>
      <c r="D10" s="200" t="s">
        <v>141</v>
      </c>
      <c r="E10" s="200" t="e">
        <f>ROUND(C11/E7,4)</f>
        <v>#DIV/0!</v>
      </c>
      <c r="F10" s="2751" t="s">
        <v>2863</v>
      </c>
      <c r="G10" s="2752"/>
      <c r="H10" s="2752"/>
      <c r="I10" s="2752"/>
      <c r="J10" s="2753"/>
      <c r="K10" s="1372"/>
      <c r="L10" s="2726" t="s">
        <v>2864</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8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2"/>
      <c r="B11" s="2754" t="s">
        <v>2865</v>
      </c>
      <c r="C11" s="923">
        <f>C10/4</f>
        <v>0</v>
      </c>
      <c r="D11" s="923" t="s">
        <v>142</v>
      </c>
      <c r="E11" s="923" t="e">
        <f>ROUND(C11/E7,4)</f>
        <v>#DIV/0!</v>
      </c>
      <c r="F11" s="2755" t="s">
        <v>2866</v>
      </c>
      <c r="G11" s="2756"/>
      <c r="H11" s="2756"/>
      <c r="I11" s="2756"/>
      <c r="J11" s="2757"/>
      <c r="K11" s="1372"/>
      <c r="L11" s="2726" t="s">
        <v>2867</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84" t="s">
        <v>2868</v>
      </c>
      <c r="X11" s="1616" t="s">
        <v>2869</v>
      </c>
      <c r="Y11" s="1617">
        <f>$G$3</f>
        <v>19.73</v>
      </c>
      <c r="Z11" s="1617">
        <f t="shared" ref="Z11:AJ11" si="3">$G$3</f>
        <v>19.73</v>
      </c>
      <c r="AA11" s="1617">
        <f t="shared" si="3"/>
        <v>19.73</v>
      </c>
      <c r="AB11" s="1617">
        <f t="shared" si="3"/>
        <v>19.73</v>
      </c>
      <c r="AC11" s="1617">
        <f t="shared" si="3"/>
        <v>19.73</v>
      </c>
      <c r="AD11" s="1617">
        <f t="shared" si="3"/>
        <v>19.73</v>
      </c>
      <c r="AE11" s="1617">
        <f t="shared" si="3"/>
        <v>19.73</v>
      </c>
      <c r="AF11" s="1617">
        <f t="shared" si="3"/>
        <v>19.73</v>
      </c>
      <c r="AG11" s="1617">
        <f t="shared" si="3"/>
        <v>19.73</v>
      </c>
      <c r="AH11" s="1617">
        <f t="shared" si="3"/>
        <v>19.73</v>
      </c>
      <c r="AI11" s="1617">
        <f t="shared" si="3"/>
        <v>19.73</v>
      </c>
      <c r="AJ11" s="1617">
        <f t="shared" si="3"/>
        <v>19.73</v>
      </c>
    </row>
    <row r="12" spans="1:36" ht="25.5" thickBot="1">
      <c r="A12" s="3271" t="s">
        <v>2870</v>
      </c>
      <c r="B12" s="2758" t="s">
        <v>2871</v>
      </c>
      <c r="C12" s="919">
        <f>ROUND(C15*D15*E15*F15*G15*H15*I15*J15,4)</f>
        <v>1</v>
      </c>
      <c r="D12" s="2759" t="s">
        <v>2872</v>
      </c>
      <c r="E12" s="2760"/>
      <c r="F12" s="2760"/>
      <c r="G12" s="2761"/>
      <c r="H12" s="2761"/>
      <c r="I12" s="2761"/>
      <c r="J12" s="2762"/>
      <c r="K12" s="1372"/>
      <c r="L12" s="2763" t="s">
        <v>2873</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84"/>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9"/>
      <c r="B13" s="2764" t="s">
        <v>2875</v>
      </c>
      <c r="C13" s="2765" t="s">
        <v>2876</v>
      </c>
      <c r="D13" s="1810" t="s">
        <v>2877</v>
      </c>
      <c r="E13" s="1810" t="s">
        <v>2878</v>
      </c>
      <c r="F13" s="30" t="s">
        <v>2879</v>
      </c>
      <c r="G13" s="2766" t="s">
        <v>2880</v>
      </c>
      <c r="H13" s="2766" t="s">
        <v>2880</v>
      </c>
      <c r="I13" s="2766" t="s">
        <v>2880</v>
      </c>
      <c r="J13" s="2767" t="s">
        <v>2880</v>
      </c>
      <c r="K13" s="1372"/>
      <c r="L13" s="1372"/>
      <c r="M13" s="1372"/>
      <c r="N13" s="1372"/>
      <c r="O13" s="1372"/>
      <c r="P13" s="1372"/>
      <c r="Q13" s="1372"/>
      <c r="R13" s="1604">
        <v>12</v>
      </c>
      <c r="S13" s="1605"/>
      <c r="T13" s="1604" t="e">
        <f t="shared" si="0"/>
        <v>#DIV/0!</v>
      </c>
      <c r="U13" s="1605"/>
      <c r="V13" s="1604" t="e">
        <f t="shared" si="1"/>
        <v>#DIV/0!</v>
      </c>
      <c r="W13" s="3284"/>
      <c r="X13" s="1618"/>
      <c r="Y13" s="1615">
        <f>(-0.163*(Y12^2)-0.59*Y12+7617)*(10^(-4))/Y11</f>
        <v>3.8606183476938671E-2</v>
      </c>
      <c r="Z13" s="1615">
        <f t="shared" ref="Z13:AJ13" si="5">(-0.163*(Z12^2)-0.59*Z12+7617)*(10^(-4))/Z11</f>
        <v>3.8606183476938671E-2</v>
      </c>
      <c r="AA13" s="1615">
        <f t="shared" si="5"/>
        <v>3.8606183476938671E-2</v>
      </c>
      <c r="AB13" s="1615">
        <f t="shared" si="5"/>
        <v>3.8606183476938671E-2</v>
      </c>
      <c r="AC13" s="1615">
        <f t="shared" si="5"/>
        <v>3.8606183476938671E-2</v>
      </c>
      <c r="AD13" s="1615">
        <f t="shared" si="5"/>
        <v>3.8606183476938671E-2</v>
      </c>
      <c r="AE13" s="1615">
        <f t="shared" si="5"/>
        <v>3.8606183476938671E-2</v>
      </c>
      <c r="AF13" s="1615">
        <f t="shared" si="5"/>
        <v>3.8606183476938671E-2</v>
      </c>
      <c r="AG13" s="1615">
        <f t="shared" si="5"/>
        <v>3.8606183476938671E-2</v>
      </c>
      <c r="AH13" s="1615">
        <f t="shared" si="5"/>
        <v>3.8606183476938671E-2</v>
      </c>
      <c r="AI13" s="1615">
        <f t="shared" si="5"/>
        <v>3.8606183476938671E-2</v>
      </c>
      <c r="AJ13" s="1615">
        <f t="shared" si="5"/>
        <v>3.8606183476938671E-2</v>
      </c>
    </row>
    <row r="14" spans="1:36" ht="15">
      <c r="A14" s="3289"/>
      <c r="B14" s="2768"/>
      <c r="C14" s="2769"/>
      <c r="D14" s="2770"/>
      <c r="E14" s="2770"/>
      <c r="F14" s="2771"/>
      <c r="G14" s="2772" t="s">
        <v>2881</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0"/>
      <c r="B15" s="2776" t="s">
        <v>2882</v>
      </c>
      <c r="C15" s="229">
        <f>IF(C14="有",1.1,1)</f>
        <v>1</v>
      </c>
      <c r="D15" s="229">
        <f>IF(D14="有",1.1,1)</f>
        <v>1</v>
      </c>
      <c r="E15" s="229">
        <f>IF(E14="有",1.1,1)</f>
        <v>1</v>
      </c>
      <c r="F15" s="229">
        <f>IF(F14="500米范围内",1.2,IF(F14="500-1000米",1.1,1))</f>
        <v>1</v>
      </c>
      <c r="G15" s="949">
        <v>1</v>
      </c>
      <c r="H15" s="949">
        <v>1</v>
      </c>
      <c r="I15" s="949">
        <v>1</v>
      </c>
      <c r="J15" s="950">
        <v>1</v>
      </c>
      <c r="K15" s="1372"/>
      <c r="L15" s="2777" t="s">
        <v>2818</v>
      </c>
      <c r="M15" s="920" t="s">
        <v>2883</v>
      </c>
      <c r="N15" s="920" t="s">
        <v>2884</v>
      </c>
      <c r="O15" s="920" t="s">
        <v>2885</v>
      </c>
      <c r="P15" s="2778"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1" t="s">
        <v>2887</v>
      </c>
      <c r="B16" s="2745" t="s">
        <v>2888</v>
      </c>
      <c r="C16" s="1803" t="e">
        <f>ROUND(SUM(G17:J17)/C17,0)</f>
        <v>#DIV/0!</v>
      </c>
      <c r="D16" s="2779" t="s">
        <v>2889</v>
      </c>
      <c r="E16" s="2780"/>
      <c r="F16" s="2781"/>
      <c r="G16" s="2782"/>
      <c r="H16" s="2782"/>
      <c r="I16" s="2782"/>
      <c r="J16" s="2783"/>
      <c r="K16" s="1372"/>
      <c r="L16" s="2784" t="s">
        <v>2890</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2"/>
      <c r="B17" s="2785" t="s">
        <v>2891</v>
      </c>
      <c r="C17" s="924">
        <f>SUMPRODUCT((修正!A2:A5=E2)*(修正!B1:M1=G2)*(修正!B2:M5))</f>
        <v>0</v>
      </c>
      <c r="D17" s="2786"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2895</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2896</v>
      </c>
      <c r="C19" s="927" t="e">
        <f>ROUND(IF(H19="按公示增长率计算",SUMPRODUCT((地价!A3:A24=YEAR(G19)&amp;"-"&amp;ROUNDUP(MONTH(G19)/3,0))*(地价!X2:AB2=E2)*(地价!X3:AB24)),IF(H19="地价指数",M20/M19,(1+I19)^O19)),4)</f>
        <v>#DIV/0!</v>
      </c>
      <c r="D19" s="2797" t="s">
        <v>2897</v>
      </c>
      <c r="E19" s="928">
        <v>41640</v>
      </c>
      <c r="F19" s="2797" t="s">
        <v>2898</v>
      </c>
      <c r="G19" s="929">
        <f>'数据-取费表'!B2</f>
        <v>43432</v>
      </c>
      <c r="H19" s="2798" t="s">
        <v>2899</v>
      </c>
      <c r="I19" s="930" t="str">
        <f>IF(H19="季度增幅（自定义）",SUMIF(N21:N24,E2,O21:O24),"")</f>
        <v/>
      </c>
      <c r="J19" s="2795"/>
      <c r="K19" s="1379"/>
      <c r="L19" s="2799" t="s">
        <v>2900</v>
      </c>
      <c r="M19" s="1736">
        <f>ROUND(SUMIF(地价!B2:F2,E2,地价!B24:F24),0)</f>
        <v>0</v>
      </c>
      <c r="N19" s="2800" t="s">
        <v>2901</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2902</v>
      </c>
      <c r="C20" s="932" t="e">
        <f>ROUND(POWER(1+G20,J20-I20)*(POWER(1+G20,I20)-1)/(POWER(1+G20,J20)-1),4)</f>
        <v>#DIV/0!</v>
      </c>
      <c r="D20" s="2806" t="s">
        <v>2903</v>
      </c>
      <c r="E20" s="1770">
        <f ca="1">存贷款利率!D4/100</f>
        <v>4.3499999999999997E-2</v>
      </c>
      <c r="F20" s="2806" t="s">
        <v>2894</v>
      </c>
      <c r="G20" s="937">
        <f>SUMIF(M15:P15,E2,M17:P17)</f>
        <v>0</v>
      </c>
      <c r="H20" s="2806" t="s">
        <v>2904</v>
      </c>
      <c r="I20" s="938" t="e">
        <f>SUMIF('数据-取费表'!C6:C15,E2,'数据-取费表'!F6:F15)/COUNTIF('数据-取费表'!C6:C15,E2)</f>
        <v>#DIV/0!</v>
      </c>
      <c r="J20" s="939">
        <f>IF(E2="住宅",70,IF(E2="商业",40,50))</f>
        <v>50</v>
      </c>
      <c r="K20" s="1379"/>
      <c r="L20" s="2807" t="s">
        <v>2905</v>
      </c>
      <c r="M20" s="1737">
        <f>ROUND(SUMPRODUCT((地价!A4:A24=YEAR(G19)&amp;"-"&amp;ROUNDUP(MONTH(G19)/3,0))*(地价!B2:F2=E2)*(地价!B4:F24)),0)</f>
        <v>0</v>
      </c>
      <c r="N20" s="2808" t="s">
        <v>2906</v>
      </c>
      <c r="O20" s="2809" t="s">
        <v>2907</v>
      </c>
      <c r="P20" s="2810" t="s">
        <v>2908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2909</v>
      </c>
      <c r="C21" s="940">
        <f>IF(B21="容积率修正",IF(G3&lt;=10,D22,J22),C23)</f>
        <v>0</v>
      </c>
      <c r="D21" s="2813"/>
      <c r="E21" s="2813"/>
      <c r="F21" s="2813"/>
      <c r="G21" s="2813"/>
      <c r="H21" s="2813"/>
      <c r="I21" s="2813"/>
      <c r="J21" s="2814"/>
      <c r="K21" s="1379"/>
      <c r="N21" s="2815" t="s">
        <v>2910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2911</v>
      </c>
      <c r="B22" s="2816" t="s">
        <v>2912</v>
      </c>
      <c r="C22" s="1812" t="s">
        <v>2913</v>
      </c>
      <c r="D22" s="1812" t="str">
        <f>IF(E22=G22,F22,IF(G3&lt;=10,ROUND(F22+(H22-F22)*(G3-E22)/(G22-E22),4),"——"))</f>
        <v>——</v>
      </c>
      <c r="E22" s="916">
        <f>ROUNDDOWN(G3,1)</f>
        <v>19.7</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19.8</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15" t="s">
        <v>2914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2915</v>
      </c>
      <c r="B23" s="2817" t="s">
        <v>2916</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2918</v>
      </c>
      <c r="C24" s="927">
        <f>SUMIF(A45:A88,E2,B45:B88)</f>
        <v>0</v>
      </c>
      <c r="D24" s="2793"/>
      <c r="E24" s="2823"/>
      <c r="F24" s="2823"/>
      <c r="G24" s="2823"/>
      <c r="H24" s="2823"/>
      <c r="I24" s="2823"/>
      <c r="J24" s="2824"/>
      <c r="K24" s="1379"/>
      <c r="N24" s="2825" t="s">
        <v>2919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2920</v>
      </c>
      <c r="C25" s="933"/>
      <c r="D25" s="2748"/>
      <c r="E25" s="2748"/>
      <c r="F25" s="2827"/>
      <c r="G25" s="2748"/>
      <c r="H25" s="2748"/>
      <c r="I25" s="2748"/>
      <c r="J25" s="2749"/>
      <c r="K25" s="1372"/>
      <c r="N25" s="2828" t="s">
        <v>2921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2922</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2923</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2924</v>
      </c>
      <c r="C28" s="2840" t="s">
        <v>2925</v>
      </c>
      <c r="D28" s="2840" t="s">
        <v>2926</v>
      </c>
      <c r="E28" s="2841" t="s">
        <v>2927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2928</v>
      </c>
      <c r="C29" s="206" t="e">
        <f>ROUND(C5*C18*C19*C20*C21*C24,0)</f>
        <v>#DIV/0!</v>
      </c>
      <c r="D29" s="2845"/>
      <c r="E29" s="945" t="e">
        <f>ROUND(C29*D29/10000,0)</f>
        <v>#DIV/0!</v>
      </c>
      <c r="F29" s="2846" t="s">
        <v>2929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2930</v>
      </c>
      <c r="C30" s="229" t="e">
        <f>ROUND(IF(E2="工业",C29*M39,C29*M38),0)</f>
        <v>#DIV/0!</v>
      </c>
      <c r="D30" s="2851"/>
      <c r="E30" s="945" t="e">
        <f>ROUND(C30*D30/10000,0)</f>
        <v>#DIV/0!</v>
      </c>
      <c r="F30" s="2852" t="s">
        <v>2931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2932</v>
      </c>
      <c r="C31" s="2857" t="s">
        <v>2933</v>
      </c>
      <c r="D31" s="2761"/>
      <c r="E31" s="2857"/>
      <c r="F31" s="2857"/>
      <c r="G31" s="2759" t="s">
        <v>2934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2925</v>
      </c>
      <c r="D32" s="498" t="s">
        <v>2926</v>
      </c>
      <c r="E32" s="498" t="s">
        <v>2927</v>
      </c>
      <c r="F32" s="388" t="s">
        <v>2935</v>
      </c>
      <c r="G32" s="2860" t="s">
        <v>2925</v>
      </c>
      <c r="H32" s="2860" t="s">
        <v>2926</v>
      </c>
      <c r="I32" s="2860" t="s">
        <v>2927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9" t="s">
        <v>2936</v>
      </c>
      <c r="B33" s="2861" t="s">
        <v>2937</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0"/>
      <c r="B34" s="2765" t="s">
        <v>2938</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0"/>
      <c r="B35" s="2765" t="s">
        <v>2939</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1"/>
      <c r="B36" s="2765" t="s">
        <v>2940</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2941</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2942</v>
      </c>
      <c r="M37" s="2865"/>
      <c r="N37" s="1372"/>
      <c r="O37" s="1372"/>
      <c r="P37" s="1372"/>
      <c r="Q37" s="1372"/>
      <c r="R37" s="1372"/>
      <c r="S37" s="1372"/>
      <c r="T37" s="1372"/>
      <c r="U37" s="1372"/>
      <c r="V37" s="1372"/>
      <c r="W37" s="1372"/>
      <c r="X37" s="1372"/>
      <c r="Y37" s="1372"/>
      <c r="Z37" s="1373"/>
    </row>
    <row r="38" spans="1:37">
      <c r="A38" s="2863"/>
      <c r="B38" s="2765" t="s">
        <v>2943</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2944</v>
      </c>
      <c r="M38" s="2866">
        <v>0.25</v>
      </c>
      <c r="N38" s="1372"/>
      <c r="O38" s="1372"/>
      <c r="P38" s="1372"/>
      <c r="Q38" s="1372"/>
      <c r="R38" s="1372"/>
      <c r="S38" s="1372"/>
      <c r="T38" s="1372"/>
      <c r="U38" s="1372"/>
      <c r="V38" s="1372"/>
      <c r="W38" s="1372"/>
      <c r="X38" s="1372"/>
      <c r="Y38" s="1372"/>
      <c r="Z38" s="1373"/>
    </row>
    <row r="39" spans="1:37" ht="13.5" thickBot="1">
      <c r="A39" s="2849"/>
      <c r="B39" s="2867" t="s">
        <v>2945</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2947</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2948</v>
      </c>
      <c r="B47" s="1811" t="s">
        <v>2949</v>
      </c>
      <c r="C47" s="1811" t="s">
        <v>2950</v>
      </c>
      <c r="D47" s="1811" t="s">
        <v>2951</v>
      </c>
      <c r="E47" s="819" t="s">
        <v>2952</v>
      </c>
      <c r="F47" s="2879" t="s">
        <v>2953</v>
      </c>
      <c r="G47" s="1811" t="s">
        <v>754</v>
      </c>
      <c r="H47" s="2880" t="s">
        <v>2954</v>
      </c>
      <c r="I47" s="1811" t="s">
        <v>2955</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78" t="s">
        <v>2956</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2957</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2958</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2959</v>
      </c>
      <c r="B51" s="2883" t="s">
        <v>2960</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2961</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2962</v>
      </c>
      <c r="B53" s="2884" t="s">
        <v>2963</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2964</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2965</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2966</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2967</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2948</v>
      </c>
      <c r="B58" s="1811"/>
      <c r="C58" s="1811" t="s">
        <v>2950</v>
      </c>
      <c r="D58" s="1811" t="s">
        <v>2951</v>
      </c>
      <c r="E58" s="819" t="s">
        <v>2952</v>
      </c>
      <c r="F58" s="2879" t="s">
        <v>2968</v>
      </c>
      <c r="G58" s="1811" t="s">
        <v>754</v>
      </c>
      <c r="H58" s="2880" t="s">
        <v>2954</v>
      </c>
      <c r="I58" s="1811" t="s">
        <v>2955</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c r="A59" s="2878" t="s">
        <v>2969</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2957</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2958</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2959</v>
      </c>
      <c r="B62" s="2883" t="s">
        <v>2960</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2961</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2962</v>
      </c>
      <c r="B64" s="2884" t="s">
        <v>2963</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2964</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2965</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2966</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2970</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2948</v>
      </c>
      <c r="B69" s="1811"/>
      <c r="C69" s="1811" t="s">
        <v>2950</v>
      </c>
      <c r="D69" s="1811" t="s">
        <v>2951</v>
      </c>
      <c r="E69" s="819" t="s">
        <v>2952</v>
      </c>
      <c r="F69" s="2879" t="s">
        <v>2968</v>
      </c>
      <c r="G69" s="1811" t="s">
        <v>754</v>
      </c>
      <c r="H69" s="2880" t="s">
        <v>2954</v>
      </c>
      <c r="I69" s="1811" t="s">
        <v>2955</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c r="A70" s="2878" t="s">
        <v>2971</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2957</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2958</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2972</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2964</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2965</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2962</v>
      </c>
      <c r="B76" s="2884" t="s">
        <v>2963</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2966</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2973</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2974</v>
      </c>
      <c r="B79" s="2875">
        <f>1+E81</f>
        <v>1</v>
      </c>
      <c r="C79" s="814"/>
      <c r="D79" s="814"/>
      <c r="E79" s="815"/>
      <c r="F79" s="2877"/>
      <c r="G79" s="6"/>
      <c r="H79" s="6"/>
      <c r="I79" s="6"/>
      <c r="J79" s="7"/>
      <c r="K79" s="7"/>
      <c r="L79" s="7"/>
      <c r="M79" s="7"/>
      <c r="N79" s="7"/>
      <c r="Z79" s="2720"/>
      <c r="AA79" s="2796"/>
      <c r="AG79" s="1374"/>
      <c r="AK79" s="2796"/>
    </row>
    <row r="80" spans="1:37" ht="24.75">
      <c r="A80" s="2878" t="s">
        <v>2948</v>
      </c>
      <c r="B80" s="1811"/>
      <c r="C80" s="1811" t="s">
        <v>2950</v>
      </c>
      <c r="D80" s="1811" t="s">
        <v>2951</v>
      </c>
      <c r="E80" s="819" t="s">
        <v>2952</v>
      </c>
      <c r="F80" s="2879" t="s">
        <v>2968</v>
      </c>
      <c r="G80" s="1811" t="s">
        <v>754</v>
      </c>
      <c r="H80" s="2880" t="s">
        <v>2954</v>
      </c>
      <c r="I80" s="1811" t="s">
        <v>2955</v>
      </c>
      <c r="J80" s="603" t="s">
        <v>2601</v>
      </c>
      <c r="K80" s="603" t="s">
        <v>2602</v>
      </c>
      <c r="L80" s="603" t="s">
        <v>2603</v>
      </c>
      <c r="M80" s="603" t="s">
        <v>2604</v>
      </c>
      <c r="N80" s="603" t="s">
        <v>2605</v>
      </c>
      <c r="Z80" s="2720"/>
      <c r="AA80" s="2796"/>
      <c r="AG80" s="1374"/>
      <c r="AK80" s="2796"/>
    </row>
    <row r="81" spans="1:37" ht="38.25">
      <c r="A81" s="2878" t="s">
        <v>2975</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2957</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2958</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2972</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2964</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2965</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2962</v>
      </c>
      <c r="B87" s="2884" t="s">
        <v>2976</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2977</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73" t="s">
        <v>2978</v>
      </c>
      <c r="B90" s="3273"/>
      <c r="C90" s="3273"/>
      <c r="D90" s="3273"/>
      <c r="E90" s="3273"/>
      <c r="F90" s="3273"/>
      <c r="G90" s="3273"/>
      <c r="H90" s="3273"/>
      <c r="I90" s="3273"/>
      <c r="J90" s="3273"/>
      <c r="K90" s="2892"/>
      <c r="L90" s="2892"/>
      <c r="M90" s="2892"/>
      <c r="N90" s="2892"/>
    </row>
    <row r="91" spans="1:37">
      <c r="A91" s="3275" t="s">
        <v>2979</v>
      </c>
      <c r="B91" s="3275" t="s">
        <v>2980</v>
      </c>
      <c r="C91" s="2846" t="s">
        <v>2981</v>
      </c>
      <c r="D91" s="2847"/>
      <c r="E91" s="2847"/>
      <c r="F91" s="2847"/>
      <c r="G91" s="2847"/>
      <c r="H91" s="2847"/>
      <c r="I91" s="2847"/>
      <c r="J91" s="2893"/>
      <c r="K91" s="2894"/>
      <c r="L91" s="2894"/>
      <c r="M91" s="2894"/>
      <c r="N91" s="2894"/>
    </row>
    <row r="92" spans="1:37">
      <c r="A92" s="3275"/>
      <c r="B92" s="3275"/>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76" t="s">
        <v>2982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7"/>
      <c r="B99" s="2895" t="s">
        <v>2861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6" t="s">
        <v>2983</v>
      </c>
      <c r="B101" s="2899" t="s">
        <v>2984</v>
      </c>
      <c r="C101" s="2900">
        <f>$G$3</f>
        <v>19.73</v>
      </c>
      <c r="D101" s="2900">
        <f t="shared" ref="D101:N101" si="31">$G$3</f>
        <v>19.73</v>
      </c>
      <c r="E101" s="2900">
        <f t="shared" si="31"/>
        <v>19.73</v>
      </c>
      <c r="F101" s="2900">
        <f t="shared" si="31"/>
        <v>19.73</v>
      </c>
      <c r="G101" s="2900">
        <f t="shared" si="31"/>
        <v>19.73</v>
      </c>
      <c r="H101" s="2900">
        <f t="shared" si="31"/>
        <v>19.73</v>
      </c>
      <c r="I101" s="2900">
        <f t="shared" si="31"/>
        <v>19.73</v>
      </c>
      <c r="J101" s="2900">
        <f t="shared" si="31"/>
        <v>19.73</v>
      </c>
      <c r="K101" s="2900">
        <f t="shared" si="31"/>
        <v>19.73</v>
      </c>
      <c r="L101" s="2900">
        <f t="shared" si="31"/>
        <v>19.73</v>
      </c>
      <c r="M101" s="2900">
        <f t="shared" si="31"/>
        <v>19.73</v>
      </c>
      <c r="N101" s="2900">
        <f t="shared" si="31"/>
        <v>19.73</v>
      </c>
    </row>
    <row r="102" spans="1:14">
      <c r="A102" s="3277"/>
      <c r="B102" s="2895">
        <v>1</v>
      </c>
      <c r="C102" s="2896">
        <f>1.9362/C101</f>
        <v>9.8134820070957932E-2</v>
      </c>
      <c r="D102" s="2896">
        <f>1.9362/D101</f>
        <v>9.8134820070957932E-2</v>
      </c>
      <c r="E102" s="2896">
        <f>1.8629/E101</f>
        <v>9.4419665484034465E-2</v>
      </c>
      <c r="F102" s="2896">
        <f>1.8629/F101</f>
        <v>9.4419665484034465E-2</v>
      </c>
      <c r="G102" s="2896">
        <f>1.8629/G101</f>
        <v>9.4419665484034465E-2</v>
      </c>
      <c r="H102" s="2896">
        <f>1.8629/H101</f>
        <v>9.4419665484034465E-2</v>
      </c>
      <c r="I102" s="2896">
        <f>1.8629/I101</f>
        <v>9.4419665484034465E-2</v>
      </c>
      <c r="J102" s="2896">
        <f>1.942/J101</f>
        <v>9.8428788646730866E-2</v>
      </c>
      <c r="K102" s="2896">
        <f>1.942/K101</f>
        <v>9.8428788646730866E-2</v>
      </c>
      <c r="L102" s="2896">
        <f>1.942/L101</f>
        <v>9.8428788646730866E-2</v>
      </c>
      <c r="M102" s="2896">
        <f>1.942/M101</f>
        <v>9.8428788646730866E-2</v>
      </c>
      <c r="N102" s="2896">
        <f>1.942/N101</f>
        <v>9.8428788646730866E-2</v>
      </c>
    </row>
    <row r="103" spans="1:14">
      <c r="A103" s="3277"/>
      <c r="B103" s="2895">
        <v>2</v>
      </c>
      <c r="C103" s="2896">
        <f>1.4198/C101</f>
        <v>7.1961479979726295E-2</v>
      </c>
      <c r="D103" s="2896">
        <f>1.4198/D101</f>
        <v>7.1961479979726295E-2</v>
      </c>
      <c r="E103" s="2896">
        <f>1.3372/E101</f>
        <v>6.7774961986822091E-2</v>
      </c>
      <c r="F103" s="2896">
        <f>1.3372/F101</f>
        <v>6.7774961986822091E-2</v>
      </c>
      <c r="G103" s="2896">
        <f>1.3372/G101</f>
        <v>6.7774961986822091E-2</v>
      </c>
      <c r="H103" s="2896">
        <f>1.3372/H101</f>
        <v>6.7774961986822091E-2</v>
      </c>
      <c r="I103" s="2896">
        <f>1.3372/I101</f>
        <v>6.7774961986822091E-2</v>
      </c>
      <c r="J103" s="2896">
        <f>1.2799/J101</f>
        <v>6.4870755195134314E-2</v>
      </c>
      <c r="K103" s="2896">
        <f>1.2799/K101</f>
        <v>6.4870755195134314E-2</v>
      </c>
      <c r="L103" s="2896">
        <f>1.2799/L101</f>
        <v>6.4870755195134314E-2</v>
      </c>
      <c r="M103" s="2896">
        <f>1.2799/M101</f>
        <v>6.4870755195134314E-2</v>
      </c>
      <c r="N103" s="2896">
        <f>1.2799/N101</f>
        <v>6.4870755195134314E-2</v>
      </c>
    </row>
    <row r="104" spans="1:14">
      <c r="A104" s="3277"/>
      <c r="B104" s="2895">
        <v>3</v>
      </c>
      <c r="C104" s="2896">
        <f>1.1594/C101</f>
        <v>5.8763304612265581E-2</v>
      </c>
      <c r="D104" s="2896">
        <f>1.1594/D101</f>
        <v>5.8763304612265581E-2</v>
      </c>
      <c r="E104" s="2896">
        <f>1.0788/E101</f>
        <v>5.4678155093765834E-2</v>
      </c>
      <c r="F104" s="2896">
        <f>1.0788/F101</f>
        <v>5.4678155093765834E-2</v>
      </c>
      <c r="G104" s="2896">
        <f>1.0788/G101</f>
        <v>5.4678155093765834E-2</v>
      </c>
      <c r="H104" s="2896">
        <f>1.0788/H101</f>
        <v>5.4678155093765834E-2</v>
      </c>
      <c r="I104" s="2896">
        <f>1.0788/I101</f>
        <v>5.4678155093765834E-2</v>
      </c>
      <c r="J104" s="2896">
        <f>1.0072/J101</f>
        <v>5.1049163710086165E-2</v>
      </c>
      <c r="K104" s="2896">
        <f>1.0072/K101</f>
        <v>5.1049163710086165E-2</v>
      </c>
      <c r="L104" s="2896">
        <f>1.0072/L101</f>
        <v>5.1049163710086165E-2</v>
      </c>
      <c r="M104" s="2896">
        <f>1.0072/M101</f>
        <v>5.1049163710086165E-2</v>
      </c>
      <c r="N104" s="2896">
        <f>1.0072/N101</f>
        <v>5.1049163710086165E-2</v>
      </c>
    </row>
    <row r="105" spans="1:14">
      <c r="A105" s="3277"/>
      <c r="B105" s="2895">
        <v>4</v>
      </c>
      <c r="C105" s="2896">
        <f>0.9622/C101</f>
        <v>4.8768373035985808E-2</v>
      </c>
      <c r="D105" s="2896">
        <f>0.9622/D101</f>
        <v>4.8768373035985808E-2</v>
      </c>
      <c r="E105" s="2896">
        <f>0.8656/E101</f>
        <v>4.387227572225038E-2</v>
      </c>
      <c r="F105" s="2896">
        <f>0.8656/F101</f>
        <v>4.387227572225038E-2</v>
      </c>
      <c r="G105" s="2896">
        <f>0.8656/G101</f>
        <v>4.387227572225038E-2</v>
      </c>
      <c r="H105" s="2896">
        <f>0.8656/H101</f>
        <v>4.387227572225038E-2</v>
      </c>
      <c r="I105" s="2896">
        <f>0.8656/I101</f>
        <v>4.387227572225038E-2</v>
      </c>
      <c r="J105" s="2896">
        <f>0.7525/J101</f>
        <v>3.8139888494678149E-2</v>
      </c>
      <c r="K105" s="2896">
        <f>0.7525/K101</f>
        <v>3.8139888494678149E-2</v>
      </c>
      <c r="L105" s="2896">
        <f>0.7525/L101</f>
        <v>3.8139888494678149E-2</v>
      </c>
      <c r="M105" s="2896">
        <f>0.7525/M101</f>
        <v>3.8139888494678149E-2</v>
      </c>
      <c r="N105" s="2896">
        <f>0.7525/N101</f>
        <v>3.8139888494678149E-2</v>
      </c>
    </row>
    <row r="106" spans="1:14">
      <c r="A106" s="3277"/>
      <c r="B106" s="2895">
        <v>5</v>
      </c>
      <c r="C106" s="2896">
        <f>0.8417/C101</f>
        <v>4.2660922453117082E-2</v>
      </c>
      <c r="D106" s="2896">
        <f>0.8417/D101</f>
        <v>4.2660922453117082E-2</v>
      </c>
      <c r="E106" s="2896">
        <f>0.7371/E101</f>
        <v>3.7359351241763809E-2</v>
      </c>
      <c r="F106" s="2896">
        <f>0.7371/F101</f>
        <v>3.7359351241763809E-2</v>
      </c>
      <c r="G106" s="2896">
        <f>0.7371/G101</f>
        <v>3.7359351241763809E-2</v>
      </c>
      <c r="H106" s="2896">
        <f>0.7371/H101</f>
        <v>3.7359351241763809E-2</v>
      </c>
      <c r="I106" s="2896">
        <f>0.7371/I101</f>
        <v>3.7359351241763809E-2</v>
      </c>
      <c r="J106" s="2896">
        <f>0.5659/J101</f>
        <v>2.8682209832742014E-2</v>
      </c>
      <c r="K106" s="2896">
        <f>0.5659/K101</f>
        <v>2.8682209832742014E-2</v>
      </c>
      <c r="L106" s="2896">
        <f>0.5659/L101</f>
        <v>2.8682209832742014E-2</v>
      </c>
      <c r="M106" s="2896">
        <f>0.5659/M101</f>
        <v>2.8682209832742014E-2</v>
      </c>
      <c r="N106" s="2896">
        <f>0.5659/N101</f>
        <v>2.8682209832742014E-2</v>
      </c>
    </row>
    <row r="107" spans="1:14">
      <c r="A107" s="3277"/>
      <c r="B107" s="2895">
        <v>6</v>
      </c>
      <c r="C107" s="2896">
        <f>0.7608/C101</f>
        <v>3.8560567663456669E-2</v>
      </c>
      <c r="D107" s="2896">
        <f>0.7608/D101</f>
        <v>3.8560567663456669E-2</v>
      </c>
      <c r="E107" s="2896">
        <f>0.6482/E101</f>
        <v>3.2853522554485551E-2</v>
      </c>
      <c r="F107" s="2896">
        <f>0.6482/F101</f>
        <v>3.2853522554485551E-2</v>
      </c>
      <c r="G107" s="2896">
        <f>0.6482/G101</f>
        <v>3.2853522554485551E-2</v>
      </c>
      <c r="H107" s="2896">
        <f>0.6482/H101</f>
        <v>3.2853522554485551E-2</v>
      </c>
      <c r="I107" s="2896">
        <f>0.6482/I101</f>
        <v>3.2853522554485551E-2</v>
      </c>
      <c r="J107" s="2896">
        <f>0.4525/J101</f>
        <v>2.2934617334009123E-2</v>
      </c>
      <c r="K107" s="2896">
        <f>0.4525/K101</f>
        <v>2.2934617334009123E-2</v>
      </c>
      <c r="L107" s="2896">
        <f>0.4525/L101</f>
        <v>2.2934617334009123E-2</v>
      </c>
      <c r="M107" s="2896">
        <f>0.4525/M101</f>
        <v>2.2934617334009123E-2</v>
      </c>
      <c r="N107" s="2896">
        <f>0.4525/N101</f>
        <v>2.2934617334009123E-2</v>
      </c>
    </row>
    <row r="108" spans="1:14">
      <c r="A108" s="3277"/>
      <c r="B108" s="3103" t="s">
        <v>2985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8"/>
      <c r="B109" s="3104"/>
      <c r="C109" s="2898">
        <f>(-0.163*(C108^2)-0.59*C108+7617)*(10^(-4))/C101</f>
        <v>3.8606183476938671E-2</v>
      </c>
      <c r="D109" s="2898">
        <f>(-0.163*(D108^2)-0.59*D108+7617)*(10^(-4))/D101</f>
        <v>3.8606183476938671E-2</v>
      </c>
      <c r="E109" s="2898">
        <f>(-0.161*(E108^2)-7.509*E108+6533)*(10^(-4))/E101</f>
        <v>3.3112012164216928E-2</v>
      </c>
      <c r="F109" s="2898">
        <f>(-0.161*(F108^2)-7.509*F108+6533)*(10^(-4))/F101</f>
        <v>3.3112012164216928E-2</v>
      </c>
      <c r="G109" s="2898">
        <f>(-0.161*(G108^2)-7.509*G108+6533)*(10^(-4))/G101</f>
        <v>3.3112012164216928E-2</v>
      </c>
      <c r="H109" s="2898">
        <f>(-0.161*(H108^2)-7.509*H108+6533)*(10^(-4))/H101</f>
        <v>3.3112012164216928E-2</v>
      </c>
      <c r="I109" s="2898">
        <f>(-0.161*(I108^2)-7.509*I108+6533)*(10^(-4))/I101</f>
        <v>3.3112012164216928E-2</v>
      </c>
      <c r="J109" s="2898">
        <f>(-0.214*(J108^2)-21.991*J108+4665)*(10^(-4))/J101</f>
        <v>2.3644196654840344E-2</v>
      </c>
      <c r="K109" s="2898">
        <f>(-0.214*(K108^2)-21.991*K108+4665)*(10^(-4))/K101</f>
        <v>2.3644196654840344E-2</v>
      </c>
      <c r="L109" s="2898">
        <f>(-0.214*(L108^2)-21.991*L108+4665)*(10^(-4))/L101</f>
        <v>2.3644196654840344E-2</v>
      </c>
      <c r="M109" s="2898">
        <f>(-0.214*(M108^2)-21.991*M108+4665)*(10^(-4))/M101</f>
        <v>2.3644196654840344E-2</v>
      </c>
      <c r="N109" s="2898">
        <f>(-0.214*(N108^2)-21.991*N108+4665)*(10^(-4))/N101</f>
        <v>2.3644196654840344E-2</v>
      </c>
    </row>
    <row r="110" spans="1:14">
      <c r="A110" s="3274" t="s">
        <v>2986</v>
      </c>
      <c r="B110" s="3274"/>
      <c r="C110" s="3274"/>
      <c r="D110" s="3274"/>
      <c r="E110" s="3274"/>
      <c r="F110" s="3274"/>
      <c r="G110" s="3274"/>
      <c r="H110" s="3274"/>
      <c r="I110" s="3274"/>
      <c r="J110" s="3274"/>
      <c r="K110" s="2901"/>
      <c r="L110" s="2901"/>
      <c r="M110" s="2901"/>
      <c r="N110" s="2901"/>
    </row>
    <row r="112" spans="1:14" ht="13.5" thickBot="1"/>
    <row r="113" spans="1:13" ht="25.5" thickBot="1">
      <c r="A113" s="903" t="s">
        <v>2987</v>
      </c>
      <c r="B113" s="1289">
        <f>G3</f>
        <v>19.73</v>
      </c>
      <c r="C113" s="904" t="s">
        <v>2988</v>
      </c>
      <c r="D113" s="905">
        <f>SUMPRODUCT((A115:A118=F113)*(B114:M114=H113)*B115:M118)</f>
        <v>0</v>
      </c>
      <c r="E113" s="2724" t="s">
        <v>2818</v>
      </c>
      <c r="F113" s="2903">
        <f>E2</f>
        <v>0</v>
      </c>
      <c r="G113" s="2724" t="s">
        <v>2819</v>
      </c>
      <c r="H113" s="2903">
        <f>G2</f>
        <v>0</v>
      </c>
      <c r="I113" s="2724"/>
      <c r="J113" s="2904"/>
      <c r="K113" s="2904"/>
      <c r="L113" s="2904"/>
      <c r="M113" s="2904"/>
    </row>
    <row r="114" spans="1:13">
      <c r="A114" s="908"/>
      <c r="B114" s="2905" t="s">
        <v>2989</v>
      </c>
      <c r="C114" s="2905" t="s">
        <v>2990</v>
      </c>
      <c r="D114" s="2905" t="s">
        <v>2991</v>
      </c>
      <c r="E114" s="2906" t="s">
        <v>2992</v>
      </c>
      <c r="F114" s="2906" t="s">
        <v>2993</v>
      </c>
      <c r="G114" s="2906" t="s">
        <v>2994</v>
      </c>
      <c r="H114" s="2907" t="s">
        <v>2995</v>
      </c>
      <c r="I114" s="2907" t="s">
        <v>2996</v>
      </c>
      <c r="J114" s="2908" t="s">
        <v>2997</v>
      </c>
      <c r="K114" s="2908" t="s">
        <v>2998</v>
      </c>
      <c r="L114" s="2908" t="s">
        <v>2999</v>
      </c>
      <c r="M114" s="2909" t="s">
        <v>3000</v>
      </c>
    </row>
    <row r="115" spans="1:13">
      <c r="A115" s="909" t="s">
        <v>2883</v>
      </c>
      <c r="B115" s="910">
        <f>ROUND(0.9335-0.0094*B113,4)</f>
        <v>0.748</v>
      </c>
      <c r="C115" s="910">
        <f>B115</f>
        <v>0.748</v>
      </c>
      <c r="D115" s="910">
        <f>ROUND(0.8331-0.0109*B113,4)</f>
        <v>0.61799999999999999</v>
      </c>
      <c r="E115" s="910">
        <f>D115</f>
        <v>0.61799999999999999</v>
      </c>
      <c r="F115" s="910">
        <f>E115</f>
        <v>0.61799999999999999</v>
      </c>
      <c r="G115" s="910">
        <f>F115</f>
        <v>0.61799999999999999</v>
      </c>
      <c r="H115" s="910">
        <f>G115</f>
        <v>0.61799999999999999</v>
      </c>
      <c r="I115" s="910">
        <f>ROUND(0.689-0.0155*B113,4)</f>
        <v>0.38319999999999999</v>
      </c>
      <c r="J115" s="910">
        <f t="shared" ref="J115:M118" si="33">I115</f>
        <v>0.38319999999999999</v>
      </c>
      <c r="K115" s="910">
        <f t="shared" si="33"/>
        <v>0.38319999999999999</v>
      </c>
      <c r="L115" s="910">
        <f t="shared" si="33"/>
        <v>0.38319999999999999</v>
      </c>
      <c r="M115" s="911">
        <f t="shared" si="33"/>
        <v>0.38319999999999999</v>
      </c>
    </row>
    <row r="116" spans="1:13">
      <c r="A116" s="909" t="s">
        <v>2884</v>
      </c>
      <c r="B116" s="910">
        <f>ROUND(0.949-0.012*B113,4)</f>
        <v>0.71220000000000006</v>
      </c>
      <c r="C116" s="910">
        <f>B116</f>
        <v>0.71220000000000006</v>
      </c>
      <c r="D116" s="910">
        <f>ROUND(0.8567-0.013*B113,4)</f>
        <v>0.60019999999999996</v>
      </c>
      <c r="E116" s="910">
        <f t="shared" ref="E116:H117" si="34">D116</f>
        <v>0.60019999999999996</v>
      </c>
      <c r="F116" s="910">
        <f t="shared" si="34"/>
        <v>0.60019999999999996</v>
      </c>
      <c r="G116" s="910">
        <f t="shared" si="34"/>
        <v>0.60019999999999996</v>
      </c>
      <c r="H116" s="910">
        <f t="shared" si="34"/>
        <v>0.60019999999999996</v>
      </c>
      <c r="I116" s="910">
        <f>ROUND(0.7694-0.014*B113,4)</f>
        <v>0.49320000000000003</v>
      </c>
      <c r="J116" s="910">
        <f t="shared" si="33"/>
        <v>0.49320000000000003</v>
      </c>
      <c r="K116" s="910">
        <f t="shared" si="33"/>
        <v>0.49320000000000003</v>
      </c>
      <c r="L116" s="910">
        <f t="shared" si="33"/>
        <v>0.49320000000000003</v>
      </c>
      <c r="M116" s="911">
        <f t="shared" si="33"/>
        <v>0.49320000000000003</v>
      </c>
    </row>
    <row r="117" spans="1:13">
      <c r="A117" s="909" t="s">
        <v>2885</v>
      </c>
      <c r="B117" s="910">
        <f>ROUND(0.8808-0.006*B113,4)</f>
        <v>0.76239999999999997</v>
      </c>
      <c r="C117" s="910">
        <f>B117</f>
        <v>0.76239999999999997</v>
      </c>
      <c r="D117" s="910">
        <f>ROUND(0.8748-0.008*B113,4)</f>
        <v>0.71699999999999997</v>
      </c>
      <c r="E117" s="910">
        <f t="shared" si="34"/>
        <v>0.71699999999999997</v>
      </c>
      <c r="F117" s="910">
        <f t="shared" si="34"/>
        <v>0.71699999999999997</v>
      </c>
      <c r="G117" s="910">
        <f t="shared" si="34"/>
        <v>0.71699999999999997</v>
      </c>
      <c r="H117" s="910">
        <f t="shared" si="34"/>
        <v>0.71699999999999997</v>
      </c>
      <c r="I117" s="910">
        <f>ROUND(0.7412-0.0095*B113,4)</f>
        <v>0.55379999999999996</v>
      </c>
      <c r="J117" s="910">
        <f t="shared" si="33"/>
        <v>0.55379999999999996</v>
      </c>
      <c r="K117" s="910">
        <f t="shared" si="33"/>
        <v>0.55379999999999996</v>
      </c>
      <c r="L117" s="910">
        <f t="shared" si="33"/>
        <v>0.55379999999999996</v>
      </c>
      <c r="M117" s="911">
        <f t="shared" si="33"/>
        <v>0.55379999999999996</v>
      </c>
    </row>
    <row r="118" spans="1:13" ht="13.5" thickBot="1">
      <c r="A118" s="714" t="s">
        <v>2886</v>
      </c>
      <c r="B118" s="912">
        <f>ROUND(0.7275-0.01*B113,4)</f>
        <v>0.5302</v>
      </c>
      <c r="C118" s="912">
        <f>B118</f>
        <v>0.5302</v>
      </c>
      <c r="D118" s="912">
        <f>ROUND(0.7043-0.012*B113,4)</f>
        <v>0.46750000000000003</v>
      </c>
      <c r="E118" s="912">
        <f>D118</f>
        <v>0.46750000000000003</v>
      </c>
      <c r="F118" s="912">
        <f>E118</f>
        <v>0.46750000000000003</v>
      </c>
      <c r="G118" s="912">
        <f>ROUND(0.6299-0.0122*B113,4)</f>
        <v>0.38919999999999999</v>
      </c>
      <c r="H118" s="912">
        <f>G118</f>
        <v>0.38919999999999999</v>
      </c>
      <c r="I118" s="912">
        <f>ROUND(0.5667-0.0136*B113,4)</f>
        <v>0.2984</v>
      </c>
      <c r="J118" s="912">
        <f t="shared" si="33"/>
        <v>0.2984</v>
      </c>
      <c r="K118" s="912">
        <f t="shared" si="33"/>
        <v>0.2984</v>
      </c>
      <c r="L118" s="912">
        <f t="shared" si="33"/>
        <v>0.2984</v>
      </c>
      <c r="M118" s="913">
        <f t="shared" si="33"/>
        <v>0.2984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3009</v>
      </c>
    </row>
    <row r="2" spans="1:5" ht="15.75">
      <c r="A2" s="2910" t="s">
        <v>3001</v>
      </c>
      <c r="B2" s="2911" t="e">
        <f ca="1">SUMIF(B6:B13,"&lt;&gt;#ref!",B6:B13)</f>
        <v>#DIV/0!</v>
      </c>
      <c r="C2" s="2910" t="s">
        <v>3002</v>
      </c>
      <c r="D2" s="2910" t="s">
        <v>3003</v>
      </c>
      <c r="E2" s="2911">
        <f ca="1">SUMIF(E6:E13,"&lt;&gt;#ref!",E6:E13)</f>
        <v>0</v>
      </c>
    </row>
    <row r="3" spans="1:5" ht="15.75">
      <c r="A3" s="2910" t="s">
        <v>3004</v>
      </c>
      <c r="B3" s="2911" t="e">
        <f ca="1">ROUND(B2*10000/E2,0)</f>
        <v>#DIV/0!</v>
      </c>
      <c r="C3" s="2910" t="s">
        <v>3010</v>
      </c>
      <c r="D3" s="2912"/>
      <c r="E3" s="2912"/>
    </row>
    <row r="4" spans="1:5" ht="15.75">
      <c r="A4" s="2913"/>
      <c r="B4" s="2912"/>
      <c r="C4" s="2912"/>
      <c r="D4" s="2912"/>
      <c r="E4" s="2912"/>
    </row>
    <row r="5" spans="1:5" ht="28.5">
      <c r="A5" s="2914" t="s">
        <v>3005</v>
      </c>
      <c r="B5" s="2910" t="s">
        <v>3006</v>
      </c>
      <c r="C5" s="2911"/>
      <c r="D5" s="2912"/>
      <c r="E5" s="2910" t="s">
        <v>3007</v>
      </c>
    </row>
    <row r="6" spans="1:5" ht="15.75">
      <c r="A6" s="2915" t="s">
        <v>3008</v>
      </c>
      <c r="B6" s="2911" t="e">
        <f ca="1">SUMIF(INDIRECT("'"&amp;A6&amp;"'"&amp;"!A:A"),"总价",INDIRECT("'"&amp;A6&amp;"'"&amp;"!B:B"))</f>
        <v>#DIV/0!</v>
      </c>
      <c r="C6" s="2910" t="s">
        <v>3002</v>
      </c>
      <c r="D6" s="2912"/>
      <c r="E6" s="2576">
        <f ca="1">SUMIF(INDIRECT("'"&amp;A6&amp;"'"&amp;"!C:C"),"建筑面积",INDIRECT("'"&amp;A6&amp;"'"&amp;"!D:D"))</f>
        <v>0</v>
      </c>
    </row>
    <row r="7" spans="1:5" ht="15.75">
      <c r="A7" s="2915"/>
      <c r="B7" s="2911" t="e">
        <f ca="1">SUMIF(INDIRECT("'"&amp;A7&amp;"'"&amp;"!A:A"),"总价",INDIRECT("'"&amp;A7&amp;"'"&amp;"!B:B"))</f>
        <v>#REF!</v>
      </c>
      <c r="C7" s="2910" t="s">
        <v>3002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3002</v>
      </c>
      <c r="D8" s="2912"/>
      <c r="E8" s="2576" t="e">
        <f t="shared" ca="1" si="0"/>
        <v>#REF!</v>
      </c>
    </row>
    <row r="9" spans="1:5" ht="15.75">
      <c r="A9" s="2915"/>
      <c r="B9" s="2911" t="e">
        <f t="shared" ca="1" si="1"/>
        <v>#REF!</v>
      </c>
      <c r="C9" s="2910" t="s">
        <v>3002</v>
      </c>
      <c r="D9" s="2912"/>
      <c r="E9" s="2576" t="e">
        <f t="shared" ca="1" si="0"/>
        <v>#REF!</v>
      </c>
    </row>
    <row r="10" spans="1:5" ht="15.75">
      <c r="A10" s="2915"/>
      <c r="B10" s="2911" t="e">
        <f t="shared" ca="1" si="1"/>
        <v>#REF!</v>
      </c>
      <c r="C10" s="2910" t="s">
        <v>3002</v>
      </c>
      <c r="D10" s="2912"/>
      <c r="E10" s="2576" t="e">
        <f t="shared" ca="1" si="0"/>
        <v>#REF!</v>
      </c>
    </row>
    <row r="11" spans="1:5" ht="15.75">
      <c r="A11" s="2915"/>
      <c r="B11" s="2911" t="e">
        <f t="shared" ca="1" si="1"/>
        <v>#REF!</v>
      </c>
      <c r="C11" s="2910" t="s">
        <v>3002</v>
      </c>
      <c r="D11" s="2912"/>
      <c r="E11" s="2576" t="e">
        <f t="shared" ca="1" si="0"/>
        <v>#REF!</v>
      </c>
    </row>
    <row r="12" spans="1:5" ht="15.75">
      <c r="A12" s="2915"/>
      <c r="B12" s="2911" t="e">
        <f t="shared" ca="1" si="1"/>
        <v>#REF!</v>
      </c>
      <c r="C12" s="2910" t="s">
        <v>3002</v>
      </c>
      <c r="D12" s="2912"/>
      <c r="E12" s="2576" t="e">
        <f t="shared" ca="1" si="0"/>
        <v>#REF!</v>
      </c>
    </row>
    <row r="13" spans="1:5" ht="15.75">
      <c r="A13" s="2915"/>
      <c r="B13" s="2911" t="e">
        <f t="shared" ca="1" si="1"/>
        <v>#REF!</v>
      </c>
      <c r="C13" s="2910" t="s">
        <v>3002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7" t="s">
        <v>1150</v>
      </c>
      <c r="C1" s="3297"/>
      <c r="D1" s="3297"/>
      <c r="E1" s="3297"/>
      <c r="F1" s="3297"/>
      <c r="G1" s="3293" t="s">
        <v>1151</v>
      </c>
      <c r="H1" s="3293"/>
      <c r="I1" s="3293"/>
      <c r="J1" s="3293"/>
      <c r="K1" s="3293"/>
      <c r="L1" s="3293"/>
      <c r="N1" s="3293" t="s">
        <v>1152</v>
      </c>
      <c r="O1" s="3293"/>
      <c r="P1" s="3293"/>
      <c r="Q1" s="3293"/>
      <c r="R1" s="1448"/>
      <c r="S1" s="3293" t="s">
        <v>1153</v>
      </c>
      <c r="T1" s="3293"/>
      <c r="U1" s="3293"/>
      <c r="V1" s="3293"/>
      <c r="X1" s="3292" t="s">
        <v>1154</v>
      </c>
      <c r="Y1" s="3293"/>
      <c r="Z1" s="3293"/>
      <c r="AA1" s="3293"/>
      <c r="AB1" s="3293"/>
      <c r="AD1" s="3292" t="s">
        <v>1155</v>
      </c>
      <c r="AE1" s="3293"/>
      <c r="AF1" s="3293"/>
      <c r="AG1" s="3293"/>
      <c r="AH1" s="329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3042</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3050</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3043</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3038</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98">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95"/>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95"/>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96"/>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94">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95"/>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95"/>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96"/>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94">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95"/>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95"/>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96"/>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99">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300"/>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300"/>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301"/>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94">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95"/>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95"/>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96"/>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94">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95">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95">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96">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94">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95">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95">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96">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94">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95">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95">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96">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94">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95">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95">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96">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94">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95">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95">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96">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94">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95">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95">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96">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94">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95">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95">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96">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94">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95">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95">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96">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94">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95">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95">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96">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94">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95">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95">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96">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1" sqref="U41"/>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03" t="s">
        <v>3012</v>
      </c>
      <c r="D1" s="3304"/>
      <c r="E1" s="3304"/>
      <c r="F1" s="3304"/>
      <c r="G1" s="3304"/>
      <c r="H1" s="3304"/>
      <c r="I1" s="3304"/>
      <c r="J1" s="3304"/>
      <c r="K1" s="3304"/>
      <c r="L1" s="3304"/>
      <c r="M1" s="3304"/>
      <c r="N1" s="3304"/>
      <c r="O1" s="3304"/>
      <c r="P1" s="3304"/>
      <c r="Q1" s="3304"/>
      <c r="R1" s="3304"/>
      <c r="S1" s="3305"/>
      <c r="T1" s="1207" t="s">
        <v>3013</v>
      </c>
    </row>
    <row r="2" spans="1:45" s="707" customFormat="1" ht="38.25">
      <c r="A2" s="1208"/>
      <c r="B2" s="703" t="s">
        <v>3014</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300</v>
      </c>
      <c r="G3" s="1706">
        <v>400</v>
      </c>
      <c r="H3" s="1706">
        <v>500</v>
      </c>
      <c r="I3" s="1706">
        <v>600</v>
      </c>
      <c r="J3" s="1706">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v>93</v>
      </c>
      <c r="K4" s="1710">
        <v>92</v>
      </c>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3021</v>
      </c>
      <c r="B17" s="2917" t="s">
        <v>3022</v>
      </c>
      <c r="C17" s="2964" t="s">
        <v>3094</v>
      </c>
      <c r="D17" s="2965" t="s">
        <v>3095</v>
      </c>
      <c r="E17" s="2965" t="s">
        <v>3096</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3023</v>
      </c>
      <c r="E19" s="1794"/>
      <c r="F19" s="1794"/>
      <c r="G19" s="1794"/>
      <c r="H19" s="1282"/>
      <c r="I19" s="168"/>
      <c r="J19" s="168"/>
      <c r="K19" s="168"/>
      <c r="L19" s="168"/>
      <c r="M19" s="168"/>
      <c r="N19" s="168"/>
      <c r="O19" s="168"/>
      <c r="P19" s="168"/>
      <c r="Q19" s="168"/>
      <c r="R19" s="788"/>
      <c r="S19" s="138"/>
    </row>
    <row r="20" spans="1:45" ht="16.5" thickBot="1">
      <c r="A20" s="715" t="s">
        <v>3024</v>
      </c>
      <c r="B20" s="338">
        <f ca="1">IF(D20="——",S22,S22-F20)</f>
        <v>18421</v>
      </c>
      <c r="C20" s="168"/>
      <c r="D20" s="2919" t="s">
        <v>70</v>
      </c>
      <c r="E20" s="1795"/>
      <c r="F20" s="1207" t="e">
        <f ca="1">SUMIF(INDIRECT("'"&amp;H20&amp;"'"&amp;"!A:A"),"承租人权益价值",INDIRECT("'"&amp;H20&amp;"'"&amp;"!c:c"))</f>
        <v>#REF!</v>
      </c>
      <c r="G20" s="1207" t="s">
        <v>3025</v>
      </c>
      <c r="H20" s="2920"/>
      <c r="I20" s="168"/>
      <c r="J20" s="168"/>
      <c r="K20" s="168"/>
      <c r="L20" s="168"/>
      <c r="M20" s="168"/>
      <c r="N20" s="168"/>
      <c r="O20" s="168"/>
      <c r="P20" s="168"/>
      <c r="Q20" s="168"/>
      <c r="R20" s="788"/>
      <c r="S20" s="138"/>
    </row>
    <row r="21" spans="1:45" ht="15.75">
      <c r="A21" s="715" t="s">
        <v>3026</v>
      </c>
      <c r="B21" s="338">
        <f ca="1">R22</f>
        <v>17241</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10684.189999999995</v>
      </c>
      <c r="C22" s="3084" t="s">
        <v>33</v>
      </c>
      <c r="D22" s="3085"/>
      <c r="E22" s="3085"/>
      <c r="F22" s="3085"/>
      <c r="G22" s="3085"/>
      <c r="H22" s="3085"/>
      <c r="I22" s="3085"/>
      <c r="J22" s="3085"/>
      <c r="K22" s="3085"/>
      <c r="L22" s="3085"/>
      <c r="M22" s="3085"/>
      <c r="N22" s="3085"/>
      <c r="O22" s="3085"/>
      <c r="P22" s="3085"/>
      <c r="Q22" s="3302"/>
      <c r="R22" s="716">
        <f ca="1">ROUND(S22*10000/B22,0)</f>
        <v>17241</v>
      </c>
      <c r="S22" s="24">
        <f ca="1">SUM(S24:S10000)</f>
        <v>18421</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9" t="str">
        <f>Sheet2!B2</f>
        <v>19-1</v>
      </c>
      <c r="B24" s="718">
        <f>Sheet2!E2</f>
        <v>107.51</v>
      </c>
      <c r="C24" s="719">
        <v>1</v>
      </c>
      <c r="D24" s="720"/>
      <c r="E24" s="719">
        <v>1</v>
      </c>
      <c r="F24" s="720"/>
      <c r="G24" s="719">
        <v>1</v>
      </c>
      <c r="H24" s="720"/>
      <c r="I24" s="719">
        <v>1</v>
      </c>
      <c r="J24" s="720"/>
      <c r="K24" s="719">
        <v>1</v>
      </c>
      <c r="L24" s="720"/>
      <c r="M24" s="719">
        <v>1</v>
      </c>
      <c r="N24" s="720"/>
      <c r="O24" s="719">
        <v>1</v>
      </c>
      <c r="P24" s="720"/>
      <c r="Q24" s="719">
        <v>1</v>
      </c>
      <c r="R24" s="721">
        <f ca="1">结果表!G20</f>
        <v>17323</v>
      </c>
      <c r="S24" s="719">
        <f t="shared" ref="S24:S54" ca="1" si="11">ROUND(R24*B24/10000,0)</f>
        <v>186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tr">
        <f>Sheet2!B3</f>
        <v>19-2</v>
      </c>
      <c r="B25" s="718">
        <f>Sheet2!E3</f>
        <v>133.87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17323</v>
      </c>
      <c r="S25" s="361">
        <f t="shared" ca="1" si="11"/>
        <v>232</v>
      </c>
      <c r="U25" s="795">
        <v>10946.92</v>
      </c>
    </row>
    <row r="26" spans="1:45">
      <c r="A26" s="2979" t="str">
        <f>Sheet2!B4</f>
        <v>19-3</v>
      </c>
      <c r="B26" s="718">
        <f>Sheet2!E4</f>
        <v>130.24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17323</v>
      </c>
      <c r="S26" s="361">
        <f t="shared" ca="1" si="11"/>
        <v>226</v>
      </c>
      <c r="U26" s="795">
        <f>U25-B22</f>
        <v>262.73000000000502</v>
      </c>
    </row>
    <row r="27" spans="1:45">
      <c r="A27" s="2979" t="str">
        <f>Sheet2!B5</f>
        <v>19-4</v>
      </c>
      <c r="B27" s="718">
        <f>Sheet2!E5</f>
        <v>130.24</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17323</v>
      </c>
      <c r="S27" s="361">
        <f t="shared" ca="1" si="11"/>
        <v>226</v>
      </c>
      <c r="U27" s="795">
        <f ca="1">ROUND(U26*R22/10000,0)</f>
        <v>453</v>
      </c>
    </row>
    <row r="28" spans="1:45">
      <c r="A28" s="2979" t="str">
        <f>Sheet2!B6</f>
        <v>19-5</v>
      </c>
      <c r="B28" s="718">
        <f>Sheet2!E6</f>
        <v>222.65</v>
      </c>
      <c r="C28" s="24">
        <f t="shared" si="12"/>
        <v>0.99</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17150</v>
      </c>
      <c r="S28" s="361">
        <f t="shared" ca="1" si="11"/>
        <v>382</v>
      </c>
      <c r="U28" s="795">
        <f ca="1">S22+U27</f>
        <v>18874</v>
      </c>
    </row>
    <row r="29" spans="1:45">
      <c r="A29" s="2979" t="str">
        <f>Sheet2!B7</f>
        <v>19-6</v>
      </c>
      <c r="B29" s="718">
        <f>Sheet2!E7</f>
        <v>59.59</v>
      </c>
      <c r="C29" s="24">
        <f t="shared" si="12"/>
        <v>1.01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17496</v>
      </c>
      <c r="S29" s="361">
        <f t="shared" ca="1" si="11"/>
        <v>104</v>
      </c>
    </row>
    <row r="30" spans="1:45">
      <c r="A30" s="2979" t="str">
        <f>Sheet2!B8</f>
        <v>19-7</v>
      </c>
      <c r="B30" s="718">
        <f>Sheet2!E8</f>
        <v>167.21</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17323</v>
      </c>
      <c r="S30" s="361">
        <f t="shared" ca="1" si="11"/>
        <v>290</v>
      </c>
    </row>
    <row r="31" spans="1:45">
      <c r="A31" s="2979" t="str">
        <f>Sheet2!B9</f>
        <v>19-8</v>
      </c>
      <c r="B31" s="718">
        <f>Sheet2!E9</f>
        <v>164.82</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17323</v>
      </c>
      <c r="S31" s="361">
        <f t="shared" ca="1" si="11"/>
        <v>286</v>
      </c>
    </row>
    <row r="32" spans="1:45">
      <c r="A32" s="2979" t="str">
        <f>Sheet2!B10</f>
        <v>19-9</v>
      </c>
      <c r="B32" s="718">
        <f>Sheet2!E10</f>
        <v>229.38</v>
      </c>
      <c r="C32" s="24">
        <f t="shared" si="12"/>
        <v>0.99</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17150</v>
      </c>
      <c r="S32" s="361">
        <f t="shared" ca="1" si="11"/>
        <v>393</v>
      </c>
    </row>
    <row r="33" spans="1:19">
      <c r="A33" s="2979" t="str">
        <f>Sheet2!B11</f>
        <v>20-1</v>
      </c>
      <c r="B33" s="718">
        <f>Sheet2!E11</f>
        <v>107.51</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17323</v>
      </c>
      <c r="S33" s="361">
        <f t="shared" ca="1" si="11"/>
        <v>186</v>
      </c>
    </row>
    <row r="34" spans="1:19">
      <c r="A34" s="2979" t="str">
        <f>Sheet2!B12</f>
        <v>20-2</v>
      </c>
      <c r="B34" s="718">
        <f>Sheet2!E12</f>
        <v>133.87</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17323</v>
      </c>
      <c r="S34" s="361">
        <f t="shared" ca="1" si="11"/>
        <v>232</v>
      </c>
    </row>
    <row r="35" spans="1:19">
      <c r="A35" s="2979" t="str">
        <f>Sheet2!B13</f>
        <v>20-3</v>
      </c>
      <c r="B35" s="718">
        <f>Sheet2!E13</f>
        <v>130.24</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17323</v>
      </c>
      <c r="S35" s="361">
        <f t="shared" ca="1" si="11"/>
        <v>226</v>
      </c>
    </row>
    <row r="36" spans="1:19">
      <c r="A36" s="2979" t="str">
        <f>Sheet2!B14</f>
        <v>20-4</v>
      </c>
      <c r="B36" s="718">
        <f>Sheet2!E14</f>
        <v>130.24</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17323</v>
      </c>
      <c r="S36" s="361">
        <f t="shared" ca="1" si="11"/>
        <v>226</v>
      </c>
    </row>
    <row r="37" spans="1:19">
      <c r="A37" s="2979" t="str">
        <f>Sheet2!B15</f>
        <v>20-5</v>
      </c>
      <c r="B37" s="718">
        <f>Sheet2!E15</f>
        <v>222.65</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17150</v>
      </c>
      <c r="S37" s="361">
        <f t="shared" ca="1" si="11"/>
        <v>382</v>
      </c>
    </row>
    <row r="38" spans="1:19">
      <c r="A38" s="2979" t="str">
        <f>Sheet2!B16</f>
        <v>20-6</v>
      </c>
      <c r="B38" s="718">
        <f>Sheet2!E16</f>
        <v>59.59</v>
      </c>
      <c r="C38" s="24">
        <f t="shared" si="12"/>
        <v>1.01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17496</v>
      </c>
      <c r="S38" s="361">
        <f t="shared" ca="1" si="11"/>
        <v>104</v>
      </c>
    </row>
    <row r="39" spans="1:19">
      <c r="A39" s="2979" t="str">
        <f>Sheet2!B17</f>
        <v>20-7</v>
      </c>
      <c r="B39" s="718">
        <f>Sheet2!E17</f>
        <v>167.21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17323</v>
      </c>
      <c r="S39" s="361">
        <f t="shared" ca="1" si="11"/>
        <v>290</v>
      </c>
    </row>
    <row r="40" spans="1:19">
      <c r="A40" s="2979" t="str">
        <f>Sheet2!B18</f>
        <v>20-8</v>
      </c>
      <c r="B40" s="718">
        <f>Sheet2!E18</f>
        <v>164.82</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17323</v>
      </c>
      <c r="S40" s="361">
        <f t="shared" ca="1" si="11"/>
        <v>286</v>
      </c>
    </row>
    <row r="41" spans="1:19">
      <c r="A41" s="2979" t="str">
        <f>Sheet2!B19</f>
        <v>20-9</v>
      </c>
      <c r="B41" s="718">
        <f>Sheet2!E19</f>
        <v>229.38</v>
      </c>
      <c r="C41" s="24">
        <f t="shared" si="12"/>
        <v>0.99</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17150</v>
      </c>
      <c r="S41" s="361">
        <f t="shared" ca="1" si="11"/>
        <v>393</v>
      </c>
    </row>
    <row r="42" spans="1:19">
      <c r="A42" s="2979" t="str">
        <f>Sheet2!B20</f>
        <v>21-1</v>
      </c>
      <c r="B42" s="718">
        <f>Sheet2!E20</f>
        <v>107.51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17323</v>
      </c>
      <c r="S42" s="361">
        <f t="shared" ca="1" si="11"/>
        <v>186</v>
      </c>
    </row>
    <row r="43" spans="1:19">
      <c r="A43" s="2979" t="str">
        <f>Sheet2!B21</f>
        <v>21-2</v>
      </c>
      <c r="B43" s="718">
        <f>Sheet2!E21</f>
        <v>133.87</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17323</v>
      </c>
      <c r="S43" s="361">
        <f t="shared" ca="1" si="11"/>
        <v>232</v>
      </c>
    </row>
    <row r="44" spans="1:19">
      <c r="A44" s="2979" t="str">
        <f>Sheet2!B22</f>
        <v>21-3</v>
      </c>
      <c r="B44" s="718">
        <f>Sheet2!E22</f>
        <v>130.24</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17323</v>
      </c>
      <c r="S44" s="361">
        <f t="shared" ca="1" si="11"/>
        <v>226</v>
      </c>
    </row>
    <row r="45" spans="1:19">
      <c r="A45" s="2979" t="str">
        <f>Sheet2!B23</f>
        <v>21-4</v>
      </c>
      <c r="B45" s="718">
        <f>Sheet2!E23</f>
        <v>130.24</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17323</v>
      </c>
      <c r="S45" s="361">
        <f t="shared" ca="1" si="11"/>
        <v>226</v>
      </c>
    </row>
    <row r="46" spans="1:19">
      <c r="A46" s="2979" t="str">
        <f>Sheet2!B24</f>
        <v>21-5</v>
      </c>
      <c r="B46" s="718">
        <f>Sheet2!E24</f>
        <v>222.65</v>
      </c>
      <c r="C46" s="24">
        <f t="shared" si="12"/>
        <v>0.99</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ca="1" si="20"/>
        <v>17150</v>
      </c>
      <c r="S46" s="361">
        <f t="shared" ca="1" si="11"/>
        <v>382</v>
      </c>
    </row>
    <row r="47" spans="1:19">
      <c r="A47" s="2979" t="str">
        <f>Sheet2!B25</f>
        <v>21-6</v>
      </c>
      <c r="B47" s="718">
        <f>Sheet2!E25</f>
        <v>59.59</v>
      </c>
      <c r="C47" s="24">
        <f t="shared" si="12"/>
        <v>1.01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17496</v>
      </c>
      <c r="S47" s="361">
        <f t="shared" ca="1" si="11"/>
        <v>104</v>
      </c>
    </row>
    <row r="48" spans="1:19">
      <c r="A48" s="2979" t="str">
        <f>Sheet2!B26</f>
        <v>21-7</v>
      </c>
      <c r="B48" s="718">
        <f>Sheet2!E26</f>
        <v>167.21</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17323</v>
      </c>
      <c r="S48" s="361">
        <f t="shared" ca="1" si="11"/>
        <v>290</v>
      </c>
    </row>
    <row r="49" spans="1:19">
      <c r="A49" s="2979" t="str">
        <f>Sheet2!B27</f>
        <v>21-8</v>
      </c>
      <c r="B49" s="718">
        <f>Sheet2!E27</f>
        <v>164.82</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17323</v>
      </c>
      <c r="S49" s="361">
        <f t="shared" ca="1" si="11"/>
        <v>286</v>
      </c>
    </row>
    <row r="50" spans="1:19">
      <c r="A50" s="2979" t="str">
        <f>Sheet2!B28</f>
        <v>21-9</v>
      </c>
      <c r="B50" s="718">
        <f>Sheet2!E28</f>
        <v>229.38</v>
      </c>
      <c r="C50" s="24">
        <f t="shared" si="12"/>
        <v>0.99</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17150</v>
      </c>
      <c r="S50" s="361">
        <f t="shared" ca="1" si="11"/>
        <v>393</v>
      </c>
    </row>
    <row r="51" spans="1:19">
      <c r="A51" s="2979" t="str">
        <f>Sheet2!B29</f>
        <v>22-1</v>
      </c>
      <c r="B51" s="718">
        <f>Sheet2!E29</f>
        <v>107.51</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17323</v>
      </c>
      <c r="S51" s="361">
        <f t="shared" ca="1" si="11"/>
        <v>186</v>
      </c>
    </row>
    <row r="52" spans="1:19">
      <c r="A52" s="2979" t="str">
        <f>Sheet2!B30</f>
        <v>22-2</v>
      </c>
      <c r="B52" s="718">
        <f>Sheet2!E30</f>
        <v>133.87</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17323</v>
      </c>
      <c r="S52" s="361">
        <f t="shared" ca="1" si="11"/>
        <v>232</v>
      </c>
    </row>
    <row r="53" spans="1:19">
      <c r="A53" s="2979" t="str">
        <f>Sheet2!B31</f>
        <v>22-3</v>
      </c>
      <c r="B53" s="718">
        <f>Sheet2!E31</f>
        <v>130.24</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17323</v>
      </c>
      <c r="S53" s="361">
        <f t="shared" ca="1" si="11"/>
        <v>226</v>
      </c>
    </row>
    <row r="54" spans="1:19">
      <c r="A54" s="2979" t="str">
        <f>Sheet2!B32</f>
        <v>22-4</v>
      </c>
      <c r="B54" s="718">
        <f>Sheet2!E32</f>
        <v>130.24</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17323</v>
      </c>
      <c r="S54" s="361">
        <f t="shared" ca="1" si="11"/>
        <v>226</v>
      </c>
    </row>
    <row r="55" spans="1:19">
      <c r="A55" s="2979" t="str">
        <f>Sheet2!B33</f>
        <v>22-5</v>
      </c>
      <c r="B55" s="718">
        <f>Sheet2!E33</f>
        <v>222.65</v>
      </c>
      <c r="C55" s="24">
        <f t="shared" si="12"/>
        <v>0.99</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17150</v>
      </c>
      <c r="S55" s="361">
        <f t="shared" ref="S55:S77" ca="1" si="21">ROUND(R55*B55/10000,0)</f>
        <v>382</v>
      </c>
    </row>
    <row r="56" spans="1:19">
      <c r="A56" s="2979" t="str">
        <f>Sheet2!B34</f>
        <v>22-6</v>
      </c>
      <c r="B56" s="718">
        <f>Sheet2!E34</f>
        <v>59.59</v>
      </c>
      <c r="C56" s="24">
        <f t="shared" si="12"/>
        <v>1.01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17496</v>
      </c>
      <c r="S56" s="361">
        <f t="shared" ca="1" si="21"/>
        <v>104</v>
      </c>
    </row>
    <row r="57" spans="1:19">
      <c r="A57" s="2979" t="str">
        <f>Sheet2!B35</f>
        <v>22-7</v>
      </c>
      <c r="B57" s="718">
        <f>Sheet2!E35</f>
        <v>167.21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17323</v>
      </c>
      <c r="S57" s="361">
        <f t="shared" ca="1" si="21"/>
        <v>290</v>
      </c>
    </row>
    <row r="58" spans="1:19">
      <c r="A58" s="2979" t="str">
        <f>Sheet2!B36</f>
        <v>22-8</v>
      </c>
      <c r="B58" s="718">
        <f>Sheet2!E36</f>
        <v>164.82</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17323</v>
      </c>
      <c r="S58" s="361">
        <f t="shared" ca="1" si="21"/>
        <v>286</v>
      </c>
    </row>
    <row r="59" spans="1:19">
      <c r="A59" s="2979" t="str">
        <f>Sheet2!B37</f>
        <v>22-9</v>
      </c>
      <c r="B59" s="718">
        <f>Sheet2!E37</f>
        <v>229.38</v>
      </c>
      <c r="C59" s="24">
        <f t="shared" si="12"/>
        <v>0.99</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17150</v>
      </c>
      <c r="S59" s="361">
        <f t="shared" ca="1" si="21"/>
        <v>393</v>
      </c>
    </row>
    <row r="60" spans="1:19">
      <c r="A60" s="2979" t="str">
        <f>Sheet2!B38</f>
        <v>23-1</v>
      </c>
      <c r="B60" s="718">
        <f>Sheet2!E38</f>
        <v>107.51</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17323</v>
      </c>
      <c r="S60" s="361">
        <f t="shared" ca="1" si="21"/>
        <v>186</v>
      </c>
    </row>
    <row r="61" spans="1:19">
      <c r="A61" s="2979" t="str">
        <f>Sheet2!B39</f>
        <v>23-2</v>
      </c>
      <c r="B61" s="718">
        <f>Sheet2!E39</f>
        <v>133.87</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17323</v>
      </c>
      <c r="S61" s="361">
        <f t="shared" ca="1" si="21"/>
        <v>232</v>
      </c>
    </row>
    <row r="62" spans="1:19">
      <c r="A62" s="2979" t="str">
        <f>Sheet2!B40</f>
        <v>23-3</v>
      </c>
      <c r="B62" s="718">
        <f>Sheet2!E40</f>
        <v>130.24</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17323</v>
      </c>
      <c r="S62" s="361">
        <f t="shared" ca="1" si="21"/>
        <v>226</v>
      </c>
    </row>
    <row r="63" spans="1:19">
      <c r="A63" s="2979" t="str">
        <f>Sheet2!B41</f>
        <v>23-4</v>
      </c>
      <c r="B63" s="718">
        <f>Sheet2!E41</f>
        <v>130.24</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17323</v>
      </c>
      <c r="S63" s="361">
        <f t="shared" ca="1" si="21"/>
        <v>226</v>
      </c>
    </row>
    <row r="64" spans="1:19">
      <c r="A64" s="2979" t="str">
        <f>Sheet2!B42</f>
        <v>23-5</v>
      </c>
      <c r="B64" s="718">
        <f>Sheet2!E42</f>
        <v>222.65</v>
      </c>
      <c r="C64" s="24">
        <f t="shared" si="12"/>
        <v>0.99</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17150</v>
      </c>
      <c r="S64" s="361">
        <f t="shared" ca="1" si="21"/>
        <v>382</v>
      </c>
    </row>
    <row r="65" spans="1:19">
      <c r="A65" s="2979" t="str">
        <f>Sheet2!B43</f>
        <v>23-6</v>
      </c>
      <c r="B65" s="718">
        <f>Sheet2!E43</f>
        <v>59.59</v>
      </c>
      <c r="C65" s="24">
        <f t="shared" si="12"/>
        <v>1.01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17496</v>
      </c>
      <c r="S65" s="361">
        <f t="shared" ca="1" si="21"/>
        <v>104</v>
      </c>
    </row>
    <row r="66" spans="1:19">
      <c r="A66" s="2979" t="str">
        <f>Sheet2!B44</f>
        <v>23-7</v>
      </c>
      <c r="B66" s="718">
        <f>Sheet2!E44</f>
        <v>167.21</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17323</v>
      </c>
      <c r="S66" s="361">
        <f t="shared" ca="1" si="21"/>
        <v>290</v>
      </c>
    </row>
    <row r="67" spans="1:19">
      <c r="A67" s="2979" t="str">
        <f>Sheet2!B45</f>
        <v>23-8</v>
      </c>
      <c r="B67" s="718">
        <f>Sheet2!E45</f>
        <v>164.82</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17323</v>
      </c>
      <c r="S67" s="361">
        <f t="shared" ca="1" si="21"/>
        <v>286</v>
      </c>
    </row>
    <row r="68" spans="1:19">
      <c r="A68" s="2979" t="str">
        <f>Sheet2!B46</f>
        <v>23-9</v>
      </c>
      <c r="B68" s="718">
        <f>Sheet2!E46</f>
        <v>229.38</v>
      </c>
      <c r="C68" s="24">
        <f t="shared" si="12"/>
        <v>0.99</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17150</v>
      </c>
      <c r="S68" s="361">
        <f t="shared" ca="1" si="21"/>
        <v>393</v>
      </c>
    </row>
    <row r="69" spans="1:19">
      <c r="A69" s="2979" t="str">
        <f>Sheet2!B47</f>
        <v>24-1</v>
      </c>
      <c r="B69" s="718">
        <f>Sheet2!E47</f>
        <v>107.51</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17323</v>
      </c>
      <c r="S69" s="361">
        <f t="shared" ca="1" si="21"/>
        <v>186</v>
      </c>
    </row>
    <row r="70" spans="1:19">
      <c r="A70" s="2979" t="str">
        <f>Sheet2!B48</f>
        <v>24-2</v>
      </c>
      <c r="B70" s="718">
        <f>Sheet2!E48</f>
        <v>133.87</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17323</v>
      </c>
      <c r="S70" s="361">
        <f t="shared" ca="1" si="21"/>
        <v>232</v>
      </c>
    </row>
    <row r="71" spans="1:19">
      <c r="A71" s="2979" t="str">
        <f>Sheet2!B49</f>
        <v>24-3</v>
      </c>
      <c r="B71" s="718">
        <f>Sheet2!E49</f>
        <v>130.24</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17323</v>
      </c>
      <c r="S71" s="361">
        <f t="shared" ca="1" si="21"/>
        <v>226</v>
      </c>
    </row>
    <row r="72" spans="1:19">
      <c r="A72" s="2979" t="str">
        <f>Sheet2!B50</f>
        <v>24-4</v>
      </c>
      <c r="B72" s="718">
        <f>Sheet2!E50</f>
        <v>130.24</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17323</v>
      </c>
      <c r="S72" s="361">
        <f t="shared" ca="1" si="21"/>
        <v>226</v>
      </c>
    </row>
    <row r="73" spans="1:19">
      <c r="A73" s="2979" t="str">
        <f>Sheet2!B51</f>
        <v>24-5</v>
      </c>
      <c r="B73" s="718">
        <f>Sheet2!E51</f>
        <v>222.65</v>
      </c>
      <c r="C73" s="24">
        <f t="shared" si="12"/>
        <v>0.99</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17150</v>
      </c>
      <c r="S73" s="361">
        <f t="shared" ca="1" si="21"/>
        <v>382</v>
      </c>
    </row>
    <row r="74" spans="1:19">
      <c r="A74" s="2979" t="str">
        <f>Sheet2!B52</f>
        <v>24-6</v>
      </c>
      <c r="B74" s="718">
        <f>Sheet2!E52</f>
        <v>59.59</v>
      </c>
      <c r="C74" s="24">
        <f t="shared" si="12"/>
        <v>1.01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17496</v>
      </c>
      <c r="S74" s="361">
        <f t="shared" ca="1" si="21"/>
        <v>104</v>
      </c>
    </row>
    <row r="75" spans="1:19">
      <c r="A75" s="2979" t="str">
        <f>Sheet2!B53</f>
        <v>24-7</v>
      </c>
      <c r="B75" s="718">
        <f>Sheet2!E53</f>
        <v>167.21</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17323</v>
      </c>
      <c r="S75" s="361">
        <f t="shared" ca="1" si="21"/>
        <v>290</v>
      </c>
    </row>
    <row r="76" spans="1:19">
      <c r="A76" s="2979" t="str">
        <f>Sheet2!B54</f>
        <v>24-8</v>
      </c>
      <c r="B76" s="718">
        <f>Sheet2!E54</f>
        <v>164.82</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17323</v>
      </c>
      <c r="S76" s="361">
        <f t="shared" ca="1" si="21"/>
        <v>286</v>
      </c>
    </row>
    <row r="77" spans="1:19">
      <c r="A77" s="2979" t="str">
        <f>Sheet2!B55</f>
        <v>24-9</v>
      </c>
      <c r="B77" s="718">
        <f>Sheet2!E55</f>
        <v>229.38</v>
      </c>
      <c r="C77" s="24">
        <f t="shared" si="12"/>
        <v>0.99</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17150</v>
      </c>
      <c r="S77" s="361">
        <f t="shared" ca="1" si="21"/>
        <v>393</v>
      </c>
    </row>
    <row r="78" spans="1:19">
      <c r="A78" s="2979" t="str">
        <f>Sheet2!B56</f>
        <v>25-1</v>
      </c>
      <c r="B78" s="718">
        <f>Sheet2!E56</f>
        <v>107.51</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17323</v>
      </c>
      <c r="S78" s="361">
        <f t="shared" ref="S78:S122" ca="1" si="22">ROUND(R78*B78/10000,0)</f>
        <v>186</v>
      </c>
    </row>
    <row r="79" spans="1:19">
      <c r="A79" s="2979" t="str">
        <f>Sheet2!B57</f>
        <v>25-2</v>
      </c>
      <c r="B79" s="718">
        <f>Sheet2!E57</f>
        <v>105.23</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17323</v>
      </c>
      <c r="S79" s="361">
        <f t="shared" ca="1" si="22"/>
        <v>182</v>
      </c>
    </row>
    <row r="80" spans="1:19">
      <c r="A80" s="2979" t="str">
        <f>Sheet2!B58</f>
        <v>25-3</v>
      </c>
      <c r="B80" s="718">
        <f>Sheet2!E58</f>
        <v>102.38</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17323</v>
      </c>
      <c r="S80" s="361">
        <f t="shared" ca="1" si="22"/>
        <v>177</v>
      </c>
    </row>
    <row r="81" spans="1:19">
      <c r="A81" s="2979" t="str">
        <f>Sheet2!B59</f>
        <v>25-4</v>
      </c>
      <c r="B81" s="718">
        <f>Sheet2!E59</f>
        <v>102.38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17323</v>
      </c>
      <c r="S81" s="361">
        <f t="shared" ca="1" si="22"/>
        <v>177</v>
      </c>
    </row>
    <row r="82" spans="1:19">
      <c r="A82" s="2979" t="str">
        <f>Sheet2!B60</f>
        <v>25-5</v>
      </c>
      <c r="B82" s="718">
        <f>Sheet2!E60</f>
        <v>222.65</v>
      </c>
      <c r="C82" s="24">
        <f t="shared" si="12"/>
        <v>0.99</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17150</v>
      </c>
      <c r="S82" s="361">
        <f t="shared" ca="1" si="22"/>
        <v>382</v>
      </c>
    </row>
    <row r="83" spans="1:19">
      <c r="A83" s="2979" t="str">
        <f>Sheet2!B61</f>
        <v>25-6</v>
      </c>
      <c r="B83" s="718">
        <f>Sheet2!E61</f>
        <v>59.59</v>
      </c>
      <c r="C83" s="24">
        <f t="shared" si="12"/>
        <v>1.01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17496</v>
      </c>
      <c r="S83" s="361">
        <f t="shared" ca="1" si="22"/>
        <v>104</v>
      </c>
    </row>
    <row r="84" spans="1:19">
      <c r="A84" s="2979" t="str">
        <f>Sheet2!B62</f>
        <v>25-7</v>
      </c>
      <c r="B84" s="718">
        <f>Sheet2!E62</f>
        <v>167.21</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17323</v>
      </c>
      <c r="S84" s="361">
        <f t="shared" ca="1" si="22"/>
        <v>290</v>
      </c>
    </row>
    <row r="85" spans="1:19">
      <c r="A85" s="2979" t="str">
        <f>Sheet2!B63</f>
        <v>25-8</v>
      </c>
      <c r="B85" s="718">
        <f>Sheet2!E63</f>
        <v>136.03</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17323</v>
      </c>
      <c r="S85" s="361">
        <f t="shared" ca="1" si="22"/>
        <v>236</v>
      </c>
    </row>
    <row r="86" spans="1:19">
      <c r="A86" s="2979" t="str">
        <f>Sheet2!B64</f>
        <v>25-9</v>
      </c>
      <c r="B86" s="718">
        <f>Sheet2!E64</f>
        <v>180.32</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17323</v>
      </c>
      <c r="S86" s="361">
        <f t="shared" ca="1" si="22"/>
        <v>312</v>
      </c>
    </row>
    <row r="87" spans="1:19">
      <c r="A87" s="2979" t="str">
        <f>Sheet2!B65</f>
        <v>26-1</v>
      </c>
      <c r="B87" s="718">
        <f>Sheet2!E65</f>
        <v>591.41999999999996</v>
      </c>
      <c r="C87" s="24">
        <f t="shared" si="12"/>
        <v>0.96</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16630</v>
      </c>
      <c r="S87" s="361">
        <f t="shared" ca="1" si="22"/>
        <v>984</v>
      </c>
    </row>
    <row r="88" spans="1:19">
      <c r="A88" s="2979" t="str">
        <f>Sheet2!B66</f>
        <v>26-2</v>
      </c>
      <c r="B88" s="718">
        <f>Sheet2!E66</f>
        <v>169.56</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17323</v>
      </c>
      <c r="S88" s="361">
        <f t="shared" ca="1" si="22"/>
        <v>294</v>
      </c>
    </row>
    <row r="89" spans="1:19">
      <c r="A89" s="2979" t="str">
        <f>Sheet2!B67</f>
        <v>26-3</v>
      </c>
      <c r="B89" s="718">
        <f>Sheet2!E67</f>
        <v>99.82</v>
      </c>
      <c r="C89" s="24">
        <f t="shared" si="12"/>
        <v>1.01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17496</v>
      </c>
      <c r="S89" s="361">
        <f t="shared" ca="1" si="22"/>
        <v>175</v>
      </c>
    </row>
    <row r="90" spans="1:19">
      <c r="A90" s="2979" t="str">
        <f>Sheet2!B68</f>
        <v>26-4</v>
      </c>
      <c r="B90" s="718">
        <f>Sheet2!E68</f>
        <v>59.59</v>
      </c>
      <c r="C90" s="24">
        <f t="shared" ref="C90:C153" si="23">IF(B90="",1,(LOOKUP(B90,$3:$3,$4:$4)-LOOKUP($B$24,$3:$3,$4:$4)+100)/100)</f>
        <v>1.01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17496</v>
      </c>
      <c r="S90" s="361">
        <f t="shared" ca="1" si="22"/>
        <v>104</v>
      </c>
    </row>
    <row r="91" spans="1:19">
      <c r="A91" s="2979" t="str">
        <f>Sheet2!B69</f>
        <v>26-5</v>
      </c>
      <c r="B91" s="718">
        <f>Sheet2!E69</f>
        <v>167.21</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17323</v>
      </c>
      <c r="S91" s="361">
        <f t="shared" ca="1" si="22"/>
        <v>290</v>
      </c>
    </row>
    <row r="92" spans="1:19">
      <c r="A92" s="2979" t="str">
        <f>Sheet2!B70</f>
        <v>26-6</v>
      </c>
      <c r="B92" s="718">
        <f>Sheet2!E70</f>
        <v>340.23</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16977</v>
      </c>
      <c r="S92" s="361">
        <f t="shared" ca="1" si="22"/>
        <v>578</v>
      </c>
    </row>
    <row r="93" spans="1:19">
      <c r="A93" s="297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297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297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估价结果一览表（市场价值不需“结果表-1”）</v>
      </c>
      <c r="B3" s="2989"/>
      <c r="C3" s="2989"/>
      <c r="D3" s="2989"/>
      <c r="E3" s="2989"/>
    </row>
    <row r="4" spans="1:5" ht="19.5" thickBot="1">
      <c r="A4" s="1963"/>
      <c r="B4" s="2987" t="s">
        <v>1630</v>
      </c>
      <c r="C4" s="2987"/>
      <c r="D4" s="2987"/>
      <c r="E4" s="1963"/>
    </row>
    <row r="5" spans="1:5" ht="16.5" thickTop="1">
      <c r="A5" s="1961"/>
      <c r="B5" s="2985" t="s">
        <v>1622</v>
      </c>
      <c r="C5" s="1964" t="s">
        <v>1623</v>
      </c>
      <c r="D5" s="1043">
        <f ca="1">结果表!H101</f>
        <v>186</v>
      </c>
      <c r="E5" s="1961"/>
    </row>
    <row r="6" spans="1:5" ht="15.75">
      <c r="A6" s="1961"/>
      <c r="B6" s="2985"/>
      <c r="C6" s="1964" t="s">
        <v>1624</v>
      </c>
      <c r="D6" s="1043" t="str">
        <f ca="1">NUMBERSTRING(INT(D5*10000),2)&amp;"元整"</f>
        <v>壹佰捌拾陆万元整</v>
      </c>
      <c r="E6" s="1961"/>
    </row>
    <row r="7" spans="1:5" ht="15.75">
      <c r="A7" s="1961"/>
      <c r="B7" s="2990"/>
      <c r="C7" s="1965" t="s">
        <v>1625</v>
      </c>
      <c r="D7" s="1044">
        <f ca="1">结果表!H102</f>
        <v>17301</v>
      </c>
      <c r="E7" s="1961"/>
    </row>
    <row r="8" spans="1:5" ht="15.75">
      <c r="A8" s="1961"/>
      <c r="B8" s="2991" t="str">
        <f>结果表!E103</f>
        <v>2.估价师知悉的法定优先受偿款</v>
      </c>
      <c r="C8" s="1966" t="s">
        <v>1626</v>
      </c>
      <c r="D8" s="1044">
        <f>结果表!H103</f>
        <v>0</v>
      </c>
      <c r="E8" s="1961"/>
    </row>
    <row r="9" spans="1:5" ht="15.75">
      <c r="A9" s="1961"/>
      <c r="B9" s="2993"/>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84" t="str">
        <f>结果表!E107</f>
        <v>3.房地产抵押价值</v>
      </c>
      <c r="C13" s="1969" t="s">
        <v>1623</v>
      </c>
      <c r="D13" s="1046">
        <f ca="1">结果表!H107</f>
        <v>186</v>
      </c>
      <c r="E13" s="1961"/>
    </row>
    <row r="14" spans="1:5" ht="15.75">
      <c r="A14" s="1961"/>
      <c r="B14" s="2985"/>
      <c r="C14" s="1964" t="s">
        <v>1624</v>
      </c>
      <c r="D14" s="1043" t="str">
        <f ca="1">NUMBERSTRING(INT(D13*10000),2)&amp;"元整"</f>
        <v>壹佰捌拾陆万元整</v>
      </c>
      <c r="E14" s="1961"/>
    </row>
    <row r="15" spans="1:5" ht="15">
      <c r="A15" s="1961"/>
      <c r="B15" s="2990"/>
      <c r="C15" s="1965" t="s">
        <v>1634</v>
      </c>
      <c r="D15" s="1055">
        <f ca="1">结果表!H108</f>
        <v>17301</v>
      </c>
      <c r="E15" s="1961"/>
    </row>
    <row r="16" spans="1:5" ht="15">
      <c r="A16" s="1961"/>
      <c r="B16" s="2991" t="str">
        <f>结果表!E109</f>
        <v>——</v>
      </c>
      <c r="C16" s="1969" t="s">
        <v>1635</v>
      </c>
      <c r="D16" s="1970" t="str">
        <f>结果表!H109</f>
        <v>——</v>
      </c>
      <c r="E16" s="1961"/>
    </row>
    <row r="17" spans="1:5" ht="15.75">
      <c r="A17" s="1961"/>
      <c r="B17" s="2992"/>
      <c r="C17" s="1964" t="s">
        <v>1636</v>
      </c>
      <c r="D17" s="1043" t="e">
        <f>NUMBERSTRING(INT(D16*10000),2)&amp;"元整"</f>
        <v>#VALUE!</v>
      </c>
      <c r="E17" s="1961"/>
    </row>
    <row r="18" spans="1:5" ht="15">
      <c r="A18" s="1961"/>
      <c r="B18" s="2993"/>
      <c r="C18" s="1965" t="s">
        <v>1625</v>
      </c>
      <c r="D18" s="1055" t="str">
        <f>结果表!H110</f>
        <v>——</v>
      </c>
      <c r="E18" s="1961"/>
    </row>
    <row r="19" spans="1:5" ht="15.75">
      <c r="A19" s="1961"/>
      <c r="B19" s="2984" t="str">
        <f>结果表!E111</f>
        <v>——</v>
      </c>
      <c r="C19" s="1969" t="s">
        <v>1623</v>
      </c>
      <c r="D19" s="1044" t="str">
        <f>结果表!H111</f>
        <v>——</v>
      </c>
      <c r="E19" s="1961"/>
    </row>
    <row r="20" spans="1:5" ht="15.75">
      <c r="A20" s="1961"/>
      <c r="B20" s="2985"/>
      <c r="C20" s="1964" t="s">
        <v>1636</v>
      </c>
      <c r="D20" s="1043" t="e">
        <f>NUMBERSTRING(INT(D19*10000),2)&amp;"元整"</f>
        <v>#VALUE!</v>
      </c>
      <c r="E20" s="1961"/>
    </row>
    <row r="21" spans="1:5" ht="15.75" thickBot="1">
      <c r="A21" s="1961"/>
      <c r="B21" s="298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27266</v>
      </c>
      <c r="C2" s="2" t="s">
        <v>133</v>
      </c>
      <c r="D2" s="243"/>
      <c r="E2" s="243"/>
      <c r="F2" s="243"/>
      <c r="G2" s="243"/>
    </row>
    <row r="3" spans="1:7" s="244" customFormat="1" ht="18" customHeight="1" thickBot="1">
      <c r="A3" s="247" t="s">
        <v>85</v>
      </c>
      <c r="B3" s="248">
        <f ca="1">ROUND(B2*10000/'数据-汇总表'!E3,0)</f>
        <v>2536136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v>
      </c>
      <c r="D10" s="1035">
        <f>'数据-汇总表'!E6</f>
        <v>107.51</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107.51</v>
      </c>
      <c r="E19" s="255">
        <f>'数据-取费表'!B31</f>
        <v>150</v>
      </c>
      <c r="F19" s="275"/>
      <c r="G19" s="1" t="s">
        <v>1074</v>
      </c>
    </row>
    <row r="20" spans="1:7" s="258" customFormat="1" ht="13.5" customHeight="1">
      <c r="A20" s="951" t="s">
        <v>1057</v>
      </c>
      <c r="B20" s="254" t="s">
        <v>104</v>
      </c>
      <c r="C20" s="276">
        <f>ROUND((C5+C19)*F20,0)</f>
        <v>412</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2024</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v>
      </c>
      <c r="D37" s="261">
        <f>'数据-汇总表'!E3</f>
        <v>107.51</v>
      </c>
      <c r="E37" s="293">
        <f>'数据-取费表'!B35</f>
        <v>150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v>
      </c>
      <c r="D42" s="282"/>
      <c r="E42" s="282"/>
      <c r="F42" s="283"/>
      <c r="G42" s="3174" t="s">
        <v>121</v>
      </c>
    </row>
    <row r="43" spans="1:7" ht="13.5" customHeight="1">
      <c r="A43" s="954" t="s">
        <v>792</v>
      </c>
      <c r="B43" s="259" t="s">
        <v>1064</v>
      </c>
      <c r="C43" s="282">
        <f ca="1">ROUND(IF('数据-取费表'!B22&lt;=1,C39*F22*'数据-取费表'!B21/2,C39*(POWER((1+F22),'数据-取费表'!B21/2)-1)),0)</f>
        <v>0</v>
      </c>
      <c r="D43" s="282"/>
      <c r="E43" s="282"/>
      <c r="F43" s="283"/>
      <c r="G43" s="3175"/>
    </row>
    <row r="44" spans="1:7" ht="13.5" customHeight="1">
      <c r="A44" s="954" t="s">
        <v>793</v>
      </c>
      <c r="B44" s="259" t="s">
        <v>1066</v>
      </c>
      <c r="C44" s="282">
        <f ca="1">ROUND(IF('数据-取费表'!B22&lt;=1,C40*F22*'数据-取费表'!B21/2,C40*(POWER((1+F22),'数据-取费表'!B21/2)-1)),4)</f>
        <v>1E-3</v>
      </c>
      <c r="D44" s="282"/>
      <c r="E44" s="282"/>
      <c r="F44" s="283"/>
      <c r="G44" s="3176"/>
    </row>
    <row r="45" spans="1:7" s="258" customFormat="1" ht="13.5" customHeight="1">
      <c r="A45" s="951" t="s">
        <v>786</v>
      </c>
      <c r="B45" s="288" t="s">
        <v>112</v>
      </c>
      <c r="C45" s="289">
        <f>C46</f>
        <v>3</v>
      </c>
      <c r="D45" s="279">
        <f>C47</f>
        <v>2E-3</v>
      </c>
      <c r="E45" s="280" t="s">
        <v>129</v>
      </c>
      <c r="F45" s="290"/>
      <c r="G45" s="291" t="s">
        <v>1072</v>
      </c>
    </row>
    <row r="46" spans="1:7" s="258" customFormat="1" ht="13.5" customHeight="1">
      <c r="A46" s="954" t="s">
        <v>794</v>
      </c>
      <c r="B46" s="292" t="s">
        <v>1065</v>
      </c>
      <c r="C46" s="293">
        <f>ROUND((C33+C39)*F27,0)</f>
        <v>3</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38</v>
      </c>
      <c r="D51" s="276"/>
      <c r="E51" s="276"/>
      <c r="F51" s="308"/>
      <c r="G51" s="278" t="s">
        <v>64</v>
      </c>
    </row>
    <row r="52" spans="1:7" s="252" customFormat="1" ht="16.5" thickBot="1">
      <c r="A52" s="309" t="s">
        <v>65</v>
      </c>
      <c r="B52" s="310"/>
      <c r="C52" s="311">
        <f ca="1">C31+C51</f>
        <v>27266</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871</v>
      </c>
      <c r="B1" s="330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zoomScaleNormal="100" workbookViewId="0">
      <selection activeCell="B31" sqref="B31"/>
    </sheetView>
  </sheetViews>
  <sheetFormatPr defaultRowHeight="13.5"/>
  <cols>
    <col min="3" max="3" width="10.25" customWidth="1"/>
    <col min="6" max="6" width="12.75" customWidth="1"/>
    <col min="7" max="7" width="13.125" customWidth="1"/>
    <col min="9" max="9" width="11.5" customWidth="1"/>
    <col min="13" max="13" width="15.375" customWidth="1"/>
  </cols>
  <sheetData>
    <row r="2" spans="1:13">
      <c r="A2">
        <v>31472.47</v>
      </c>
      <c r="B2">
        <v>23</v>
      </c>
      <c r="C2">
        <f>A2/B2</f>
        <v>1368.3682608695653</v>
      </c>
    </row>
    <row r="4" spans="1:13">
      <c r="E4" s="2971"/>
      <c r="F4" s="2972" t="s">
        <v>3114</v>
      </c>
      <c r="G4" s="2971"/>
      <c r="I4">
        <f>546.57+374.66+323.58+128.39+48.09+35.43+2636.61+28232.86</f>
        <v>32326.190000000002</v>
      </c>
    </row>
    <row r="5" spans="1:13">
      <c r="A5">
        <v>1368.37</v>
      </c>
      <c r="C5">
        <f>SUM(A27)</f>
        <v>1368.3300000000163</v>
      </c>
      <c r="E5" s="2972" t="s">
        <v>3116</v>
      </c>
      <c r="F5" s="2971">
        <f>'数据-基础表'!E13</f>
        <v>5.45</v>
      </c>
      <c r="G5" s="2971">
        <v>2264.6799999999998</v>
      </c>
      <c r="I5" s="2971">
        <v>22032.18</v>
      </c>
      <c r="J5" s="2971"/>
      <c r="K5" s="2971"/>
      <c r="M5">
        <f>F5</f>
        <v>5.45</v>
      </c>
    </row>
    <row r="6" spans="1:13">
      <c r="A6">
        <v>1368.37</v>
      </c>
      <c r="C6">
        <f>A2-C5</f>
        <v>30104.139999999985</v>
      </c>
      <c r="E6" s="2971"/>
      <c r="F6" s="2971">
        <f>G6/7</f>
        <v>322.74714285714288</v>
      </c>
      <c r="G6" s="2971">
        <f>G5-F5</f>
        <v>2259.23</v>
      </c>
      <c r="I6" s="2971">
        <v>25620.63</v>
      </c>
      <c r="J6" s="2971"/>
      <c r="K6" s="2971"/>
      <c r="M6">
        <f>ROUND(F$6,2)</f>
        <v>322.75</v>
      </c>
    </row>
    <row r="7" spans="1:13">
      <c r="A7">
        <v>1368.37</v>
      </c>
      <c r="E7" s="2971"/>
      <c r="F7" s="2971"/>
      <c r="G7" s="2971"/>
      <c r="I7" s="2971">
        <v>13034.97</v>
      </c>
      <c r="J7" s="2971"/>
      <c r="K7" s="2971"/>
      <c r="M7">
        <f t="shared" ref="M7:M12" si="0">ROUND(F$6,2)</f>
        <v>322.75</v>
      </c>
    </row>
    <row r="8" spans="1:13">
      <c r="A8">
        <v>1368.37</v>
      </c>
      <c r="G8">
        <f>73.7*7</f>
        <v>515.9</v>
      </c>
      <c r="I8" s="2971">
        <v>21554.04</v>
      </c>
      <c r="J8" s="2971"/>
      <c r="K8" s="2971"/>
      <c r="M8">
        <f t="shared" si="0"/>
        <v>322.75</v>
      </c>
    </row>
    <row r="9" spans="1:13">
      <c r="A9">
        <v>1368.37</v>
      </c>
      <c r="I9" s="2971">
        <v>24055.15</v>
      </c>
      <c r="J9" s="2971"/>
      <c r="K9" s="2971"/>
      <c r="M9">
        <f t="shared" si="0"/>
        <v>322.75</v>
      </c>
    </row>
    <row r="10" spans="1:13">
      <c r="A10">
        <v>1368.37</v>
      </c>
      <c r="I10" s="2971">
        <v>11394.93</v>
      </c>
      <c r="J10" s="2971"/>
      <c r="K10" s="2971"/>
      <c r="M10">
        <f t="shared" si="0"/>
        <v>322.75</v>
      </c>
    </row>
    <row r="11" spans="1:13">
      <c r="A11">
        <v>1368.37</v>
      </c>
      <c r="I11" s="2971">
        <v>31472.47</v>
      </c>
      <c r="J11" s="2971"/>
      <c r="K11" s="2971"/>
      <c r="M11">
        <f t="shared" si="0"/>
        <v>322.75</v>
      </c>
    </row>
    <row r="12" spans="1:13">
      <c r="A12">
        <v>1368.37</v>
      </c>
      <c r="H12">
        <v>36217.18</v>
      </c>
      <c r="I12" s="2971">
        <f>SUM(I5:I11)+I4</f>
        <v>181490.56</v>
      </c>
      <c r="J12" s="2971">
        <v>37546.519999999997</v>
      </c>
      <c r="K12" s="2971">
        <f>ROUND(H12/I12*J12,2)</f>
        <v>7492.56</v>
      </c>
      <c r="M12">
        <f t="shared" si="0"/>
        <v>322.75</v>
      </c>
    </row>
    <row r="13" spans="1:13">
      <c r="A13">
        <v>1368.37</v>
      </c>
    </row>
    <row r="14" spans="1:13">
      <c r="A14">
        <v>1368.37</v>
      </c>
      <c r="G14">
        <f>10946.92/I12*J12</f>
        <v>2264.6839081790258</v>
      </c>
    </row>
    <row r="15" spans="1:13">
      <c r="A15">
        <v>1368.37</v>
      </c>
    </row>
    <row r="16" spans="1:13">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tabSelected="1" topLeftCell="D1" workbookViewId="0">
      <selection activeCell="K21" sqref="K21"/>
    </sheetView>
  </sheetViews>
  <sheetFormatPr defaultRowHeight="13.5"/>
  <cols>
    <col min="1" max="1" width="5.125" style="2975" customWidth="1"/>
    <col min="2" max="2" width="12.875" style="2977" customWidth="1"/>
    <col min="3" max="3" width="61.375" style="2975" customWidth="1"/>
    <col min="4" max="4" width="34.375" style="2975" customWidth="1"/>
    <col min="5" max="5" width="12.25" style="2975" customWidth="1"/>
    <col min="6" max="6" width="15.375" style="2975" customWidth="1"/>
    <col min="7" max="7" width="12.25" customWidth="1"/>
    <col min="8" max="8" width="12.125" customWidth="1"/>
  </cols>
  <sheetData>
    <row r="1" spans="1:12">
      <c r="A1" s="2974" t="s">
        <v>3122</v>
      </c>
      <c r="B1" s="2976" t="s">
        <v>3260</v>
      </c>
      <c r="C1" s="2974" t="s">
        <v>3123</v>
      </c>
      <c r="D1" s="2974" t="s">
        <v>3124</v>
      </c>
      <c r="E1" s="2974" t="s">
        <v>3125</v>
      </c>
      <c r="F1" s="2974" t="s">
        <v>3126</v>
      </c>
      <c r="G1" s="2974" t="s">
        <v>3330</v>
      </c>
      <c r="H1" s="2974" t="s">
        <v>3331</v>
      </c>
    </row>
    <row r="2" spans="1:12">
      <c r="A2" s="2974">
        <v>1</v>
      </c>
      <c r="B2" s="2976" t="s">
        <v>3261</v>
      </c>
      <c r="C2" s="2974" t="s">
        <v>3127</v>
      </c>
      <c r="D2" s="2974" t="s">
        <v>3128</v>
      </c>
      <c r="E2" s="2974">
        <v>107.51</v>
      </c>
      <c r="F2" s="2974">
        <v>5.45</v>
      </c>
      <c r="G2" s="2971">
        <f ca="1">典型户型修正!R24</f>
        <v>17323</v>
      </c>
      <c r="H2" s="2971">
        <f ca="1">典型户型修正!S24</f>
        <v>186</v>
      </c>
      <c r="J2">
        <v>1368.3300000000163</v>
      </c>
      <c r="L2">
        <f>SUM(E2:E10)</f>
        <v>1345.5100000000002</v>
      </c>
    </row>
    <row r="3" spans="1:12">
      <c r="A3" s="2974">
        <v>2</v>
      </c>
      <c r="B3" s="2976" t="s">
        <v>3262</v>
      </c>
      <c r="C3" s="2974" t="s">
        <v>3129</v>
      </c>
      <c r="D3" s="2974" t="s">
        <v>3130</v>
      </c>
      <c r="E3" s="2974">
        <v>133.87</v>
      </c>
      <c r="F3" s="2974">
        <v>6.78</v>
      </c>
      <c r="G3" s="2971">
        <f ca="1">典型户型修正!R25</f>
        <v>17323</v>
      </c>
      <c r="H3" s="2971">
        <f ca="1">典型户型修正!S25</f>
        <v>232</v>
      </c>
      <c r="J3">
        <v>1368.37</v>
      </c>
      <c r="L3">
        <f>SUM(E11:E19)</f>
        <v>1345.5100000000002</v>
      </c>
    </row>
    <row r="4" spans="1:12">
      <c r="A4" s="2974">
        <v>3</v>
      </c>
      <c r="B4" s="2976" t="s">
        <v>3263</v>
      </c>
      <c r="C4" s="2974" t="s">
        <v>3131</v>
      </c>
      <c r="D4" s="2974" t="s">
        <v>3132</v>
      </c>
      <c r="E4" s="2974">
        <v>130.24</v>
      </c>
      <c r="F4" s="2974">
        <v>6.6</v>
      </c>
      <c r="G4" s="2971">
        <f ca="1">典型户型修正!R26</f>
        <v>17323</v>
      </c>
      <c r="H4" s="2971">
        <f ca="1">典型户型修正!S26</f>
        <v>226</v>
      </c>
      <c r="J4">
        <v>1368.37</v>
      </c>
      <c r="L4">
        <f>SUM(E20:E28)</f>
        <v>1345.5100000000002</v>
      </c>
    </row>
    <row r="5" spans="1:12">
      <c r="A5" s="2974">
        <v>4</v>
      </c>
      <c r="B5" s="2976" t="s">
        <v>3264</v>
      </c>
      <c r="C5" s="2974" t="s">
        <v>3133</v>
      </c>
      <c r="D5" s="2974" t="s">
        <v>3134</v>
      </c>
      <c r="E5" s="2974">
        <v>130.24</v>
      </c>
      <c r="F5" s="2974">
        <v>6.6</v>
      </c>
      <c r="G5" s="2971">
        <f ca="1">典型户型修正!R27</f>
        <v>17323</v>
      </c>
      <c r="H5" s="2971">
        <f ca="1">典型户型修正!S27</f>
        <v>226</v>
      </c>
      <c r="J5">
        <v>1368.37</v>
      </c>
      <c r="L5">
        <f>SUM(E29:E37)</f>
        <v>1345.5100000000002</v>
      </c>
    </row>
    <row r="6" spans="1:12">
      <c r="A6" s="2974">
        <v>5</v>
      </c>
      <c r="B6" s="2976" t="s">
        <v>3265</v>
      </c>
      <c r="C6" s="2974" t="s">
        <v>3135</v>
      </c>
      <c r="D6" s="2974" t="s">
        <v>3136</v>
      </c>
      <c r="E6" s="2974">
        <v>222.65</v>
      </c>
      <c r="F6" s="2974">
        <v>11.28</v>
      </c>
      <c r="G6" s="2971">
        <f ca="1">典型户型修正!R28</f>
        <v>17150</v>
      </c>
      <c r="H6" s="2971">
        <f ca="1">典型户型修正!S28</f>
        <v>382</v>
      </c>
      <c r="J6">
        <v>1368.37</v>
      </c>
      <c r="L6">
        <f>SUM(E38:E46)</f>
        <v>1345.5100000000002</v>
      </c>
    </row>
    <row r="7" spans="1:12">
      <c r="A7" s="2974">
        <v>6</v>
      </c>
      <c r="B7" s="2976" t="s">
        <v>3266</v>
      </c>
      <c r="C7" s="2974" t="s">
        <v>3137</v>
      </c>
      <c r="D7" s="2974" t="s">
        <v>3138</v>
      </c>
      <c r="E7" s="2974">
        <v>59.59</v>
      </c>
      <c r="F7" s="2974">
        <v>3.02</v>
      </c>
      <c r="G7" s="2971">
        <f ca="1">典型户型修正!R29</f>
        <v>17496</v>
      </c>
      <c r="H7" s="2971">
        <f ca="1">典型户型修正!S29</f>
        <v>104</v>
      </c>
      <c r="J7">
        <v>1368.37</v>
      </c>
      <c r="L7">
        <f>SUM(E47:E55)</f>
        <v>1345.5100000000002</v>
      </c>
    </row>
    <row r="8" spans="1:12">
      <c r="A8" s="2974">
        <v>7</v>
      </c>
      <c r="B8" s="2976" t="s">
        <v>3267</v>
      </c>
      <c r="C8" s="2974" t="s">
        <v>3139</v>
      </c>
      <c r="D8" s="2974" t="s">
        <v>3140</v>
      </c>
      <c r="E8" s="2974">
        <v>167.21</v>
      </c>
      <c r="F8" s="2974">
        <v>8.4700000000000006</v>
      </c>
      <c r="G8" s="2971">
        <f ca="1">典型户型修正!R30</f>
        <v>17323</v>
      </c>
      <c r="H8" s="2971">
        <f ca="1">典型户型修正!S30</f>
        <v>290</v>
      </c>
      <c r="J8">
        <v>1368.37</v>
      </c>
      <c r="L8">
        <f>SUM(E56:E64)</f>
        <v>1183.3</v>
      </c>
    </row>
    <row r="9" spans="1:12">
      <c r="A9" s="2974">
        <v>8</v>
      </c>
      <c r="B9" s="2976" t="s">
        <v>3268</v>
      </c>
      <c r="C9" s="2974" t="s">
        <v>3141</v>
      </c>
      <c r="D9" s="2974" t="s">
        <v>3142</v>
      </c>
      <c r="E9" s="2974">
        <v>164.82</v>
      </c>
      <c r="F9" s="2974">
        <v>8.35</v>
      </c>
      <c r="G9" s="2971">
        <f ca="1">典型户型修正!R31</f>
        <v>17323</v>
      </c>
      <c r="H9" s="2971">
        <f ca="1">典型户型修正!S31</f>
        <v>286</v>
      </c>
      <c r="J9">
        <v>1368.37</v>
      </c>
      <c r="L9">
        <f>SUM(E65:E70)</f>
        <v>1427.83</v>
      </c>
    </row>
    <row r="10" spans="1:12">
      <c r="A10" s="2974">
        <v>9</v>
      </c>
      <c r="B10" s="2976" t="s">
        <v>3269</v>
      </c>
      <c r="C10" s="2974" t="s">
        <v>3143</v>
      </c>
      <c r="D10" s="2974" t="s">
        <v>3144</v>
      </c>
      <c r="E10" s="2974">
        <v>229.38</v>
      </c>
      <c r="F10" s="2974">
        <v>11.62</v>
      </c>
      <c r="G10" s="2971">
        <f ca="1">典型户型修正!R32</f>
        <v>17150</v>
      </c>
      <c r="H10" s="2971">
        <f ca="1">典型户型修正!S32</f>
        <v>393</v>
      </c>
    </row>
    <row r="11" spans="1:12">
      <c r="A11" s="2974">
        <v>10</v>
      </c>
      <c r="B11" s="2976" t="s">
        <v>3270</v>
      </c>
      <c r="C11" s="2974" t="s">
        <v>3145</v>
      </c>
      <c r="D11" s="2974" t="s">
        <v>3146</v>
      </c>
      <c r="E11" s="2974">
        <v>107.51</v>
      </c>
      <c r="F11" s="2974">
        <v>5.45</v>
      </c>
      <c r="G11" s="2971">
        <f ca="1">典型户型修正!R33</f>
        <v>17323</v>
      </c>
      <c r="H11" s="2971">
        <f ca="1">典型户型修正!S33</f>
        <v>186</v>
      </c>
    </row>
    <row r="12" spans="1:12">
      <c r="A12" s="2974">
        <v>11</v>
      </c>
      <c r="B12" s="2976" t="s">
        <v>3271</v>
      </c>
      <c r="C12" s="2974" t="s">
        <v>3147</v>
      </c>
      <c r="D12" s="2974" t="s">
        <v>3148</v>
      </c>
      <c r="E12" s="2974">
        <v>133.87</v>
      </c>
      <c r="F12" s="2974">
        <v>6.78</v>
      </c>
      <c r="G12" s="2971">
        <f ca="1">典型户型修正!R34</f>
        <v>17323</v>
      </c>
      <c r="H12" s="2971">
        <f ca="1">典型户型修正!S34</f>
        <v>232</v>
      </c>
    </row>
    <row r="13" spans="1:12">
      <c r="A13" s="2974">
        <v>12</v>
      </c>
      <c r="B13" s="2976" t="s">
        <v>3272</v>
      </c>
      <c r="C13" s="2974" t="s">
        <v>3149</v>
      </c>
      <c r="D13" s="2974" t="s">
        <v>3150</v>
      </c>
      <c r="E13" s="2974">
        <v>130.24</v>
      </c>
      <c r="F13" s="2974">
        <v>6.6</v>
      </c>
      <c r="G13" s="2971">
        <f ca="1">典型户型修正!R35</f>
        <v>17323</v>
      </c>
      <c r="H13" s="2971">
        <f ca="1">典型户型修正!S35</f>
        <v>226</v>
      </c>
    </row>
    <row r="14" spans="1:12">
      <c r="A14" s="2974">
        <v>13</v>
      </c>
      <c r="B14" s="2976" t="s">
        <v>3273</v>
      </c>
      <c r="C14" s="2974" t="s">
        <v>3151</v>
      </c>
      <c r="D14" s="2974" t="s">
        <v>3152</v>
      </c>
      <c r="E14" s="2974">
        <v>130.24</v>
      </c>
      <c r="F14" s="2974">
        <v>6.6</v>
      </c>
      <c r="G14" s="2971">
        <f ca="1">典型户型修正!R36</f>
        <v>17323</v>
      </c>
      <c r="H14" s="2971">
        <f ca="1">典型户型修正!S36</f>
        <v>226</v>
      </c>
    </row>
    <row r="15" spans="1:12">
      <c r="A15" s="2974">
        <v>14</v>
      </c>
      <c r="B15" s="2976" t="s">
        <v>3274</v>
      </c>
      <c r="C15" s="2974" t="s">
        <v>3153</v>
      </c>
      <c r="D15" s="2974" t="s">
        <v>3154</v>
      </c>
      <c r="E15" s="2974">
        <v>222.65</v>
      </c>
      <c r="F15" s="2974">
        <v>11.28</v>
      </c>
      <c r="G15" s="2971">
        <f ca="1">典型户型修正!R37</f>
        <v>17150</v>
      </c>
      <c r="H15" s="2971">
        <f ca="1">典型户型修正!S37</f>
        <v>382</v>
      </c>
    </row>
    <row r="16" spans="1:12" s="2982" customFormat="1">
      <c r="A16" s="2980">
        <v>15</v>
      </c>
      <c r="B16" s="2981" t="s">
        <v>3275</v>
      </c>
      <c r="C16" s="2980" t="s">
        <v>3155</v>
      </c>
      <c r="D16" s="2980" t="s">
        <v>3338</v>
      </c>
      <c r="E16" s="2980">
        <v>59.59</v>
      </c>
      <c r="F16" s="2980">
        <v>3.02</v>
      </c>
      <c r="G16" s="2971">
        <f ca="1">典型户型修正!R38</f>
        <v>17496</v>
      </c>
      <c r="H16" s="2971">
        <f ca="1">典型户型修正!S38</f>
        <v>104</v>
      </c>
    </row>
    <row r="17" spans="1:8">
      <c r="A17" s="2974">
        <v>16</v>
      </c>
      <c r="B17" s="2976" t="s">
        <v>3276</v>
      </c>
      <c r="C17" s="2974" t="s">
        <v>3156</v>
      </c>
      <c r="D17" s="2974" t="s">
        <v>3157</v>
      </c>
      <c r="E17" s="2974">
        <v>167.21</v>
      </c>
      <c r="F17" s="2974">
        <v>8.4700000000000006</v>
      </c>
      <c r="G17" s="2971">
        <f ca="1">典型户型修正!R39</f>
        <v>17323</v>
      </c>
      <c r="H17" s="2971">
        <f ca="1">典型户型修正!S39</f>
        <v>290</v>
      </c>
    </row>
    <row r="18" spans="1:8">
      <c r="A18" s="2974">
        <v>17</v>
      </c>
      <c r="B18" s="2976" t="s">
        <v>3277</v>
      </c>
      <c r="C18" s="2974" t="s">
        <v>3158</v>
      </c>
      <c r="D18" s="2974" t="s">
        <v>3159</v>
      </c>
      <c r="E18" s="2974">
        <v>164.82</v>
      </c>
      <c r="F18" s="2974">
        <v>8.35</v>
      </c>
      <c r="G18" s="2971">
        <f ca="1">典型户型修正!R40</f>
        <v>17323</v>
      </c>
      <c r="H18" s="2971">
        <f ca="1">典型户型修正!S40</f>
        <v>286</v>
      </c>
    </row>
    <row r="19" spans="1:8">
      <c r="A19" s="2974">
        <v>18</v>
      </c>
      <c r="B19" s="2976" t="s">
        <v>3278</v>
      </c>
      <c r="C19" s="2974" t="s">
        <v>3160</v>
      </c>
      <c r="D19" s="2974" t="s">
        <v>3161</v>
      </c>
      <c r="E19" s="2974">
        <v>229.38</v>
      </c>
      <c r="F19" s="2974">
        <v>11.62</v>
      </c>
      <c r="G19" s="2971">
        <f ca="1">典型户型修正!R41</f>
        <v>17150</v>
      </c>
      <c r="H19" s="2971">
        <f ca="1">典型户型修正!S41</f>
        <v>393</v>
      </c>
    </row>
    <row r="20" spans="1:8">
      <c r="A20" s="2974">
        <v>19</v>
      </c>
      <c r="B20" s="2976" t="s">
        <v>3279</v>
      </c>
      <c r="C20" s="2974" t="s">
        <v>3162</v>
      </c>
      <c r="D20" s="2974" t="s">
        <v>3163</v>
      </c>
      <c r="E20" s="2974">
        <v>107.51</v>
      </c>
      <c r="F20" s="2974">
        <v>5.45</v>
      </c>
      <c r="G20" s="2971">
        <f ca="1">典型户型修正!R42</f>
        <v>17323</v>
      </c>
      <c r="H20" s="2971">
        <f ca="1">典型户型修正!S42</f>
        <v>186</v>
      </c>
    </row>
    <row r="21" spans="1:8">
      <c r="A21" s="2974">
        <v>20</v>
      </c>
      <c r="B21" s="2976" t="s">
        <v>3280</v>
      </c>
      <c r="C21" s="2974" t="s">
        <v>3164</v>
      </c>
      <c r="D21" s="2974" t="s">
        <v>3165</v>
      </c>
      <c r="E21" s="2974">
        <v>133.87</v>
      </c>
      <c r="F21" s="2974">
        <v>6.78</v>
      </c>
      <c r="G21" s="2971">
        <f ca="1">典型户型修正!R43</f>
        <v>17323</v>
      </c>
      <c r="H21" s="2971">
        <f ca="1">典型户型修正!S43</f>
        <v>232</v>
      </c>
    </row>
    <row r="22" spans="1:8">
      <c r="A22" s="2974">
        <v>21</v>
      </c>
      <c r="B22" s="2976" t="s">
        <v>3281</v>
      </c>
      <c r="C22" s="2974" t="s">
        <v>3166</v>
      </c>
      <c r="D22" s="2974" t="s">
        <v>3167</v>
      </c>
      <c r="E22" s="2974">
        <v>130.24</v>
      </c>
      <c r="F22" s="2974">
        <v>6.6</v>
      </c>
      <c r="G22" s="2971">
        <f ca="1">典型户型修正!R44</f>
        <v>17323</v>
      </c>
      <c r="H22" s="2971">
        <f ca="1">典型户型修正!S44</f>
        <v>226</v>
      </c>
    </row>
    <row r="23" spans="1:8">
      <c r="A23" s="2974">
        <v>22</v>
      </c>
      <c r="B23" s="2976" t="s">
        <v>3282</v>
      </c>
      <c r="C23" s="2974" t="s">
        <v>3168</v>
      </c>
      <c r="D23" s="2974" t="s">
        <v>3169</v>
      </c>
      <c r="E23" s="2974">
        <v>130.24</v>
      </c>
      <c r="F23" s="2974">
        <v>6.6</v>
      </c>
      <c r="G23" s="2971">
        <f ca="1">典型户型修正!R45</f>
        <v>17323</v>
      </c>
      <c r="H23" s="2971">
        <f ca="1">典型户型修正!S45</f>
        <v>226</v>
      </c>
    </row>
    <row r="24" spans="1:8">
      <c r="A24" s="2974">
        <v>23</v>
      </c>
      <c r="B24" s="2976" t="s">
        <v>3283</v>
      </c>
      <c r="C24" s="2974" t="s">
        <v>3170</v>
      </c>
      <c r="D24" s="2974" t="s">
        <v>3171</v>
      </c>
      <c r="E24" s="2974">
        <v>222.65</v>
      </c>
      <c r="F24" s="2974">
        <v>11.28</v>
      </c>
      <c r="G24" s="2971">
        <f ca="1">典型户型修正!R46</f>
        <v>17150</v>
      </c>
      <c r="H24" s="2971">
        <f ca="1">典型户型修正!S46</f>
        <v>382</v>
      </c>
    </row>
    <row r="25" spans="1:8">
      <c r="A25" s="2974">
        <v>24</v>
      </c>
      <c r="B25" s="2976" t="s">
        <v>3284</v>
      </c>
      <c r="C25" s="2974" t="s">
        <v>3172</v>
      </c>
      <c r="D25" s="2974" t="s">
        <v>3173</v>
      </c>
      <c r="E25" s="2974">
        <v>59.59</v>
      </c>
      <c r="F25" s="2974">
        <v>3.02</v>
      </c>
      <c r="G25" s="2971">
        <f ca="1">典型户型修正!R47</f>
        <v>17496</v>
      </c>
      <c r="H25" s="2971">
        <f ca="1">典型户型修正!S47</f>
        <v>104</v>
      </c>
    </row>
    <row r="26" spans="1:8">
      <c r="A26" s="2974">
        <v>25</v>
      </c>
      <c r="B26" s="2976" t="s">
        <v>3285</v>
      </c>
      <c r="C26" s="2974" t="s">
        <v>3174</v>
      </c>
      <c r="D26" s="2974" t="s">
        <v>3175</v>
      </c>
      <c r="E26" s="2974">
        <v>167.21</v>
      </c>
      <c r="F26" s="2974">
        <v>8.4700000000000006</v>
      </c>
      <c r="G26" s="2971">
        <f ca="1">典型户型修正!R48</f>
        <v>17323</v>
      </c>
      <c r="H26" s="2971">
        <f ca="1">典型户型修正!S48</f>
        <v>290</v>
      </c>
    </row>
    <row r="27" spans="1:8">
      <c r="A27" s="2974">
        <v>26</v>
      </c>
      <c r="B27" s="2976" t="s">
        <v>3286</v>
      </c>
      <c r="C27" s="2974" t="s">
        <v>3176</v>
      </c>
      <c r="D27" s="2974" t="s">
        <v>3177</v>
      </c>
      <c r="E27" s="2974">
        <v>164.82</v>
      </c>
      <c r="F27" s="2974">
        <v>8.35</v>
      </c>
      <c r="G27" s="2971">
        <f ca="1">典型户型修正!R49</f>
        <v>17323</v>
      </c>
      <c r="H27" s="2971">
        <f ca="1">典型户型修正!S49</f>
        <v>286</v>
      </c>
    </row>
    <row r="28" spans="1:8">
      <c r="A28" s="2974">
        <v>27</v>
      </c>
      <c r="B28" s="2976" t="s">
        <v>3287</v>
      </c>
      <c r="C28" s="2974" t="s">
        <v>3178</v>
      </c>
      <c r="D28" s="2974" t="s">
        <v>3179</v>
      </c>
      <c r="E28" s="2974">
        <v>229.38</v>
      </c>
      <c r="F28" s="2974">
        <v>11.62</v>
      </c>
      <c r="G28" s="2971">
        <f ca="1">典型户型修正!R50</f>
        <v>17150</v>
      </c>
      <c r="H28" s="2971">
        <f ca="1">典型户型修正!S50</f>
        <v>393</v>
      </c>
    </row>
    <row r="29" spans="1:8">
      <c r="A29" s="2974">
        <v>28</v>
      </c>
      <c r="B29" s="2976" t="s">
        <v>3288</v>
      </c>
      <c r="C29" s="2974" t="s">
        <v>3180</v>
      </c>
      <c r="D29" s="2974" t="s">
        <v>3181</v>
      </c>
      <c r="E29" s="2974">
        <v>107.51</v>
      </c>
      <c r="F29" s="2974">
        <v>5.45</v>
      </c>
      <c r="G29" s="2971">
        <f ca="1">典型户型修正!R51</f>
        <v>17323</v>
      </c>
      <c r="H29" s="2971">
        <f ca="1">典型户型修正!S51</f>
        <v>186</v>
      </c>
    </row>
    <row r="30" spans="1:8">
      <c r="A30" s="2974">
        <v>29</v>
      </c>
      <c r="B30" s="2976" t="s">
        <v>3289</v>
      </c>
      <c r="C30" s="2974" t="s">
        <v>3182</v>
      </c>
      <c r="D30" s="2974" t="s">
        <v>3183</v>
      </c>
      <c r="E30" s="2974">
        <v>133.87</v>
      </c>
      <c r="F30" s="2974">
        <v>6.78</v>
      </c>
      <c r="G30" s="2971">
        <f ca="1">典型户型修正!R52</f>
        <v>17323</v>
      </c>
      <c r="H30" s="2971">
        <f ca="1">典型户型修正!S52</f>
        <v>232</v>
      </c>
    </row>
    <row r="31" spans="1:8">
      <c r="A31" s="2974">
        <v>30</v>
      </c>
      <c r="B31" s="2976" t="s">
        <v>3290</v>
      </c>
      <c r="C31" s="2974" t="s">
        <v>3184</v>
      </c>
      <c r="D31" s="2974" t="s">
        <v>3185</v>
      </c>
      <c r="E31" s="2974">
        <v>130.24</v>
      </c>
      <c r="F31" s="2974">
        <v>6.6</v>
      </c>
      <c r="G31" s="2971">
        <f ca="1">典型户型修正!R53</f>
        <v>17323</v>
      </c>
      <c r="H31" s="2971">
        <f ca="1">典型户型修正!S53</f>
        <v>226</v>
      </c>
    </row>
    <row r="32" spans="1:8">
      <c r="A32" s="2974">
        <v>31</v>
      </c>
      <c r="B32" s="2976" t="s">
        <v>3291</v>
      </c>
      <c r="C32" s="2974" t="s">
        <v>3186</v>
      </c>
      <c r="D32" s="2974" t="s">
        <v>3187</v>
      </c>
      <c r="E32" s="2974">
        <v>130.24</v>
      </c>
      <c r="F32" s="2974">
        <v>6.6</v>
      </c>
      <c r="G32" s="2971">
        <f ca="1">典型户型修正!R54</f>
        <v>17323</v>
      </c>
      <c r="H32" s="2971">
        <f ca="1">典型户型修正!S54</f>
        <v>226</v>
      </c>
    </row>
    <row r="33" spans="1:8">
      <c r="A33" s="2974">
        <v>32</v>
      </c>
      <c r="B33" s="2976" t="s">
        <v>3292</v>
      </c>
      <c r="C33" s="2974" t="s">
        <v>3188</v>
      </c>
      <c r="D33" s="2974" t="s">
        <v>3189</v>
      </c>
      <c r="E33" s="2974">
        <v>222.65</v>
      </c>
      <c r="F33" s="2974">
        <v>11.28</v>
      </c>
      <c r="G33" s="2971">
        <f ca="1">典型户型修正!R55</f>
        <v>17150</v>
      </c>
      <c r="H33" s="2971">
        <f ca="1">典型户型修正!S55</f>
        <v>382</v>
      </c>
    </row>
    <row r="34" spans="1:8">
      <c r="A34" s="2974">
        <v>33</v>
      </c>
      <c r="B34" s="2976" t="s">
        <v>3293</v>
      </c>
      <c r="C34" s="2974" t="s">
        <v>3190</v>
      </c>
      <c r="D34" s="2974" t="s">
        <v>3191</v>
      </c>
      <c r="E34" s="2974">
        <v>59.59</v>
      </c>
      <c r="F34" s="2974">
        <v>3.02</v>
      </c>
      <c r="G34" s="2971">
        <f ca="1">典型户型修正!R56</f>
        <v>17496</v>
      </c>
      <c r="H34" s="2971">
        <f ca="1">典型户型修正!S56</f>
        <v>104</v>
      </c>
    </row>
    <row r="35" spans="1:8">
      <c r="A35" s="2974">
        <v>34</v>
      </c>
      <c r="B35" s="2976" t="s">
        <v>3294</v>
      </c>
      <c r="C35" s="2974" t="s">
        <v>3192</v>
      </c>
      <c r="D35" s="2974" t="s">
        <v>3193</v>
      </c>
      <c r="E35" s="2974">
        <v>167.21</v>
      </c>
      <c r="F35" s="2974">
        <v>8.4700000000000006</v>
      </c>
      <c r="G35" s="2971">
        <f ca="1">典型户型修正!R57</f>
        <v>17323</v>
      </c>
      <c r="H35" s="2971">
        <f ca="1">典型户型修正!S57</f>
        <v>290</v>
      </c>
    </row>
    <row r="36" spans="1:8" s="2982" customFormat="1">
      <c r="A36" s="2980">
        <v>35</v>
      </c>
      <c r="B36" s="2981" t="s">
        <v>3295</v>
      </c>
      <c r="C36" s="2980" t="s">
        <v>3194</v>
      </c>
      <c r="D36" s="2980" t="s">
        <v>3337</v>
      </c>
      <c r="E36" s="2980">
        <v>164.82</v>
      </c>
      <c r="F36" s="2980">
        <v>8.35</v>
      </c>
      <c r="G36" s="2971">
        <f ca="1">典型户型修正!R58</f>
        <v>17323</v>
      </c>
      <c r="H36" s="2971">
        <f ca="1">典型户型修正!S58</f>
        <v>286</v>
      </c>
    </row>
    <row r="37" spans="1:8">
      <c r="A37" s="2974">
        <v>36</v>
      </c>
      <c r="B37" s="2976" t="s">
        <v>3296</v>
      </c>
      <c r="C37" s="2974" t="s">
        <v>3195</v>
      </c>
      <c r="D37" s="2974" t="s">
        <v>3196</v>
      </c>
      <c r="E37" s="2974">
        <v>229.38</v>
      </c>
      <c r="F37" s="2974">
        <v>11.62</v>
      </c>
      <c r="G37" s="2971">
        <f ca="1">典型户型修正!R59</f>
        <v>17150</v>
      </c>
      <c r="H37" s="2971">
        <f ca="1">典型户型修正!S59</f>
        <v>393</v>
      </c>
    </row>
    <row r="38" spans="1:8">
      <c r="A38" s="2974">
        <v>37</v>
      </c>
      <c r="B38" s="2976" t="s">
        <v>3297</v>
      </c>
      <c r="C38" s="2974" t="s">
        <v>3197</v>
      </c>
      <c r="D38" s="2974" t="s">
        <v>3198</v>
      </c>
      <c r="E38" s="2974">
        <v>107.51</v>
      </c>
      <c r="F38" s="2974">
        <v>5.45</v>
      </c>
      <c r="G38" s="2971">
        <f ca="1">典型户型修正!R60</f>
        <v>17323</v>
      </c>
      <c r="H38" s="2971">
        <f ca="1">典型户型修正!S60</f>
        <v>186</v>
      </c>
    </row>
    <row r="39" spans="1:8">
      <c r="A39" s="2974">
        <v>38</v>
      </c>
      <c r="B39" s="2976" t="s">
        <v>3298</v>
      </c>
      <c r="C39" s="2974" t="s">
        <v>3199</v>
      </c>
      <c r="D39" s="2974" t="s">
        <v>3200</v>
      </c>
      <c r="E39" s="2974">
        <v>133.87</v>
      </c>
      <c r="F39" s="2974">
        <v>6.78</v>
      </c>
      <c r="G39" s="2971">
        <f ca="1">典型户型修正!R61</f>
        <v>17323</v>
      </c>
      <c r="H39" s="2971">
        <f ca="1">典型户型修正!S61</f>
        <v>232</v>
      </c>
    </row>
    <row r="40" spans="1:8">
      <c r="A40" s="2974">
        <v>39</v>
      </c>
      <c r="B40" s="2976" t="s">
        <v>3299</v>
      </c>
      <c r="C40" s="2974" t="s">
        <v>3201</v>
      </c>
      <c r="D40" s="2974" t="s">
        <v>3202</v>
      </c>
      <c r="E40" s="2974">
        <v>130.24</v>
      </c>
      <c r="F40" s="2974">
        <v>6.6</v>
      </c>
      <c r="G40" s="2971">
        <f ca="1">典型户型修正!R62</f>
        <v>17323</v>
      </c>
      <c r="H40" s="2971">
        <f ca="1">典型户型修正!S62</f>
        <v>226</v>
      </c>
    </row>
    <row r="41" spans="1:8">
      <c r="A41" s="2974">
        <v>40</v>
      </c>
      <c r="B41" s="2976" t="s">
        <v>3300</v>
      </c>
      <c r="C41" s="2974" t="s">
        <v>3203</v>
      </c>
      <c r="D41" s="2974" t="s">
        <v>3204</v>
      </c>
      <c r="E41" s="2974">
        <v>130.24</v>
      </c>
      <c r="F41" s="2974">
        <v>6.6</v>
      </c>
      <c r="G41" s="2971">
        <f ca="1">典型户型修正!R63</f>
        <v>17323</v>
      </c>
      <c r="H41" s="2971">
        <f ca="1">典型户型修正!S63</f>
        <v>226</v>
      </c>
    </row>
    <row r="42" spans="1:8">
      <c r="A42" s="2974">
        <v>41</v>
      </c>
      <c r="B42" s="2976" t="s">
        <v>3301</v>
      </c>
      <c r="C42" s="2974" t="s">
        <v>3205</v>
      </c>
      <c r="D42" s="2974" t="s">
        <v>3206</v>
      </c>
      <c r="E42" s="2974">
        <v>222.65</v>
      </c>
      <c r="F42" s="2974">
        <v>11.28</v>
      </c>
      <c r="G42" s="2971">
        <f ca="1">典型户型修正!R64</f>
        <v>17150</v>
      </c>
      <c r="H42" s="2971">
        <f ca="1">典型户型修正!S64</f>
        <v>382</v>
      </c>
    </row>
    <row r="43" spans="1:8">
      <c r="A43" s="2974">
        <v>42</v>
      </c>
      <c r="B43" s="2976" t="s">
        <v>3302</v>
      </c>
      <c r="C43" s="2974" t="s">
        <v>3207</v>
      </c>
      <c r="D43" s="2974" t="s">
        <v>3208</v>
      </c>
      <c r="E43" s="2974">
        <v>59.59</v>
      </c>
      <c r="F43" s="2974">
        <v>3.02</v>
      </c>
      <c r="G43" s="2971">
        <f ca="1">典型户型修正!R65</f>
        <v>17496</v>
      </c>
      <c r="H43" s="2971">
        <f ca="1">典型户型修正!S65</f>
        <v>104</v>
      </c>
    </row>
    <row r="44" spans="1:8">
      <c r="A44" s="2974">
        <v>43</v>
      </c>
      <c r="B44" s="2976" t="s">
        <v>3303</v>
      </c>
      <c r="C44" s="2974" t="s">
        <v>3209</v>
      </c>
      <c r="D44" s="2974" t="s">
        <v>3210</v>
      </c>
      <c r="E44" s="2974">
        <v>167.21</v>
      </c>
      <c r="F44" s="2974">
        <v>8.4700000000000006</v>
      </c>
      <c r="G44" s="2971">
        <f ca="1">典型户型修正!R66</f>
        <v>17323</v>
      </c>
      <c r="H44" s="2971">
        <f ca="1">典型户型修正!S66</f>
        <v>290</v>
      </c>
    </row>
    <row r="45" spans="1:8">
      <c r="A45" s="2974">
        <v>44</v>
      </c>
      <c r="B45" s="2976" t="s">
        <v>3304</v>
      </c>
      <c r="C45" s="2974" t="s">
        <v>3211</v>
      </c>
      <c r="D45" s="2974" t="s">
        <v>3212</v>
      </c>
      <c r="E45" s="2974">
        <v>164.82</v>
      </c>
      <c r="F45" s="2974">
        <v>8.35</v>
      </c>
      <c r="G45" s="2971">
        <f ca="1">典型户型修正!R67</f>
        <v>17323</v>
      </c>
      <c r="H45" s="2971">
        <f ca="1">典型户型修正!S67</f>
        <v>286</v>
      </c>
    </row>
    <row r="46" spans="1:8">
      <c r="A46" s="2974">
        <v>45</v>
      </c>
      <c r="B46" s="2976" t="s">
        <v>3305</v>
      </c>
      <c r="C46" s="2974" t="s">
        <v>3213</v>
      </c>
      <c r="D46" s="2974" t="s">
        <v>3214</v>
      </c>
      <c r="E46" s="2974">
        <v>229.38</v>
      </c>
      <c r="F46" s="2974">
        <v>11.62</v>
      </c>
      <c r="G46" s="2971">
        <f ca="1">典型户型修正!R68</f>
        <v>17150</v>
      </c>
      <c r="H46" s="2971">
        <f ca="1">典型户型修正!S68</f>
        <v>393</v>
      </c>
    </row>
    <row r="47" spans="1:8">
      <c r="A47" s="2974">
        <v>46</v>
      </c>
      <c r="B47" s="2976" t="s">
        <v>3306</v>
      </c>
      <c r="C47" s="2974" t="s">
        <v>3215</v>
      </c>
      <c r="D47" s="2974" t="s">
        <v>3216</v>
      </c>
      <c r="E47" s="2974">
        <v>107.51</v>
      </c>
      <c r="F47" s="2974">
        <v>5.45</v>
      </c>
      <c r="G47" s="2971">
        <f ca="1">典型户型修正!R69</f>
        <v>17323</v>
      </c>
      <c r="H47" s="2971">
        <f ca="1">典型户型修正!S69</f>
        <v>186</v>
      </c>
    </row>
    <row r="48" spans="1:8">
      <c r="A48" s="2974">
        <v>47</v>
      </c>
      <c r="B48" s="2976" t="s">
        <v>3307</v>
      </c>
      <c r="C48" s="2974" t="s">
        <v>3217</v>
      </c>
      <c r="D48" s="2974" t="s">
        <v>3218</v>
      </c>
      <c r="E48" s="2974">
        <v>133.87</v>
      </c>
      <c r="F48" s="2974">
        <v>6.78</v>
      </c>
      <c r="G48" s="2971">
        <f ca="1">典型户型修正!R70</f>
        <v>17323</v>
      </c>
      <c r="H48" s="2971">
        <f ca="1">典型户型修正!S70</f>
        <v>232</v>
      </c>
    </row>
    <row r="49" spans="1:8">
      <c r="A49" s="2974">
        <v>48</v>
      </c>
      <c r="B49" s="2976" t="s">
        <v>3308</v>
      </c>
      <c r="C49" s="2974" t="s">
        <v>3219</v>
      </c>
      <c r="D49" s="2974" t="s">
        <v>3220</v>
      </c>
      <c r="E49" s="2974">
        <v>130.24</v>
      </c>
      <c r="F49" s="2974">
        <v>6.6</v>
      </c>
      <c r="G49" s="2971">
        <f ca="1">典型户型修正!R71</f>
        <v>17323</v>
      </c>
      <c r="H49" s="2971">
        <f ca="1">典型户型修正!S71</f>
        <v>226</v>
      </c>
    </row>
    <row r="50" spans="1:8">
      <c r="A50" s="2974">
        <v>49</v>
      </c>
      <c r="B50" s="2976" t="s">
        <v>3309</v>
      </c>
      <c r="C50" s="2974" t="s">
        <v>3221</v>
      </c>
      <c r="D50" s="2974" t="s">
        <v>3222</v>
      </c>
      <c r="E50" s="2974">
        <v>130.24</v>
      </c>
      <c r="F50" s="2974">
        <v>6.6</v>
      </c>
      <c r="G50" s="2971">
        <f ca="1">典型户型修正!R72</f>
        <v>17323</v>
      </c>
      <c r="H50" s="2971">
        <f ca="1">典型户型修正!S72</f>
        <v>226</v>
      </c>
    </row>
    <row r="51" spans="1:8">
      <c r="A51" s="2974">
        <v>50</v>
      </c>
      <c r="B51" s="2976" t="s">
        <v>3310</v>
      </c>
      <c r="C51" s="2974" t="s">
        <v>3223</v>
      </c>
      <c r="D51" s="2974" t="s">
        <v>3224</v>
      </c>
      <c r="E51" s="2974">
        <v>222.65</v>
      </c>
      <c r="F51" s="2974">
        <v>11.28</v>
      </c>
      <c r="G51" s="2971">
        <f ca="1">典型户型修正!R73</f>
        <v>17150</v>
      </c>
      <c r="H51" s="2971">
        <f ca="1">典型户型修正!S73</f>
        <v>382</v>
      </c>
    </row>
    <row r="52" spans="1:8">
      <c r="A52" s="2974">
        <v>51</v>
      </c>
      <c r="B52" s="2976" t="s">
        <v>3311</v>
      </c>
      <c r="C52" s="2974" t="s">
        <v>3225</v>
      </c>
      <c r="D52" s="2974" t="s">
        <v>3226</v>
      </c>
      <c r="E52" s="2974">
        <v>59.59</v>
      </c>
      <c r="F52" s="2974">
        <v>3.02</v>
      </c>
      <c r="G52" s="2971">
        <f ca="1">典型户型修正!R74</f>
        <v>17496</v>
      </c>
      <c r="H52" s="2971">
        <f ca="1">典型户型修正!S74</f>
        <v>104</v>
      </c>
    </row>
    <row r="53" spans="1:8">
      <c r="A53" s="2974">
        <v>52</v>
      </c>
      <c r="B53" s="2976" t="s">
        <v>3312</v>
      </c>
      <c r="C53" s="2974" t="s">
        <v>3227</v>
      </c>
      <c r="D53" s="2974" t="s">
        <v>3228</v>
      </c>
      <c r="E53" s="2974">
        <v>167.21</v>
      </c>
      <c r="F53" s="2974">
        <v>8.4700000000000006</v>
      </c>
      <c r="G53" s="2971">
        <f ca="1">典型户型修正!R75</f>
        <v>17323</v>
      </c>
      <c r="H53" s="2971">
        <f ca="1">典型户型修正!S75</f>
        <v>290</v>
      </c>
    </row>
    <row r="54" spans="1:8">
      <c r="A54" s="2974">
        <v>53</v>
      </c>
      <c r="B54" s="2976" t="s">
        <v>3313</v>
      </c>
      <c r="C54" s="2974" t="s">
        <v>3229</v>
      </c>
      <c r="D54" s="2974" t="s">
        <v>3230</v>
      </c>
      <c r="E54" s="2974">
        <v>164.82</v>
      </c>
      <c r="F54" s="2974">
        <v>8.35</v>
      </c>
      <c r="G54" s="2971">
        <f ca="1">典型户型修正!R76</f>
        <v>17323</v>
      </c>
      <c r="H54" s="2971">
        <f ca="1">典型户型修正!S76</f>
        <v>286</v>
      </c>
    </row>
    <row r="55" spans="1:8">
      <c r="A55" s="2974">
        <v>54</v>
      </c>
      <c r="B55" s="2976" t="s">
        <v>3314</v>
      </c>
      <c r="C55" s="2974" t="s">
        <v>3231</v>
      </c>
      <c r="D55" s="2974" t="s">
        <v>3232</v>
      </c>
      <c r="E55" s="2974">
        <v>229.38</v>
      </c>
      <c r="F55" s="2974">
        <v>11.62</v>
      </c>
      <c r="G55" s="2971">
        <f ca="1">典型户型修正!R77</f>
        <v>17150</v>
      </c>
      <c r="H55" s="2971">
        <f ca="1">典型户型修正!S77</f>
        <v>393</v>
      </c>
    </row>
    <row r="56" spans="1:8" s="2982" customFormat="1">
      <c r="A56" s="2980">
        <v>55</v>
      </c>
      <c r="B56" s="2981" t="s">
        <v>3315</v>
      </c>
      <c r="C56" s="2980" t="s">
        <v>3233</v>
      </c>
      <c r="D56" s="2980" t="s">
        <v>3333</v>
      </c>
      <c r="E56" s="2980">
        <v>107.51</v>
      </c>
      <c r="F56" s="2980">
        <v>5.45</v>
      </c>
      <c r="G56" s="2971">
        <f ca="1">典型户型修正!R78</f>
        <v>17323</v>
      </c>
      <c r="H56" s="2971">
        <f ca="1">典型户型修正!S78</f>
        <v>186</v>
      </c>
    </row>
    <row r="57" spans="1:8" s="2982" customFormat="1">
      <c r="A57" s="2980">
        <v>56</v>
      </c>
      <c r="B57" s="2981" t="s">
        <v>3316</v>
      </c>
      <c r="C57" s="2980" t="s">
        <v>3234</v>
      </c>
      <c r="D57" s="2980" t="s">
        <v>3334</v>
      </c>
      <c r="E57" s="2980">
        <v>105.23</v>
      </c>
      <c r="F57" s="2980">
        <v>5.33</v>
      </c>
      <c r="G57" s="2971">
        <f ca="1">典型户型修正!R79</f>
        <v>17323</v>
      </c>
      <c r="H57" s="2971">
        <f ca="1">典型户型修正!S79</f>
        <v>182</v>
      </c>
    </row>
    <row r="58" spans="1:8">
      <c r="A58" s="2974">
        <v>57</v>
      </c>
      <c r="B58" s="2978" t="s">
        <v>3317</v>
      </c>
      <c r="C58" s="2974" t="s">
        <v>3235</v>
      </c>
      <c r="D58" s="2974" t="s">
        <v>3236</v>
      </c>
      <c r="E58" s="2974">
        <v>102.38</v>
      </c>
      <c r="F58" s="2974">
        <v>5.19</v>
      </c>
      <c r="G58" s="2971">
        <f ca="1">典型户型修正!R80</f>
        <v>17323</v>
      </c>
      <c r="H58" s="2971">
        <f ca="1">典型户型修正!S80</f>
        <v>177</v>
      </c>
    </row>
    <row r="59" spans="1:8" s="2982" customFormat="1">
      <c r="A59" s="2980">
        <v>58</v>
      </c>
      <c r="B59" s="2981" t="s">
        <v>3318</v>
      </c>
      <c r="C59" s="2980" t="s">
        <v>3237</v>
      </c>
      <c r="D59" s="2980" t="s">
        <v>3335</v>
      </c>
      <c r="E59" s="2980">
        <v>102.38</v>
      </c>
      <c r="F59" s="2980">
        <v>5.19</v>
      </c>
      <c r="G59" s="2971">
        <f ca="1">典型户型修正!R81</f>
        <v>17323</v>
      </c>
      <c r="H59" s="2971">
        <f ca="1">典型户型修正!S81</f>
        <v>177</v>
      </c>
    </row>
    <row r="60" spans="1:8" s="2982" customFormat="1">
      <c r="A60" s="2980">
        <v>59</v>
      </c>
      <c r="B60" s="2981" t="s">
        <v>3319</v>
      </c>
      <c r="C60" s="2980" t="s">
        <v>3238</v>
      </c>
      <c r="D60" s="2980" t="s">
        <v>3336</v>
      </c>
      <c r="E60" s="2980">
        <v>222.65</v>
      </c>
      <c r="F60" s="2980">
        <v>11.28</v>
      </c>
      <c r="G60" s="2971">
        <f ca="1">典型户型修正!R82</f>
        <v>17150</v>
      </c>
      <c r="H60" s="2971">
        <f ca="1">典型户型修正!S82</f>
        <v>382</v>
      </c>
    </row>
    <row r="61" spans="1:8">
      <c r="A61" s="2974">
        <v>60</v>
      </c>
      <c r="B61" s="2978" t="s">
        <v>3320</v>
      </c>
      <c r="C61" s="2974" t="s">
        <v>3239</v>
      </c>
      <c r="D61" s="2974" t="s">
        <v>3240</v>
      </c>
      <c r="E61" s="2974">
        <v>59.59</v>
      </c>
      <c r="F61" s="2974">
        <v>3.02</v>
      </c>
      <c r="G61" s="2971">
        <f ca="1">典型户型修正!R83</f>
        <v>17496</v>
      </c>
      <c r="H61" s="2971">
        <f ca="1">典型户型修正!S83</f>
        <v>104</v>
      </c>
    </row>
    <row r="62" spans="1:8">
      <c r="A62" s="2974">
        <v>61</v>
      </c>
      <c r="B62" s="2978" t="s">
        <v>3321</v>
      </c>
      <c r="C62" s="2974" t="s">
        <v>3241</v>
      </c>
      <c r="D62" s="2974" t="s">
        <v>3242</v>
      </c>
      <c r="E62" s="2974">
        <v>167.21</v>
      </c>
      <c r="F62" s="2974">
        <v>8.4700000000000006</v>
      </c>
      <c r="G62" s="2971">
        <f ca="1">典型户型修正!R84</f>
        <v>17323</v>
      </c>
      <c r="H62" s="2971">
        <f ca="1">典型户型修正!S84</f>
        <v>290</v>
      </c>
    </row>
    <row r="63" spans="1:8">
      <c r="A63" s="2974">
        <v>62</v>
      </c>
      <c r="B63" s="2978" t="s">
        <v>3322</v>
      </c>
      <c r="C63" s="2974" t="s">
        <v>3243</v>
      </c>
      <c r="D63" s="2974" t="s">
        <v>3244</v>
      </c>
      <c r="E63" s="2974">
        <v>136.03</v>
      </c>
      <c r="F63" s="2974">
        <v>6.89</v>
      </c>
      <c r="G63" s="2971">
        <f ca="1">典型户型修正!R85</f>
        <v>17323</v>
      </c>
      <c r="H63" s="2971">
        <f ca="1">典型户型修正!S85</f>
        <v>236</v>
      </c>
    </row>
    <row r="64" spans="1:8">
      <c r="A64" s="2974">
        <v>63</v>
      </c>
      <c r="B64" s="2978" t="s">
        <v>3323</v>
      </c>
      <c r="C64" s="2974" t="s">
        <v>3245</v>
      </c>
      <c r="D64" s="2974" t="s">
        <v>3246</v>
      </c>
      <c r="E64" s="2974">
        <v>180.32</v>
      </c>
      <c r="F64" s="2974">
        <v>9.1300000000000008</v>
      </c>
      <c r="G64" s="2971">
        <f ca="1">典型户型修正!R86</f>
        <v>17323</v>
      </c>
      <c r="H64" s="2971">
        <f ca="1">典型户型修正!S86</f>
        <v>312</v>
      </c>
    </row>
    <row r="65" spans="1:8">
      <c r="A65" s="2974">
        <v>64</v>
      </c>
      <c r="B65" s="2976" t="s">
        <v>3324</v>
      </c>
      <c r="C65" s="2974" t="s">
        <v>3247</v>
      </c>
      <c r="D65" s="2974" t="s">
        <v>3248</v>
      </c>
      <c r="E65" s="2974">
        <v>591.41999999999996</v>
      </c>
      <c r="F65" s="2974">
        <v>29.96</v>
      </c>
      <c r="G65" s="2971">
        <f ca="1">典型户型修正!R87</f>
        <v>16630</v>
      </c>
      <c r="H65" s="2971">
        <f ca="1">典型户型修正!S87</f>
        <v>984</v>
      </c>
    </row>
    <row r="66" spans="1:8">
      <c r="A66" s="2974">
        <v>65</v>
      </c>
      <c r="B66" s="2976" t="s">
        <v>3325</v>
      </c>
      <c r="C66" s="2974" t="s">
        <v>3249</v>
      </c>
      <c r="D66" s="2974" t="s">
        <v>3250</v>
      </c>
      <c r="E66" s="2974">
        <v>169.56</v>
      </c>
      <c r="F66" s="2974">
        <v>8.59</v>
      </c>
      <c r="G66" s="2971">
        <f ca="1">典型户型修正!R88</f>
        <v>17323</v>
      </c>
      <c r="H66" s="2971">
        <f ca="1">典型户型修正!S88</f>
        <v>294</v>
      </c>
    </row>
    <row r="67" spans="1:8">
      <c r="A67" s="2974">
        <v>66</v>
      </c>
      <c r="B67" s="2976" t="s">
        <v>3326</v>
      </c>
      <c r="C67" s="2974" t="s">
        <v>3251</v>
      </c>
      <c r="D67" s="2974" t="s">
        <v>3252</v>
      </c>
      <c r="E67" s="2974">
        <v>99.82</v>
      </c>
      <c r="F67" s="2974">
        <v>5.0599999999999996</v>
      </c>
      <c r="G67" s="2971">
        <f ca="1">典型户型修正!R89</f>
        <v>17496</v>
      </c>
      <c r="H67" s="2971">
        <f ca="1">典型户型修正!S89</f>
        <v>175</v>
      </c>
    </row>
    <row r="68" spans="1:8">
      <c r="A68" s="2974">
        <v>67</v>
      </c>
      <c r="B68" s="2976" t="s">
        <v>3327</v>
      </c>
      <c r="C68" s="2974" t="s">
        <v>3253</v>
      </c>
      <c r="D68" s="2974" t="s">
        <v>3254</v>
      </c>
      <c r="E68" s="2974">
        <v>59.59</v>
      </c>
      <c r="F68" s="2974">
        <v>3.02</v>
      </c>
      <c r="G68" s="2971">
        <f ca="1">典型户型修正!R90</f>
        <v>17496</v>
      </c>
      <c r="H68" s="2971">
        <f ca="1">典型户型修正!S90</f>
        <v>104</v>
      </c>
    </row>
    <row r="69" spans="1:8">
      <c r="A69" s="2974">
        <v>68</v>
      </c>
      <c r="B69" s="2976" t="s">
        <v>3328</v>
      </c>
      <c r="C69" s="2974" t="s">
        <v>3255</v>
      </c>
      <c r="D69" s="2974" t="s">
        <v>3256</v>
      </c>
      <c r="E69" s="2974">
        <v>167.21</v>
      </c>
      <c r="F69" s="2974">
        <v>8.4700000000000006</v>
      </c>
      <c r="G69" s="2971">
        <f ca="1">典型户型修正!R91</f>
        <v>17323</v>
      </c>
      <c r="H69" s="2971">
        <f ca="1">典型户型修正!S91</f>
        <v>290</v>
      </c>
    </row>
    <row r="70" spans="1:8">
      <c r="A70" s="2974">
        <v>69</v>
      </c>
      <c r="B70" s="2976" t="s">
        <v>3329</v>
      </c>
      <c r="C70" s="2974" t="s">
        <v>3257</v>
      </c>
      <c r="D70" s="2974" t="s">
        <v>3258</v>
      </c>
      <c r="E70" s="2974">
        <v>340.23</v>
      </c>
      <c r="F70" s="2974">
        <v>17.23</v>
      </c>
      <c r="G70" s="2971">
        <f ca="1">典型户型修正!R92</f>
        <v>16977</v>
      </c>
      <c r="H70" s="2971">
        <f ca="1">典型户型修正!S92</f>
        <v>578</v>
      </c>
    </row>
    <row r="71" spans="1:8">
      <c r="A71" s="3310" t="s">
        <v>3332</v>
      </c>
      <c r="B71" s="3311"/>
      <c r="C71" s="3311"/>
      <c r="D71" s="3312"/>
      <c r="E71" s="2974">
        <f>SUM(E2:E70)</f>
        <v>10684.189999999995</v>
      </c>
      <c r="F71" s="2974">
        <f>SUM(F2:F70)</f>
        <v>541.29999999999984</v>
      </c>
      <c r="G71" s="2974"/>
      <c r="H71" s="2974">
        <f ca="1">SUM(H2:H70)</f>
        <v>18421</v>
      </c>
    </row>
    <row r="72" spans="1:8">
      <c r="E72" s="2975">
        <v>10946.92</v>
      </c>
      <c r="H72">
        <v>18496</v>
      </c>
    </row>
    <row r="73" spans="1:8">
      <c r="E73" s="2975">
        <f>E72-E71</f>
        <v>262.73000000000502</v>
      </c>
      <c r="H73">
        <f ca="1">H72-H71</f>
        <v>75</v>
      </c>
    </row>
    <row r="99" spans="4:4">
      <c r="D99" s="2975" t="s">
        <v>3259</v>
      </c>
    </row>
  </sheetData>
  <mergeCells count="1">
    <mergeCell ref="A71:D7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估价结果一览表</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房地产市场价值</v>
      </c>
      <c r="I2" s="2995"/>
    </row>
    <row r="3" spans="1:9" ht="15">
      <c r="A3" s="2996"/>
      <c r="B3" s="2996"/>
      <c r="C3" s="2996"/>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107.51</v>
      </c>
      <c r="C4" s="1047">
        <f>项目基本情况!C18</f>
        <v>5.45</v>
      </c>
      <c r="D4" s="1047">
        <f ca="1">结果表!D118</f>
        <v>106</v>
      </c>
      <c r="E4" s="1047">
        <f ca="1">结果表!E118</f>
        <v>9860</v>
      </c>
      <c r="F4" s="1047">
        <f ca="1">结果表!F118</f>
        <v>80</v>
      </c>
      <c r="G4" s="1047">
        <f ca="1">结果表!G118</f>
        <v>7441</v>
      </c>
      <c r="H4" s="1047">
        <f ca="1">结果表!H118</f>
        <v>186</v>
      </c>
      <c r="I4" s="1047">
        <f ca="1">结果表!I118</f>
        <v>17301</v>
      </c>
    </row>
    <row r="5" spans="1:9" ht="30" customHeight="1">
      <c r="A5" s="2996" t="s">
        <v>1640</v>
      </c>
      <c r="B5" s="2996"/>
      <c r="C5" s="2996"/>
      <c r="D5" s="2997" t="str">
        <f ca="1">结果表!D119</f>
        <v>壹佰零陆万元整</v>
      </c>
      <c r="E5" s="2997"/>
      <c r="F5" s="2997" t="str">
        <f ca="1">结果表!F119</f>
        <v>捌拾万元整</v>
      </c>
      <c r="G5" s="2997"/>
      <c r="H5" s="2997" t="str">
        <f ca="1">结果表!H119</f>
        <v>壹佰捌拾陆万元整</v>
      </c>
      <c r="I5" s="2997"/>
    </row>
    <row r="6" spans="1:9" ht="15.75">
      <c r="A6" s="2998" t="str">
        <f>结果表!A120</f>
        <v/>
      </c>
      <c r="B6" s="2998"/>
      <c r="C6" s="2998"/>
      <c r="D6" s="2998">
        <f>结果表!D120</f>
        <v>0</v>
      </c>
      <c r="E6" s="2998"/>
      <c r="F6" s="2998"/>
      <c r="G6" s="2998"/>
      <c r="H6" s="2998"/>
      <c r="I6" s="2998"/>
    </row>
    <row r="7" spans="1:9" ht="15">
      <c r="A7" s="2996" t="s">
        <v>1640</v>
      </c>
      <c r="B7" s="2996"/>
      <c r="C7" s="2996"/>
      <c r="D7" s="2999" t="str">
        <f>结果表!D121</f>
        <v>零元整</v>
      </c>
      <c r="E7" s="3000"/>
      <c r="F7" s="3000"/>
      <c r="G7" s="3000"/>
      <c r="H7" s="3000"/>
      <c r="I7" s="3001"/>
    </row>
    <row r="8" spans="1:9" ht="15.75">
      <c r="A8" s="2998" t="str">
        <f>结果表!A122</f>
        <v/>
      </c>
      <c r="B8" s="2998"/>
      <c r="C8" s="2998"/>
      <c r="D8" s="2998">
        <f ca="1">结果表!D122</f>
        <v>186</v>
      </c>
      <c r="E8" s="2998"/>
      <c r="F8" s="2998"/>
      <c r="G8" s="2998"/>
      <c r="H8" s="2998"/>
      <c r="I8" s="2998"/>
    </row>
    <row r="9" spans="1:9" ht="15">
      <c r="A9" s="2996" t="s">
        <v>1640</v>
      </c>
      <c r="B9" s="2996"/>
      <c r="C9" s="2996"/>
      <c r="D9" s="2997" t="str">
        <f ca="1">结果表!D123</f>
        <v>壹佰捌拾陆万元整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1640</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1640</v>
      </c>
      <c r="B13" s="3002"/>
      <c r="C13" s="3002"/>
      <c r="D13" s="3003" t="e">
        <f>结果表!D127</f>
        <v>#VALUE!</v>
      </c>
      <c r="E13" s="3003"/>
      <c r="F13" s="3003"/>
      <c r="G13" s="3003"/>
      <c r="H13" s="3003"/>
      <c r="I13" s="3003"/>
    </row>
    <row r="14" spans="1:9" ht="15" thickTop="1">
      <c r="A14" s="3004" t="s">
        <v>1645</v>
      </c>
      <c r="B14" s="3004"/>
      <c r="C14" s="3004"/>
      <c r="D14" s="3004"/>
      <c r="E14" s="3004"/>
      <c r="F14" s="3004"/>
      <c r="G14" s="3004"/>
      <c r="H14" s="3004"/>
      <c r="I14" s="300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5" t="s">
        <v>1662</v>
      </c>
      <c r="B1" s="3005"/>
      <c r="C1" s="3005"/>
      <c r="D1" s="3005"/>
    </row>
    <row r="2" spans="1:4" ht="18">
      <c r="A2" s="3006" t="s">
        <v>1646</v>
      </c>
      <c r="B2" s="3006"/>
      <c r="C2" s="3006"/>
      <c r="D2" s="3006"/>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6" t="s">
        <v>1652</v>
      </c>
      <c r="B6" s="3006"/>
      <c r="C6" s="3006"/>
      <c r="D6" s="3006"/>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7"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9"/>
      <c r="C12" s="3009"/>
      <c r="D12" s="3009"/>
    </row>
    <row r="13" spans="1:4" ht="30" customHeight="1">
      <c r="A13" s="3008" t="str">
        <f>IF(项目基本情况!B8="抵押","3.抵押双方在办理抵押登记手续时，应使用本公司出具的正式《房地产评估报告》，特提醒报告使用者注意。","——")</f>
        <v>——</v>
      </c>
      <c r="B13" s="3009"/>
      <c r="C13" s="3009"/>
      <c r="D13" s="3009"/>
    </row>
    <row r="14" spans="1:4" ht="15.75" customHeight="1">
      <c r="A14" s="3008" t="str">
        <f>IF(项目基本情况!B8="抵押","4.本次评估估价师所知悉的法定优先受偿款情况说明如下：","——")</f>
        <v>——</v>
      </c>
      <c r="B14" s="3009"/>
      <c r="C14" s="3009"/>
      <c r="D14" s="3009"/>
    </row>
    <row r="15" spans="1:4" ht="42" customHeight="1">
      <c r="A15" s="3008" t="str">
        <f>IF(项目基本情况!B8="抵押","（1）"&amp;CONCATENATE(项目基本情况!L20,项目基本情况!L21,项目基本情况!L22),"——")</f>
        <v>——</v>
      </c>
      <c r="B15" s="3008"/>
      <c r="C15" s="3008"/>
      <c r="D15" s="3008"/>
    </row>
    <row r="16" spans="1:4" ht="30" customHeight="1">
      <c r="A16" s="3011" t="s">
        <v>1656</v>
      </c>
      <c r="B16" s="3011"/>
      <c r="C16" s="3011"/>
      <c r="D16" s="3011"/>
    </row>
    <row r="17" spans="1:4" ht="144" customHeight="1">
      <c r="A17" s="3011" t="s">
        <v>1657</v>
      </c>
      <c r="B17" s="3011"/>
      <c r="C17" s="3011"/>
      <c r="D17" s="3011"/>
    </row>
    <row r="18" spans="1:4" ht="15.75" customHeight="1">
      <c r="A18" s="3008" t="str">
        <f>IF(项目基本情况!B8="抵押",结果表!K120,"——")</f>
        <v>——</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9" t="s">
        <v>1669</v>
      </c>
      <c r="B15" s="3014" t="s">
        <v>136</v>
      </c>
      <c r="C15" s="3015"/>
    </row>
    <row r="16" spans="1:7" ht="13.5">
      <c r="A16" s="3020"/>
      <c r="B16" s="3014" t="s">
        <v>69</v>
      </c>
      <c r="C16" s="3015"/>
    </row>
    <row r="17" spans="1:3" ht="13.5">
      <c r="A17" s="3020"/>
      <c r="B17" s="3017" t="s">
        <v>1670</v>
      </c>
      <c r="C17" s="2002" t="s">
        <v>1669</v>
      </c>
    </row>
    <row r="18" spans="1:3" ht="13.5">
      <c r="A18" s="3020"/>
      <c r="B18" s="3017"/>
      <c r="C18" s="2002" t="s">
        <v>1671</v>
      </c>
    </row>
    <row r="19" spans="1:3" ht="13.5">
      <c r="A19" s="3020"/>
      <c r="B19" s="3017"/>
      <c r="C19" s="2002" t="s">
        <v>1672</v>
      </c>
    </row>
    <row r="20" spans="1:3" ht="13.5">
      <c r="A20" s="3021"/>
      <c r="B20" s="3016" t="s">
        <v>1673</v>
      </c>
      <c r="C20" s="3015"/>
    </row>
    <row r="21" spans="1:3" ht="13.5">
      <c r="A21" s="2003" t="s">
        <v>1674</v>
      </c>
      <c r="B21" s="2004"/>
      <c r="C21" s="2005"/>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2" t="s">
        <v>1680</v>
      </c>
    </row>
    <row r="26" spans="1:3" ht="13.5">
      <c r="A26" s="3018"/>
      <c r="B26" s="3017"/>
      <c r="C26" s="2002" t="s">
        <v>1681</v>
      </c>
    </row>
    <row r="27" spans="1:3" ht="13.5">
      <c r="A27" s="3018"/>
      <c r="B27" s="3017"/>
      <c r="C27" s="2002" t="s">
        <v>1682</v>
      </c>
    </row>
    <row r="28" spans="1:3" ht="13.5">
      <c r="A28" s="3018"/>
      <c r="B28" s="3017"/>
      <c r="C28" s="2002" t="s">
        <v>1683</v>
      </c>
    </row>
    <row r="29" spans="1:3" ht="13.5">
      <c r="A29" s="3018"/>
      <c r="B29" s="3017"/>
      <c r="C29" s="2002" t="s">
        <v>1684</v>
      </c>
    </row>
    <row r="30" spans="1:3" ht="13.5">
      <c r="A30" s="3018"/>
      <c r="B30" s="3017"/>
      <c r="C30" s="2002" t="s">
        <v>1685</v>
      </c>
    </row>
    <row r="31" spans="1:3" ht="13.5">
      <c r="A31" s="3018"/>
      <c r="B31" s="3017"/>
      <c r="C31" s="2002" t="s">
        <v>1686</v>
      </c>
    </row>
    <row r="32" spans="1:3" ht="13.5">
      <c r="A32" s="3018"/>
      <c r="B32" s="3017"/>
      <c r="C32" s="2002" t="s">
        <v>1687</v>
      </c>
    </row>
    <row r="33" spans="1:3" ht="13.5">
      <c r="A33" s="3018"/>
      <c r="B33" s="301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43521</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3048</v>
      </c>
      <c r="B12" s="1025">
        <v>1120110054</v>
      </c>
      <c r="C12" s="2940">
        <v>43937</v>
      </c>
      <c r="D12" s="1704" t="s">
        <v>3048</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22" t="s">
        <v>846</v>
      </c>
      <c r="B25" s="3022"/>
      <c r="C25" s="3022"/>
      <c r="D25" s="3022"/>
      <c r="E25" s="3022"/>
      <c r="F25" s="3022"/>
      <c r="G25" s="3022"/>
    </row>
    <row r="26" spans="1:7" s="1028" customFormat="1" ht="24" customHeight="1">
      <c r="A26" s="3023" t="s">
        <v>847</v>
      </c>
      <c r="B26" s="3023"/>
      <c r="C26" s="3024"/>
      <c r="D26" s="3025" t="s">
        <v>848</v>
      </c>
      <c r="E26" s="3023"/>
      <c r="F26" s="3023"/>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2019-02-25T06:07:49Z</dcterms:modified>
</cp:coreProperties>
</file>