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年期修正系数"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0" i="77" l="1"/>
  <c r="P20" i="77"/>
  <c r="N20" i="77"/>
  <c r="I5" i="40"/>
  <c r="G5" i="40"/>
  <c r="E5" i="40"/>
  <c r="I7" i="40"/>
  <c r="I41" i="40"/>
  <c r="P12" i="77"/>
  <c r="I34" i="40"/>
  <c r="G41" i="40"/>
  <c r="E41" i="40"/>
  <c r="G34" i="40"/>
  <c r="E34" i="40"/>
  <c r="E66" i="40"/>
  <c r="F66" i="40" s="1"/>
  <c r="D66" i="40"/>
  <c r="G7" i="40"/>
  <c r="E7" i="40"/>
  <c r="Q19" i="77"/>
  <c r="Q18" i="77"/>
  <c r="P19" i="77"/>
  <c r="P18" i="77"/>
  <c r="N19" i="77"/>
  <c r="N18" i="77"/>
  <c r="N3" i="77"/>
  <c r="N4" i="77"/>
  <c r="N5" i="77"/>
  <c r="N6" i="77"/>
  <c r="N7" i="77"/>
  <c r="N8" i="77"/>
  <c r="N9" i="77"/>
  <c r="N10" i="77"/>
  <c r="N11" i="77"/>
  <c r="N12" i="77"/>
  <c r="N13" i="77"/>
  <c r="N14" i="77"/>
  <c r="N15" i="77"/>
  <c r="N16" i="77"/>
  <c r="N2" i="77"/>
  <c r="B12" i="78"/>
  <c r="B4" i="78"/>
  <c r="B1" i="78"/>
  <c r="C5" i="78" s="1"/>
  <c r="D5" i="78" s="1"/>
  <c r="F10" i="78"/>
  <c r="F9" i="78"/>
  <c r="C4" i="78"/>
  <c r="D4" i="78" s="1"/>
  <c r="C34" i="40"/>
  <c r="C10" i="40"/>
  <c r="G19" i="6"/>
  <c r="F19" i="6"/>
  <c r="AT23" i="3"/>
  <c r="AT22" i="3"/>
  <c r="AT27" i="3" s="1"/>
  <c r="M27" i="3" s="1"/>
  <c r="A3" i="3"/>
  <c r="C16" i="78" l="1"/>
  <c r="C13" i="78"/>
  <c r="C3" i="78"/>
  <c r="D3" i="78" s="1"/>
  <c r="B13" i="78"/>
  <c r="B16" i="78"/>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S5" i="3" s="1"/>
  <c r="F28" i="6" s="1"/>
  <c r="BR32" i="3"/>
  <c r="BQ32" i="3"/>
  <c r="BP32" i="3"/>
  <c r="BO32" i="3"/>
  <c r="BO5" i="3" s="1"/>
  <c r="BN32" i="3"/>
  <c r="BM32" i="3"/>
  <c r="BL32" i="3" s="1"/>
  <c r="BK32" i="3"/>
  <c r="BK5" i="3" s="1"/>
  <c r="BJ32" i="3"/>
  <c r="BI32" i="3"/>
  <c r="BH32" i="3"/>
  <c r="BG32" i="3"/>
  <c r="BG5" i="3" s="1"/>
  <c r="BF32" i="3"/>
  <c r="BE32" i="3"/>
  <c r="BD32" i="3"/>
  <c r="BC32" i="3"/>
  <c r="BC5" i="3" s="1"/>
  <c r="BB32" i="3"/>
  <c r="BA32" i="3"/>
  <c r="AZ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c r="J13" i="40"/>
  <c r="W13" i="40"/>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4"/>
  <c r="C7" i="36"/>
  <c r="C46" i="36" s="1"/>
  <c r="A118" i="9"/>
  <c r="A4" i="52"/>
  <c r="B41" i="72"/>
  <c r="J11" i="39"/>
  <c r="W11" i="39"/>
  <c r="F11" i="39"/>
  <c r="AA11" i="39"/>
  <c r="A12" i="52"/>
  <c r="B56" i="72" s="1"/>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49" i="3"/>
  <c r="AZ506" i="3"/>
  <c r="AZ496" i="3"/>
  <c r="G548" i="3"/>
  <c r="G538" i="3"/>
  <c r="G520" i="3"/>
  <c r="G502" i="3"/>
  <c r="BP5" i="3"/>
  <c r="G29" i="6" s="1"/>
  <c r="BN5" i="3"/>
  <c r="AZ343" i="3"/>
  <c r="BI5" i="3"/>
  <c r="BE5" i="3"/>
  <c r="G17" i="3"/>
  <c r="BA17" i="3"/>
  <c r="BT5" i="3"/>
  <c r="AZ350" i="3"/>
  <c r="AZ352" i="3"/>
  <c r="AZ356" i="3"/>
  <c r="AZ360" i="3"/>
  <c r="AZ364" i="3"/>
  <c r="AZ368" i="3"/>
  <c r="BA15" i="3"/>
  <c r="BB5" i="3"/>
  <c r="E12" i="6" s="1"/>
  <c r="E57" i="40" s="1"/>
  <c r="BR5" i="3"/>
  <c r="AZ380" i="3"/>
  <c r="AZ384" i="3"/>
  <c r="AZ388" i="3"/>
  <c r="AZ392" i="3"/>
  <c r="AZ396" i="3"/>
  <c r="AZ394" i="3"/>
  <c r="AZ499" i="3"/>
  <c r="AZ509" i="3"/>
  <c r="E8" i="6"/>
  <c r="F27" i="6" s="1"/>
  <c r="G509" i="3"/>
  <c r="BL493" i="3"/>
  <c r="AZ491" i="3"/>
  <c r="AZ376" i="3"/>
  <c r="AZ390" i="3"/>
  <c r="AZ382" i="3"/>
  <c r="AZ493" i="3"/>
  <c r="F81" i="43"/>
  <c r="H83" i="43" s="1"/>
  <c r="H113" i="43"/>
  <c r="F48" i="43"/>
  <c r="H52" i="43" s="1"/>
  <c r="F70" i="43"/>
  <c r="H73" i="43" s="1"/>
  <c r="M11" i="43"/>
  <c r="D17" i="43"/>
  <c r="I17"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c r="S31" i="39"/>
  <c r="E98" i="40"/>
  <c r="F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W38" i="40"/>
  <c r="AA32" i="40"/>
  <c r="S17" i="40"/>
  <c r="AC17" i="40"/>
  <c r="AC15" i="40"/>
  <c r="S30" i="40"/>
  <c r="AA19"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D70" i="39" s="1"/>
  <c r="C7" i="35"/>
  <c r="C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C59" i="34"/>
  <c r="D59" i="34"/>
  <c r="E59" i="34" s="1"/>
  <c r="F59" i="34" s="1"/>
  <c r="G59" i="34" s="1"/>
  <c r="H59" i="34" s="1"/>
  <c r="A4" i="51"/>
  <c r="B6" i="72" s="1"/>
  <c r="H66" i="43"/>
  <c r="H65" i="43"/>
  <c r="H64" i="43"/>
  <c r="H63" i="43"/>
  <c r="H55" i="43"/>
  <c r="H56" i="43"/>
  <c r="H72" i="43"/>
  <c r="L20" i="6"/>
  <c r="E51" i="40"/>
  <c r="B6" i="1"/>
  <c r="E6" i="1" s="1"/>
  <c r="S8" i="1"/>
  <c r="AR8" i="1" s="1"/>
  <c r="K11" i="1"/>
  <c r="M11" i="1" s="1"/>
  <c r="O11" i="1" s="1"/>
  <c r="AP6" i="1"/>
  <c r="B9" i="1"/>
  <c r="E9" i="1"/>
  <c r="K7" i="1"/>
  <c r="M7" i="1" s="1"/>
  <c r="O7" i="1" s="1"/>
  <c r="G1" i="15"/>
  <c r="G1" i="69"/>
  <c r="G1" i="67"/>
  <c r="U32" i="40"/>
  <c r="AB31" i="40"/>
  <c r="S37" i="40"/>
  <c r="W34" i="40"/>
  <c r="W19" i="40"/>
  <c r="W2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Q13" i="1"/>
  <c r="AZ13" i="3"/>
  <c r="F32" i="67"/>
  <c r="F60" i="67" s="1"/>
  <c r="T11" i="1"/>
  <c r="AR11"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AD3" i="71"/>
  <c r="D63" i="40"/>
  <c r="D65" i="40" s="1"/>
  <c r="J1" i="73"/>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C70" i="39"/>
  <c r="U7" i="33"/>
  <c r="D58" i="2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E63" i="40"/>
  <c r="E65" i="40" s="1"/>
  <c r="E58" i="21"/>
  <c r="F58" i="21"/>
  <c r="E68" i="39"/>
  <c r="V11" i="71"/>
  <c r="C11" i="71"/>
  <c r="D12" i="71"/>
  <c r="F63" i="40"/>
  <c r="F65" i="40" s="1"/>
  <c r="E41" i="43"/>
  <c r="C41" i="43"/>
  <c r="C20" i="43"/>
  <c r="F68" i="39"/>
  <c r="F70" i="39" s="1"/>
  <c r="E70" i="39"/>
  <c r="I59" i="34"/>
  <c r="J59" i="34" s="1"/>
  <c r="D9" i="71"/>
  <c r="T11" i="71"/>
  <c r="D10" i="71"/>
  <c r="D11" i="71"/>
  <c r="G63" i="40"/>
  <c r="H63" i="40" s="1"/>
  <c r="H65" i="40" s="1"/>
  <c r="G68" i="39"/>
  <c r="G70" i="39" s="1"/>
  <c r="C19" i="43"/>
  <c r="U11" i="71"/>
  <c r="G65" i="40"/>
  <c r="H68" i="39"/>
  <c r="I68" i="39" s="1"/>
  <c r="J68" i="39" s="1"/>
  <c r="K68" i="39" s="1"/>
  <c r="L68" i="39" s="1"/>
  <c r="M68" i="39" s="1"/>
  <c r="N68" i="39" s="1"/>
  <c r="I63" i="40"/>
  <c r="I65" i="40" s="1"/>
  <c r="H70" i="39"/>
  <c r="F7" i="39" s="1"/>
  <c r="S7" i="39" s="1"/>
  <c r="I70" i="39"/>
  <c r="J70" i="39"/>
  <c r="K70" i="39"/>
  <c r="L70" i="39"/>
  <c r="M70" i="39"/>
  <c r="O68" i="39"/>
  <c r="O70" i="39" s="1"/>
  <c r="N70" i="39"/>
  <c r="H7" i="39"/>
  <c r="U7" i="39" s="1"/>
  <c r="M24" i="15"/>
  <c r="F13" i="15"/>
  <c r="M24" i="67"/>
  <c r="F9" i="15"/>
  <c r="C76" i="67"/>
  <c r="D5" i="73"/>
  <c r="E7" i="76"/>
  <c r="F42" i="15"/>
  <c r="F8" i="67"/>
  <c r="B10" i="76"/>
  <c r="F40" i="67"/>
  <c r="D3" i="73"/>
  <c r="AO7" i="1"/>
  <c r="AO10" i="1"/>
  <c r="E11" i="76"/>
  <c r="M28" i="15"/>
  <c r="M6" i="67"/>
  <c r="M8" i="15"/>
  <c r="M29" i="67"/>
  <c r="F36" i="67"/>
  <c r="B13" i="76"/>
  <c r="B12" i="76"/>
  <c r="M21" i="67"/>
  <c r="J15" i="15"/>
  <c r="E12" i="76"/>
  <c r="D2" i="36"/>
  <c r="F40" i="15"/>
  <c r="D2" i="33"/>
  <c r="B11" i="76"/>
  <c r="F42" i="67"/>
  <c r="F7" i="15"/>
  <c r="M27" i="15"/>
  <c r="L47" i="15"/>
  <c r="J15" i="67"/>
  <c r="F26" i="67"/>
  <c r="F8" i="15"/>
  <c r="M6" i="15"/>
  <c r="M26" i="67"/>
  <c r="B7" i="76"/>
  <c r="D2" i="37"/>
  <c r="M28" i="67"/>
  <c r="E2" i="68"/>
  <c r="D2" i="34"/>
  <c r="F37" i="15"/>
  <c r="M22" i="67"/>
  <c r="C76" i="15"/>
  <c r="M29" i="15"/>
  <c r="E2" i="69"/>
  <c r="L48" i="15"/>
  <c r="F3" i="73"/>
  <c r="E9" i="76"/>
  <c r="B9" i="76"/>
  <c r="F7" i="73"/>
  <c r="D2" i="21"/>
  <c r="F6" i="15"/>
  <c r="AO12" i="1"/>
  <c r="L47" i="67"/>
  <c r="F6" i="73"/>
  <c r="F16" i="67"/>
  <c r="F5" i="73"/>
  <c r="M8" i="67"/>
  <c r="F35" i="67"/>
  <c r="D2" i="35"/>
  <c r="M23" i="67"/>
  <c r="D4" i="73"/>
  <c r="L48" i="67"/>
  <c r="M9" i="67"/>
  <c r="F7" i="67"/>
  <c r="F37" i="67"/>
  <c r="AO8" i="1"/>
  <c r="M23" i="15"/>
  <c r="F6" i="67"/>
  <c r="F38" i="67"/>
  <c r="F38" i="15"/>
  <c r="F16" i="15"/>
  <c r="E8" i="76"/>
  <c r="AO13" i="1"/>
  <c r="F43" i="15"/>
  <c r="E10" i="76"/>
  <c r="M27" i="67"/>
  <c r="F13" i="67"/>
  <c r="M22" i="15"/>
  <c r="B8" i="76"/>
  <c r="AO11" i="1"/>
  <c r="F43" i="67"/>
  <c r="F9" i="67"/>
  <c r="M26" i="15"/>
  <c r="F41" i="67"/>
  <c r="D7" i="73"/>
  <c r="F36" i="15"/>
  <c r="E13" i="76"/>
  <c r="F26" i="15"/>
  <c r="D6" i="73"/>
  <c r="F20" i="31"/>
  <c r="F4" i="73"/>
  <c r="M9" i="15"/>
  <c r="AO9" i="1"/>
  <c r="H36" i="40" l="1"/>
  <c r="AB36" i="40" s="1"/>
  <c r="J36" i="40"/>
  <c r="W36" i="40" s="1"/>
  <c r="F113" i="40"/>
  <c r="G113" i="40" s="1"/>
  <c r="H113" i="40" s="1"/>
  <c r="I113" i="40" s="1"/>
  <c r="J113" i="40" s="1"/>
  <c r="K113" i="40" s="1"/>
  <c r="L113" i="40" s="1"/>
  <c r="M113" i="40" s="1"/>
  <c r="F36" i="40"/>
  <c r="H28" i="40"/>
  <c r="U28" i="40" s="1"/>
  <c r="J28" i="40"/>
  <c r="AC28" i="40" s="1"/>
  <c r="F28" i="40"/>
  <c r="G98" i="40"/>
  <c r="H98" i="40" s="1"/>
  <c r="I98" i="40" s="1"/>
  <c r="J98" i="40" s="1"/>
  <c r="K98" i="40" s="1"/>
  <c r="L98" i="40" s="1"/>
  <c r="M98" i="40" s="1"/>
  <c r="J23" i="40"/>
  <c r="F92" i="40"/>
  <c r="G92" i="40" s="1"/>
  <c r="H23" i="40"/>
  <c r="F23" i="40"/>
  <c r="AA23" i="40" s="1"/>
  <c r="AC36" i="40"/>
  <c r="U36" i="40"/>
  <c r="G17" i="43"/>
  <c r="C16" i="43" s="1"/>
  <c r="G76" i="40"/>
  <c r="H76" i="40" s="1"/>
  <c r="I76" i="40" s="1"/>
  <c r="J76" i="40" s="1"/>
  <c r="K76" i="40" s="1"/>
  <c r="L76" i="40" s="1"/>
  <c r="M76" i="40" s="1"/>
  <c r="U25" i="40"/>
  <c r="W25" i="40"/>
  <c r="S25" i="40"/>
  <c r="AB28" i="40"/>
  <c r="AA27" i="40"/>
  <c r="AB27" i="40"/>
  <c r="S23" i="40"/>
  <c r="AC21" i="40"/>
  <c r="W32" i="40"/>
  <c r="AC32" i="40"/>
  <c r="W37" i="40"/>
  <c r="W35" i="40"/>
  <c r="U35" i="40"/>
  <c r="U30" i="40"/>
  <c r="W28" i="40"/>
  <c r="U9" i="40"/>
  <c r="AA9" i="40"/>
  <c r="P61" i="15"/>
  <c r="F54" i="9"/>
  <c r="F28" i="15"/>
  <c r="C28" i="15" s="1"/>
  <c r="F28" i="67"/>
  <c r="C28" i="67" s="1"/>
  <c r="F32" i="15"/>
  <c r="F60" i="15" s="1"/>
  <c r="F52" i="9"/>
  <c r="F30" i="68"/>
  <c r="F48" i="68" s="1"/>
  <c r="C94" i="9"/>
  <c r="C92" i="9"/>
  <c r="D68" i="9"/>
  <c r="M18" i="15"/>
  <c r="F30" i="69"/>
  <c r="C48" i="69" s="1"/>
  <c r="M18" i="67"/>
  <c r="F31" i="12"/>
  <c r="F30" i="11"/>
  <c r="F53" i="9"/>
  <c r="C48" i="68"/>
  <c r="C77" i="9"/>
  <c r="C74" i="9" s="1"/>
  <c r="Q16" i="1"/>
  <c r="F27" i="69" s="1"/>
  <c r="C47" i="69" s="1"/>
  <c r="D45" i="69" s="1"/>
  <c r="E15" i="6"/>
  <c r="E65" i="39" s="1"/>
  <c r="F27" i="11"/>
  <c r="C47" i="11" s="1"/>
  <c r="D45" i="11" s="1"/>
  <c r="E56" i="39"/>
  <c r="L27" i="6"/>
  <c r="G28" i="6"/>
  <c r="E60" i="40"/>
  <c r="E28" i="6"/>
  <c r="AQ7" i="1"/>
  <c r="F27" i="68"/>
  <c r="C29" i="68" s="1"/>
  <c r="D27" i="68" s="1"/>
  <c r="H16" i="1"/>
  <c r="T8" i="1"/>
  <c r="E62" i="39"/>
  <c r="E14" i="6"/>
  <c r="E11" i="6"/>
  <c r="E56" i="40" s="1"/>
  <c r="E10" i="6"/>
  <c r="E13" i="6"/>
  <c r="F29" i="6"/>
  <c r="F30" i="6" s="1"/>
  <c r="F31" i="6" s="1"/>
  <c r="BA21" i="3"/>
  <c r="BA22" i="3"/>
  <c r="AZ22" i="3" s="1"/>
  <c r="BA23" i="3"/>
  <c r="AZ23" i="3" s="1"/>
  <c r="BL28" i="3"/>
  <c r="AZ28" i="3" s="1"/>
  <c r="AZ24" i="3"/>
  <c r="AZ29" i="3"/>
  <c r="BL16" i="3"/>
  <c r="AZ16" i="3" s="1"/>
  <c r="T7" i="1"/>
  <c r="E29" i="6"/>
  <c r="BL5" i="3"/>
  <c r="G30" i="6"/>
  <c r="G31" i="6" s="1"/>
  <c r="C29" i="11"/>
  <c r="D27" i="11" s="1"/>
  <c r="K14" i="1"/>
  <c r="D19" i="12"/>
  <c r="C19" i="12" s="1"/>
  <c r="D9" i="68"/>
  <c r="C9" i="68" s="1"/>
  <c r="G19" i="3"/>
  <c r="G20" i="3"/>
  <c r="G21" i="3"/>
  <c r="G22" i="3"/>
  <c r="G23" i="3"/>
  <c r="G24" i="3"/>
  <c r="G26" i="3"/>
  <c r="G27" i="3"/>
  <c r="G28" i="3"/>
  <c r="G31" i="3"/>
  <c r="G32" i="3"/>
  <c r="AZ15" i="3"/>
  <c r="P7" i="1"/>
  <c r="P11" i="1"/>
  <c r="E64" i="39"/>
  <c r="E59" i="40"/>
  <c r="O12" i="1"/>
  <c r="P12" i="1" s="1"/>
  <c r="O8" i="1"/>
  <c r="D9" i="11"/>
  <c r="C9" i="11" s="1"/>
  <c r="D9" i="69"/>
  <c r="C9" i="69" s="1"/>
  <c r="E61" i="39"/>
  <c r="E16" i="6"/>
  <c r="O9" i="1"/>
  <c r="P9" i="1" s="1"/>
  <c r="T9" i="1"/>
  <c r="AQ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H75" i="43"/>
  <c r="D5" i="43"/>
  <c r="C5" i="43"/>
  <c r="T14" i="43" s="1"/>
  <c r="V14" i="43" s="1"/>
  <c r="H87" i="43"/>
  <c r="H86" i="43"/>
  <c r="F35" i="43"/>
  <c r="F39" i="43"/>
  <c r="F36" i="43"/>
  <c r="T35" i="4"/>
  <c r="A19" i="51" s="1"/>
  <c r="B14" i="72" s="1"/>
  <c r="A15" i="62"/>
  <c r="B61" i="72" s="1"/>
  <c r="G16" i="1"/>
  <c r="J10" i="40" s="1"/>
  <c r="I14" i="74"/>
  <c r="B8" i="74" s="1"/>
  <c r="D127" i="9"/>
  <c r="D13" i="52" s="1"/>
  <c r="D12" i="52"/>
  <c r="D19" i="53"/>
  <c r="J63" i="40"/>
  <c r="J7" i="39"/>
  <c r="W7" i="39" s="1"/>
  <c r="K59" i="34"/>
  <c r="L59" i="34" s="1"/>
  <c r="M59" i="34" s="1"/>
  <c r="N59" i="34" s="1"/>
  <c r="O59" i="34" s="1"/>
  <c r="F7" i="34"/>
  <c r="G52" i="33"/>
  <c r="H52" i="33" s="1"/>
  <c r="G58" i="21"/>
  <c r="H58" i="21" s="1"/>
  <c r="I58" i="21" s="1"/>
  <c r="J58" i="21" s="1"/>
  <c r="K58" i="21" s="1"/>
  <c r="L58" i="21" s="1"/>
  <c r="M58" i="21" s="1"/>
  <c r="N58" i="21" s="1"/>
  <c r="O58" i="21" s="1"/>
  <c r="W7" i="33"/>
  <c r="AC7" i="33"/>
  <c r="V48" i="33" s="1"/>
  <c r="I48" i="33" s="1"/>
  <c r="H7" i="34"/>
  <c r="J7" i="34"/>
  <c r="J7" i="21"/>
  <c r="F7" i="21"/>
  <c r="S7" i="33"/>
  <c r="AA7" i="33"/>
  <c r="R48" i="33" s="1"/>
  <c r="D46" i="36"/>
  <c r="D52" i="37"/>
  <c r="D48" i="35"/>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C7" i="39"/>
  <c r="V47" i="39" s="1"/>
  <c r="I47" i="39" s="1"/>
  <c r="I51" i="39" s="1"/>
  <c r="J51" i="39" s="1"/>
  <c r="AA7" i="39"/>
  <c r="R47" i="39" s="1"/>
  <c r="R48" i="39" s="1"/>
  <c r="AF3" i="71"/>
  <c r="P22" i="43" s="1"/>
  <c r="AB7" i="39"/>
  <c r="T47" i="39" s="1"/>
  <c r="G47" i="39" s="1"/>
  <c r="C34" i="43"/>
  <c r="T10" i="43"/>
  <c r="V10" i="43" s="1"/>
  <c r="C33" i="43"/>
  <c r="T16" i="43"/>
  <c r="V16" i="43" s="1"/>
  <c r="T13" i="43"/>
  <c r="V13" i="43" s="1"/>
  <c r="T8" i="43"/>
  <c r="V8" i="43" s="1"/>
  <c r="C38" i="43"/>
  <c r="G35" i="43"/>
  <c r="I3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4" i="67"/>
  <c r="C17" i="67"/>
  <c r="C16" i="67"/>
  <c r="G1" i="73"/>
  <c r="AA36" i="40" l="1"/>
  <c r="S36" i="40"/>
  <c r="AA28" i="40"/>
  <c r="S28" i="40"/>
  <c r="AB23" i="40"/>
  <c r="U23" i="40"/>
  <c r="AC23" i="40"/>
  <c r="W23" i="40"/>
  <c r="C47" i="68"/>
  <c r="D45" i="68" s="1"/>
  <c r="F45" i="68"/>
  <c r="C30" i="68"/>
  <c r="C48" i="11"/>
  <c r="C30" i="11"/>
  <c r="F48" i="69"/>
  <c r="C30" i="69"/>
  <c r="F45" i="69"/>
  <c r="C29" i="69"/>
  <c r="D27" i="69" s="1"/>
  <c r="F28" i="12"/>
  <c r="C29" i="12" s="1"/>
  <c r="D28" i="12" s="1"/>
  <c r="G37" i="43"/>
  <c r="I37" i="43" s="1"/>
  <c r="AZ21" i="3"/>
  <c r="AZ5" i="3" s="1"/>
  <c r="E3" i="6" s="1"/>
  <c r="BA5" i="3"/>
  <c r="E27" i="6" s="1"/>
  <c r="E58" i="40"/>
  <c r="E63" i="39"/>
  <c r="E66" i="39" s="1"/>
  <c r="K15" i="1"/>
  <c r="K16" i="1" s="1"/>
  <c r="E30" i="6"/>
  <c r="E31" i="6" s="1"/>
  <c r="M14" i="1"/>
  <c r="C34" i="69"/>
  <c r="P8" i="1"/>
  <c r="G5" i="3"/>
  <c r="B3" i="3" s="1"/>
  <c r="E27" i="3" s="1"/>
  <c r="L109" i="43"/>
  <c r="L102" i="43"/>
  <c r="L105" i="43"/>
  <c r="L104" i="43"/>
  <c r="L106" i="43"/>
  <c r="L107" i="43"/>
  <c r="L103"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D22"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G36" i="43"/>
  <c r="I36" i="43" s="1"/>
  <c r="J10" i="39"/>
  <c r="AC10" i="39" s="1"/>
  <c r="E47" i="39"/>
  <c r="E51" i="39" s="1"/>
  <c r="F51" i="39" s="1"/>
  <c r="H10" i="39"/>
  <c r="AB10" i="39" s="1"/>
  <c r="F10" i="39"/>
  <c r="H10" i="40"/>
  <c r="F10" i="40"/>
  <c r="B38" i="72"/>
  <c r="D20" i="53"/>
  <c r="B40" i="72" s="1"/>
  <c r="E48" i="35"/>
  <c r="E52" i="37"/>
  <c r="F52" i="37" s="1"/>
  <c r="G52" i="37" s="1"/>
  <c r="H52" i="37" s="1"/>
  <c r="I52" i="37" s="1"/>
  <c r="J52" i="37" s="1"/>
  <c r="K52" i="37" s="1"/>
  <c r="L52" i="37" s="1"/>
  <c r="M52" i="37" s="1"/>
  <c r="N52" i="37" s="1"/>
  <c r="O52" i="37" s="1"/>
  <c r="H7" i="37"/>
  <c r="F7" i="37"/>
  <c r="U10" i="39"/>
  <c r="W10" i="40"/>
  <c r="AC10" i="40"/>
  <c r="W7" i="21"/>
  <c r="AC7" i="21"/>
  <c r="V48" i="21" s="1"/>
  <c r="I48" i="21" s="1"/>
  <c r="U7" i="34"/>
  <c r="AB7" i="34"/>
  <c r="T49" i="34" s="1"/>
  <c r="G49" i="34" s="1"/>
  <c r="S7" i="34"/>
  <c r="AA7" i="34"/>
  <c r="R49" i="34" s="1"/>
  <c r="J7" i="37"/>
  <c r="E46" i="36"/>
  <c r="R49" i="33"/>
  <c r="E48" i="33"/>
  <c r="AA7" i="21"/>
  <c r="R48" i="21" s="1"/>
  <c r="S7" i="21"/>
  <c r="AC7" i="34"/>
  <c r="V49" i="34" s="1"/>
  <c r="I49" i="34" s="1"/>
  <c r="W7" i="34"/>
  <c r="I52" i="33"/>
  <c r="J52" i="33" s="1"/>
  <c r="I53" i="33"/>
  <c r="J53" i="33" s="1"/>
  <c r="H7" i="21"/>
  <c r="G53" i="33"/>
  <c r="H53" i="33" s="1"/>
  <c r="K63" i="40"/>
  <c r="J65" i="40"/>
  <c r="M17" i="67"/>
  <c r="M17" i="15"/>
  <c r="F59" i="15"/>
  <c r="P24" i="43"/>
  <c r="B66" i="40" s="1"/>
  <c r="P21" i="43"/>
  <c r="C49" i="67"/>
  <c r="E39" i="43"/>
  <c r="G39" i="43"/>
  <c r="I39" i="43" s="1"/>
  <c r="P25" i="43"/>
  <c r="P23" i="43"/>
  <c r="B71" i="39" s="1"/>
  <c r="M20" i="43"/>
  <c r="C48" i="39"/>
  <c r="C47" i="39"/>
  <c r="E38" i="43"/>
  <c r="G38" i="43"/>
  <c r="I38" i="43" s="1"/>
  <c r="G34" i="43"/>
  <c r="I34" i="43" s="1"/>
  <c r="E34" i="43"/>
  <c r="G51" i="39"/>
  <c r="H51" i="39" s="1"/>
  <c r="G52" i="39"/>
  <c r="H52" i="39" s="1"/>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0" i="39" l="1"/>
  <c r="K24" i="6"/>
  <c r="M24" i="6" s="1"/>
  <c r="I24" i="6" s="1"/>
  <c r="S24" i="6" s="1"/>
  <c r="K20" i="6"/>
  <c r="M20" i="6" s="1"/>
  <c r="I20" i="6" s="1"/>
  <c r="S20" i="6" s="1"/>
  <c r="K19" i="6"/>
  <c r="S6" i="1" s="1"/>
  <c r="K23" i="6"/>
  <c r="M23" i="6" s="1"/>
  <c r="I23" i="6" s="1"/>
  <c r="S23" i="6" s="1"/>
  <c r="K21" i="6"/>
  <c r="M21" i="6" s="1"/>
  <c r="I21" i="6" s="1"/>
  <c r="S21" i="6" s="1"/>
  <c r="E52" i="39"/>
  <c r="F52" i="39" s="1"/>
  <c r="I52" i="39"/>
  <c r="J52" i="39" s="1"/>
  <c r="K25" i="6"/>
  <c r="M25" i="6" s="1"/>
  <c r="I25" i="6" s="1"/>
  <c r="S25" i="6" s="1"/>
  <c r="K26" i="6"/>
  <c r="M26" i="6" s="1"/>
  <c r="I26" i="6" s="1"/>
  <c r="S26" i="6" s="1"/>
  <c r="K22" i="6"/>
  <c r="M22" i="6" s="1"/>
  <c r="I22" i="6" s="1"/>
  <c r="S22" i="6" s="1"/>
  <c r="E19" i="3"/>
  <c r="E21" i="3"/>
  <c r="E26" i="3"/>
  <c r="E32" i="3"/>
  <c r="C35" i="69"/>
  <c r="C38" i="69"/>
  <c r="O14" i="1"/>
  <c r="M16" i="1"/>
  <c r="N16" i="1" s="1"/>
  <c r="E22" i="3"/>
  <c r="D3" i="21"/>
  <c r="D19" i="11"/>
  <c r="C19" i="11" s="1"/>
  <c r="C20" i="11" s="1"/>
  <c r="C28" i="11" s="1"/>
  <c r="C27" i="11" s="1"/>
  <c r="C17" i="4"/>
  <c r="B4" i="52" s="1"/>
  <c r="B43" i="72" s="1"/>
  <c r="D37" i="11"/>
  <c r="D14" i="12"/>
  <c r="M18" i="9"/>
  <c r="B118" i="9" s="1"/>
  <c r="B14" i="74" s="1"/>
  <c r="B1" i="74" s="1"/>
  <c r="D3" i="34"/>
  <c r="D3" i="33"/>
  <c r="E6" i="6"/>
  <c r="L18" i="9"/>
  <c r="D3" i="37"/>
  <c r="E69" i="3"/>
  <c r="E114" i="3"/>
  <c r="E278" i="3"/>
  <c r="E415" i="3"/>
  <c r="E563" i="3"/>
  <c r="E395" i="3"/>
  <c r="E172" i="3"/>
  <c r="E260" i="3"/>
  <c r="E445" i="3"/>
  <c r="E550" i="3"/>
  <c r="E535" i="3"/>
  <c r="E347" i="3"/>
  <c r="E583" i="3"/>
  <c r="AA6" i="3"/>
  <c r="X6" i="3"/>
  <c r="E399" i="3"/>
  <c r="E336" i="3"/>
  <c r="E280" i="3"/>
  <c r="E246" i="3"/>
  <c r="E124"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37" i="3"/>
  <c r="E304" i="3"/>
  <c r="E565" i="3"/>
  <c r="E213" i="3"/>
  <c r="E17" i="3"/>
  <c r="E302" i="3"/>
  <c r="E329" i="3"/>
  <c r="E545" i="3"/>
  <c r="E510" i="3"/>
  <c r="E352" i="3"/>
  <c r="E205" i="3"/>
  <c r="E151" i="3"/>
  <c r="E353" i="3"/>
  <c r="E385" i="3"/>
  <c r="E495" i="3"/>
  <c r="E518" i="3"/>
  <c r="AN6" i="3"/>
  <c r="AI6" i="3"/>
  <c r="E586" i="3"/>
  <c r="E578" i="3"/>
  <c r="E402" i="3"/>
  <c r="E423" i="3"/>
  <c r="E350" i="3"/>
  <c r="E382" i="3"/>
  <c r="E303" i="3"/>
  <c r="E294" i="3"/>
  <c r="E231" i="3"/>
  <c r="E215" i="3"/>
  <c r="E298" i="3"/>
  <c r="E230" i="3"/>
  <c r="E216" i="3"/>
  <c r="E189" i="3"/>
  <c r="E169" i="3"/>
  <c r="E130" i="3"/>
  <c r="E185" i="3"/>
  <c r="E134" i="3"/>
  <c r="E61" i="3"/>
  <c r="E254" i="3"/>
  <c r="E135" i="3"/>
  <c r="E91" i="3"/>
  <c r="E290" i="3"/>
  <c r="E221" i="3"/>
  <c r="E161" i="3"/>
  <c r="E180" i="3"/>
  <c r="E117" i="3"/>
  <c r="E261" i="3"/>
  <c r="E528" i="3"/>
  <c r="E183" i="3"/>
  <c r="E361" i="3"/>
  <c r="E503" i="3"/>
  <c r="E539" i="3"/>
  <c r="E567" i="3"/>
  <c r="E461" i="3"/>
  <c r="E227" i="3"/>
  <c r="E165" i="3"/>
  <c r="E397" i="3"/>
  <c r="E314" i="3"/>
  <c r="E568" i="3"/>
  <c r="E511" i="3"/>
  <c r="I6" i="3"/>
  <c r="E16" i="3"/>
  <c r="E536" i="3"/>
  <c r="AK6" i="3"/>
  <c r="E549" i="3"/>
  <c r="E434" i="3"/>
  <c r="E453" i="3"/>
  <c r="E306" i="3"/>
  <c r="E368"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9" i="3"/>
  <c r="E71" i="3"/>
  <c r="E56" i="3"/>
  <c r="E88" i="3"/>
  <c r="E90"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42" i="3"/>
  <c r="E74" i="3"/>
  <c r="E60" i="3"/>
  <c r="E93" i="3"/>
  <c r="E94" i="3"/>
  <c r="E43" i="3"/>
  <c r="E29"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101" i="3"/>
  <c r="E83"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125" i="3"/>
  <c r="E217" i="3"/>
  <c r="E366" i="3"/>
  <c r="E526" i="3"/>
  <c r="E553" i="3"/>
  <c r="E268" i="3"/>
  <c r="E282" i="3"/>
  <c r="E322" i="3"/>
  <c r="N6" i="3"/>
  <c r="AJ6" i="3"/>
  <c r="AC6" i="3" s="1"/>
  <c r="E239" i="3"/>
  <c r="E509" i="3"/>
  <c r="E516" i="3"/>
  <c r="E579" i="3"/>
  <c r="E569" i="3"/>
  <c r="E431" i="3"/>
  <c r="E396" i="3"/>
  <c r="E247" i="3"/>
  <c r="E229" i="3"/>
  <c r="E201" i="3"/>
  <c r="E53" i="3"/>
  <c r="E175" i="3"/>
  <c r="E319" i="3"/>
  <c r="E530" i="3"/>
  <c r="E501" i="3"/>
  <c r="E343" i="3"/>
  <c r="E153" i="3"/>
  <c r="E305" i="3"/>
  <c r="E426" i="3"/>
  <c r="E508" i="3"/>
  <c r="E328" i="3"/>
  <c r="E388" i="3"/>
  <c r="O6" i="3"/>
  <c r="H6" i="3" s="1"/>
  <c r="E6" i="3" s="1"/>
  <c r="E555" i="3"/>
  <c r="E574" i="3"/>
  <c r="E410" i="3"/>
  <c r="E359" i="3"/>
  <c r="E337" i="3"/>
  <c r="E285" i="3"/>
  <c r="E143" i="3"/>
  <c r="E97" i="3"/>
  <c r="E23" i="3"/>
  <c r="E28" i="3"/>
  <c r="E20" i="3"/>
  <c r="E24" i="3"/>
  <c r="E31" i="3"/>
  <c r="AY6" i="3"/>
  <c r="C115" i="43"/>
  <c r="D113" i="43"/>
  <c r="S4" i="43"/>
  <c r="T4" i="43" s="1"/>
  <c r="V4" i="43" s="1"/>
  <c r="S2" i="43"/>
  <c r="T2" i="43" s="1"/>
  <c r="V2" i="43" s="1"/>
  <c r="C26" i="43" s="1"/>
  <c r="C23" i="43"/>
  <c r="C21" i="43" s="1"/>
  <c r="C29" i="43" s="1"/>
  <c r="S6" i="43"/>
  <c r="T6" i="43" s="1"/>
  <c r="V6" i="43" s="1"/>
  <c r="S7" i="43"/>
  <c r="T7" i="43" s="1"/>
  <c r="V7" i="43" s="1"/>
  <c r="S5" i="43"/>
  <c r="T5" i="43" s="1"/>
  <c r="V5" i="43" s="1"/>
  <c r="S3" i="43"/>
  <c r="T3" i="43" s="1"/>
  <c r="V3" i="43" s="1"/>
  <c r="U10" i="40"/>
  <c r="AB10" i="40"/>
  <c r="AA10" i="40"/>
  <c r="S10" i="40"/>
  <c r="S10" i="39"/>
  <c r="AA10" i="39"/>
  <c r="E53" i="33"/>
  <c r="F53" i="33" s="1"/>
  <c r="E52" i="33"/>
  <c r="F52" i="33" s="1"/>
  <c r="AC7" i="37"/>
  <c r="V42" i="37" s="1"/>
  <c r="I42" i="37" s="1"/>
  <c r="W7" i="37"/>
  <c r="AB7" i="37"/>
  <c r="T42" i="37" s="1"/>
  <c r="G42" i="37" s="1"/>
  <c r="U7" i="37"/>
  <c r="F48" i="35"/>
  <c r="L63" i="40"/>
  <c r="K65" i="40"/>
  <c r="AB7" i="21"/>
  <c r="T48" i="21" s="1"/>
  <c r="G48" i="21" s="1"/>
  <c r="U7" i="21"/>
  <c r="I53" i="34"/>
  <c r="J53" i="34" s="1"/>
  <c r="I54" i="34"/>
  <c r="J54" i="34" s="1"/>
  <c r="R49" i="21"/>
  <c r="E48" i="21"/>
  <c r="C48" i="33"/>
  <c r="C49" i="33"/>
  <c r="B2" i="33" s="1"/>
  <c r="B3" i="33" s="1"/>
  <c r="F46" i="36"/>
  <c r="R50" i="34"/>
  <c r="E49" i="34"/>
  <c r="G53" i="34"/>
  <c r="H53" i="34" s="1"/>
  <c r="G54" i="34"/>
  <c r="H54" i="34" s="1"/>
  <c r="I52" i="21"/>
  <c r="J52" i="21" s="1"/>
  <c r="AA7" i="37"/>
  <c r="R42" i="37" s="1"/>
  <c r="S7" i="37"/>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AQ6" i="1" l="1"/>
  <c r="E6" i="70"/>
  <c r="E2" i="70" s="1"/>
  <c r="S16" i="1"/>
  <c r="AR6" i="1"/>
  <c r="T6" i="1"/>
  <c r="F11" i="12"/>
  <c r="F34" i="11"/>
  <c r="C36" i="11" s="1"/>
  <c r="F34" i="68"/>
  <c r="C36" i="68" s="1"/>
  <c r="C37" i="11"/>
  <c r="F69" i="15"/>
  <c r="J29" i="15"/>
  <c r="K27" i="6"/>
  <c r="M19" i="6"/>
  <c r="C7" i="74"/>
  <c r="C8" i="74"/>
  <c r="F50" i="69"/>
  <c r="F50" i="68"/>
  <c r="F50"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40" i="3"/>
  <c r="AY539" i="3"/>
  <c r="AY105" i="3"/>
  <c r="AY100" i="3"/>
  <c r="AY69" i="3"/>
  <c r="AY84" i="3"/>
  <c r="AY52" i="3"/>
  <c r="AY20" i="3"/>
  <c r="AY198" i="3"/>
  <c r="AY193" i="3"/>
  <c r="AY162" i="3"/>
  <c r="AY173" i="3"/>
  <c r="AY141"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4" i="3"/>
  <c r="BO6" i="3"/>
  <c r="AY555" i="3"/>
  <c r="AY89" i="3"/>
  <c r="AY85" i="3"/>
  <c r="AY53" i="3"/>
  <c r="AY68" i="3"/>
  <c r="AY36" i="3"/>
  <c r="AY25" i="3"/>
  <c r="AY182" i="3"/>
  <c r="AY178" i="3"/>
  <c r="AY146" i="3"/>
  <c r="AY157" i="3"/>
  <c r="AY126"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20" i="12"/>
  <c r="C20" i="12" s="1"/>
  <c r="C18" i="12" s="1"/>
  <c r="D10" i="69"/>
  <c r="D10" i="68"/>
  <c r="D17" i="12"/>
  <c r="C17" i="12" s="1"/>
  <c r="C14" i="12"/>
  <c r="L16" i="1"/>
  <c r="P14" i="1"/>
  <c r="P16" i="1" s="1"/>
  <c r="C11" i="12" s="1"/>
  <c r="O16" i="1"/>
  <c r="C34" i="11" s="1"/>
  <c r="E29" i="43"/>
  <c r="C30" i="43"/>
  <c r="E30" i="43" s="1"/>
  <c r="C27" i="43" s="1"/>
  <c r="E52" i="21"/>
  <c r="F52" i="21" s="1"/>
  <c r="E53" i="21"/>
  <c r="F53" i="21" s="1"/>
  <c r="I53" i="21"/>
  <c r="J53" i="21" s="1"/>
  <c r="E54" i="34"/>
  <c r="F54" i="34" s="1"/>
  <c r="E53" i="34"/>
  <c r="F53" i="34" s="1"/>
  <c r="G46" i="36"/>
  <c r="C48" i="21"/>
  <c r="C49" i="21"/>
  <c r="B2" i="21" s="1"/>
  <c r="B3" i="21" s="1"/>
  <c r="G52" i="21"/>
  <c r="H52" i="21" s="1"/>
  <c r="G53" i="21"/>
  <c r="H53" i="21" s="1"/>
  <c r="M63" i="40"/>
  <c r="L65" i="40"/>
  <c r="G48" i="35"/>
  <c r="G46" i="37"/>
  <c r="H46" i="37" s="1"/>
  <c r="G47" i="37"/>
  <c r="H47" i="37" s="1"/>
  <c r="I46" i="37"/>
  <c r="J46" i="37" s="1"/>
  <c r="R43" i="37"/>
  <c r="E42" i="37"/>
  <c r="C50" i="34"/>
  <c r="B2" i="34" s="1"/>
  <c r="B3" i="34" s="1"/>
  <c r="C49" i="34"/>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E6" i="76"/>
  <c r="C18" i="15" l="1"/>
  <c r="C15" i="15"/>
  <c r="C19" i="15" s="1"/>
  <c r="T16" i="1"/>
  <c r="C34" i="68"/>
  <c r="C35" i="68" s="1"/>
  <c r="M27" i="6"/>
  <c r="I19" i="6"/>
  <c r="C38" i="11"/>
  <c r="C35" i="11"/>
  <c r="C10" i="69"/>
  <c r="C8" i="69" s="1"/>
  <c r="C5" i="69" s="1"/>
  <c r="D19" i="69"/>
  <c r="C38" i="68"/>
  <c r="C12" i="12"/>
  <c r="C15" i="12"/>
  <c r="C10" i="68"/>
  <c r="D19" i="68"/>
  <c r="H20" i="6"/>
  <c r="D19" i="6"/>
  <c r="D26" i="6"/>
  <c r="C18" i="4"/>
  <c r="D8" i="6"/>
  <c r="D23" i="6"/>
  <c r="D14" i="6"/>
  <c r="D6" i="6"/>
  <c r="D9" i="6"/>
  <c r="D10" i="6"/>
  <c r="L19" i="9"/>
  <c r="D29" i="6"/>
  <c r="M19" i="9"/>
  <c r="C118" i="9" s="1"/>
  <c r="C14" i="74" s="1"/>
  <c r="B2" i="74" s="1"/>
  <c r="D25" i="6"/>
  <c r="D15" i="6"/>
  <c r="D22" i="6"/>
  <c r="D21" i="6"/>
  <c r="D24" i="6"/>
  <c r="D20" i="6"/>
  <c r="R20" i="6" s="1"/>
  <c r="D5" i="6"/>
  <c r="D12" i="6"/>
  <c r="D11" i="6"/>
  <c r="D13" i="6"/>
  <c r="D28" i="6"/>
  <c r="D30" i="6" s="1"/>
  <c r="E61" i="40"/>
  <c r="H19" i="6"/>
  <c r="H22" i="6"/>
  <c r="R22" i="6" s="1"/>
  <c r="H21" i="6"/>
  <c r="R21" i="6" s="1"/>
  <c r="H24" i="6"/>
  <c r="R24" i="6" s="1"/>
  <c r="H23" i="6"/>
  <c r="R23" i="6" s="1"/>
  <c r="H25" i="6"/>
  <c r="R25" i="6" s="1"/>
  <c r="H26" i="6"/>
  <c r="R26" i="6" s="1"/>
  <c r="E2" i="76"/>
  <c r="E46" i="37"/>
  <c r="F46" i="37" s="1"/>
  <c r="E47" i="37"/>
  <c r="F47" i="37" s="1"/>
  <c r="I47" i="37"/>
  <c r="J47" i="37" s="1"/>
  <c r="C42" i="37"/>
  <c r="C43" i="37"/>
  <c r="B2" i="37" s="1"/>
  <c r="B3" i="37" s="1"/>
  <c r="H48" i="35"/>
  <c r="N63" i="40"/>
  <c r="M65" i="40"/>
  <c r="H46" i="36"/>
  <c r="I46" i="36" s="1"/>
  <c r="J46" i="36" s="1"/>
  <c r="K46" i="36" s="1"/>
  <c r="L46" i="36" s="1"/>
  <c r="M46" i="36" s="1"/>
  <c r="N46" i="36" s="1"/>
  <c r="O46" i="36" s="1"/>
  <c r="J7" i="36"/>
  <c r="F7" i="36"/>
  <c r="B2" i="76"/>
  <c r="B3" i="43"/>
  <c r="C33" i="15"/>
  <c r="J59" i="15"/>
  <c r="J60" i="15" s="1"/>
  <c r="C22" i="11"/>
  <c r="C31" i="11" s="1"/>
  <c r="C36" i="67"/>
  <c r="C33" i="67"/>
  <c r="C31" i="67" s="1"/>
  <c r="J14" i="67"/>
  <c r="C13" i="67"/>
  <c r="J19" i="67"/>
  <c r="J17" i="67" s="1"/>
  <c r="C57" i="67"/>
  <c r="Q49" i="67"/>
  <c r="J59" i="67"/>
  <c r="J60" i="67" s="1"/>
  <c r="C20" i="15" l="1"/>
  <c r="C26" i="15" s="1"/>
  <c r="C23" i="15"/>
  <c r="C29" i="15" s="1"/>
  <c r="C33" i="11"/>
  <c r="B3" i="76"/>
  <c r="S19" i="6"/>
  <c r="S27" i="6" s="1"/>
  <c r="I27" i="6"/>
  <c r="D16" i="6"/>
  <c r="D27" i="6"/>
  <c r="D31" i="6" s="1"/>
  <c r="D7" i="74"/>
  <c r="D8" i="74"/>
  <c r="C16" i="12"/>
  <c r="C21" i="12" s="1"/>
  <c r="C19" i="69"/>
  <c r="C24" i="69" s="1"/>
  <c r="D37" i="69"/>
  <c r="C37" i="69" s="1"/>
  <c r="C33" i="69" s="1"/>
  <c r="C39" i="11"/>
  <c r="C42" i="11"/>
  <c r="R19" i="6"/>
  <c r="H27" i="6"/>
  <c r="A7" i="51"/>
  <c r="B7" i="72" s="1"/>
  <c r="A10" i="51"/>
  <c r="B9" i="72" s="1"/>
  <c r="C4" i="52"/>
  <c r="B45" i="72" s="1"/>
  <c r="C19" i="68"/>
  <c r="D37" i="68"/>
  <c r="C37" i="68" s="1"/>
  <c r="C33" i="68" s="1"/>
  <c r="C23" i="69"/>
  <c r="S7" i="36"/>
  <c r="AA7" i="36"/>
  <c r="R36" i="36" s="1"/>
  <c r="O63" i="40"/>
  <c r="O65" i="40" s="1"/>
  <c r="N65" i="40"/>
  <c r="I48" i="35"/>
  <c r="AC7" i="36"/>
  <c r="V36" i="36" s="1"/>
  <c r="I36" i="36" s="1"/>
  <c r="W7" i="36"/>
  <c r="J7" i="40"/>
  <c r="F7" i="40"/>
  <c r="H7" i="40"/>
  <c r="H7" i="36"/>
  <c r="Q48" i="15"/>
  <c r="J13" i="67"/>
  <c r="J23" i="67" s="1"/>
  <c r="J22" i="67"/>
  <c r="C61" i="67"/>
  <c r="C59" i="67" s="1"/>
  <c r="C64" i="67"/>
  <c r="Q48" i="67"/>
  <c r="L46" i="67"/>
  <c r="C56" i="67"/>
  <c r="C65" i="67" s="1"/>
  <c r="C75" i="67"/>
  <c r="Q70" i="67"/>
  <c r="C37" i="67"/>
  <c r="C30" i="67" s="1"/>
  <c r="C39" i="67" s="1"/>
  <c r="L51" i="67"/>
  <c r="C20" i="69" l="1"/>
  <c r="C57" i="15"/>
  <c r="Q49" i="15"/>
  <c r="J14" i="15"/>
  <c r="C13" i="15"/>
  <c r="J19" i="15"/>
  <c r="C36" i="15"/>
  <c r="R27" i="6"/>
  <c r="R6" i="1"/>
  <c r="C28" i="69"/>
  <c r="C27" i="69" s="1"/>
  <c r="C25" i="69"/>
  <c r="C22" i="69" s="1"/>
  <c r="C24" i="68"/>
  <c r="C39" i="69"/>
  <c r="C43" i="69" s="1"/>
  <c r="C42" i="69"/>
  <c r="C22" i="12"/>
  <c r="C39" i="68"/>
  <c r="C42" i="68"/>
  <c r="I5" i="6"/>
  <c r="C11" i="40" s="1"/>
  <c r="I6" i="6"/>
  <c r="C46" i="11"/>
  <c r="C45" i="11" s="1"/>
  <c r="C43" i="11"/>
  <c r="C41" i="11" s="1"/>
  <c r="U7" i="40"/>
  <c r="AB7" i="40"/>
  <c r="AC7" i="40"/>
  <c r="W7" i="40"/>
  <c r="I40" i="36"/>
  <c r="J40" i="36" s="1"/>
  <c r="R37" i="36"/>
  <c r="E36" i="36"/>
  <c r="AB7" i="36"/>
  <c r="T36" i="36" s="1"/>
  <c r="G36" i="36" s="1"/>
  <c r="U7" i="36"/>
  <c r="AA7" i="40"/>
  <c r="S7" i="40"/>
  <c r="J48" i="35"/>
  <c r="J16" i="67"/>
  <c r="J25" i="67" s="1"/>
  <c r="C80" i="67"/>
  <c r="C79" i="67" s="1"/>
  <c r="C58" i="67"/>
  <c r="C67" i="67" s="1"/>
  <c r="C68" i="67" s="1"/>
  <c r="Q69" i="67"/>
  <c r="Q68" i="67" s="1"/>
  <c r="C40" i="67"/>
  <c r="F35" i="15"/>
  <c r="M21" i="15"/>
  <c r="J13" i="15" l="1"/>
  <c r="J23" i="15" s="1"/>
  <c r="J22" i="15"/>
  <c r="C61" i="15"/>
  <c r="C64" i="15"/>
  <c r="F11" i="40"/>
  <c r="H11" i="40"/>
  <c r="J11" i="40"/>
  <c r="Q70" i="15"/>
  <c r="C75" i="15"/>
  <c r="C56" i="15"/>
  <c r="C65" i="15" s="1"/>
  <c r="C37" i="15"/>
  <c r="J20" i="15"/>
  <c r="J17" i="15" s="1"/>
  <c r="J16" i="15" s="1"/>
  <c r="J25" i="15" s="1"/>
  <c r="C34" i="15"/>
  <c r="C31" i="15" s="1"/>
  <c r="C30" i="15" s="1"/>
  <c r="C39" i="15" s="1"/>
  <c r="F63" i="15"/>
  <c r="C62" i="15" s="1"/>
  <c r="C59" i="15" s="1"/>
  <c r="C58" i="15" s="1"/>
  <c r="C67" i="15" s="1"/>
  <c r="C68" i="15" s="1"/>
  <c r="C71" i="15" s="1"/>
  <c r="R16" i="1"/>
  <c r="C41" i="69"/>
  <c r="C49" i="11"/>
  <c r="C51" i="11" s="1"/>
  <c r="C52" i="11" s="1"/>
  <c r="B2" i="11" s="1"/>
  <c r="B3" i="11" s="1"/>
  <c r="C31" i="69"/>
  <c r="C46" i="69"/>
  <c r="C45" i="69" s="1"/>
  <c r="C46" i="68"/>
  <c r="C45" i="68" s="1"/>
  <c r="C43" i="68"/>
  <c r="C41" i="68" s="1"/>
  <c r="E40" i="36"/>
  <c r="F40" i="36" s="1"/>
  <c r="E41" i="36"/>
  <c r="F41" i="36" s="1"/>
  <c r="I41" i="36"/>
  <c r="J41" i="36" s="1"/>
  <c r="K48" i="35"/>
  <c r="G40" i="36"/>
  <c r="H40" i="36" s="1"/>
  <c r="G41" i="36"/>
  <c r="H41" i="36" s="1"/>
  <c r="C36" i="36"/>
  <c r="C37" i="36"/>
  <c r="B2" i="36" s="1"/>
  <c r="B3" i="36" s="1"/>
  <c r="Q67" i="67"/>
  <c r="L57" i="67"/>
  <c r="L60" i="67" s="1"/>
  <c r="C45" i="67"/>
  <c r="C46" i="67" s="1"/>
  <c r="C71" i="67"/>
  <c r="C43" i="67"/>
  <c r="D2" i="67"/>
  <c r="Q47" i="67"/>
  <c r="Q53" i="67" s="1"/>
  <c r="Q56" i="67"/>
  <c r="Q65" i="67"/>
  <c r="C83" i="67"/>
  <c r="C82" i="67" s="1"/>
  <c r="L51" i="15"/>
  <c r="W11" i="40" l="1"/>
  <c r="AC11" i="40"/>
  <c r="V42" i="40" s="1"/>
  <c r="I42" i="40" s="1"/>
  <c r="AA11" i="40"/>
  <c r="R42" i="40" s="1"/>
  <c r="S11" i="40"/>
  <c r="AB11" i="40"/>
  <c r="T42" i="40" s="1"/>
  <c r="G42" i="40" s="1"/>
  <c r="U11" i="40"/>
  <c r="Q67" i="15"/>
  <c r="L57" i="15"/>
  <c r="L60" i="15" s="1"/>
  <c r="L46" i="15" s="1"/>
  <c r="C80" i="15"/>
  <c r="C79" i="15" s="1"/>
  <c r="Q69" i="15"/>
  <c r="Q68" i="15" s="1"/>
  <c r="C40" i="15"/>
  <c r="C49" i="69"/>
  <c r="C51" i="69" s="1"/>
  <c r="C52" i="69" s="1"/>
  <c r="B2" i="69" s="1"/>
  <c r="B3" i="69" s="1"/>
  <c r="C49" i="68"/>
  <c r="C51" i="68" s="1"/>
  <c r="C56" i="11"/>
  <c r="C57" i="11" s="1"/>
  <c r="L48" i="35"/>
  <c r="Q66" i="15"/>
  <c r="Q57" i="15"/>
  <c r="Q66" i="67"/>
  <c r="Q75" i="67" s="1"/>
  <c r="Q57" i="67"/>
  <c r="Q62" i="67" s="1"/>
  <c r="B2" i="67"/>
  <c r="B3" i="67"/>
  <c r="I46" i="40" l="1"/>
  <c r="J46" i="40" s="1"/>
  <c r="G46" i="40"/>
  <c r="H46" i="40" s="1"/>
  <c r="G47" i="40"/>
  <c r="H47" i="40" s="1"/>
  <c r="R43" i="40"/>
  <c r="E42" i="40"/>
  <c r="C57" i="69"/>
  <c r="C56" i="69" s="1"/>
  <c r="B2" i="15"/>
  <c r="C8" i="12" s="1"/>
  <c r="C4" i="12" s="1"/>
  <c r="Q65" i="15"/>
  <c r="Q75" i="15" s="1"/>
  <c r="Q47" i="15"/>
  <c r="Q53" i="15" s="1"/>
  <c r="C46" i="15"/>
  <c r="Q56" i="15"/>
  <c r="Q62" i="15" s="1"/>
  <c r="C43" i="15"/>
  <c r="C83" i="15"/>
  <c r="C82" i="15" s="1"/>
  <c r="M48" i="35"/>
  <c r="N48" i="35" s="1"/>
  <c r="O48" i="35" s="1"/>
  <c r="F7" i="35"/>
  <c r="AO6" i="1"/>
  <c r="E47" i="40" l="1"/>
  <c r="F47" i="40" s="1"/>
  <c r="E46" i="40"/>
  <c r="F46" i="40" s="1"/>
  <c r="I47" i="40"/>
  <c r="J47" i="40" s="1"/>
  <c r="C43" i="40"/>
  <c r="C42" i="40"/>
  <c r="C23" i="12"/>
  <c r="C31" i="12"/>
  <c r="B6" i="70"/>
  <c r="B2" i="70" s="1"/>
  <c r="B3" i="70" s="1"/>
  <c r="B3" i="15"/>
  <c r="C6" i="12" s="1"/>
  <c r="S7" i="35"/>
  <c r="AA7" i="35"/>
  <c r="R38" i="35" s="1"/>
  <c r="J7" i="35"/>
  <c r="H7" i="35"/>
  <c r="B55" i="40" l="1"/>
  <c r="F55" i="40" s="1"/>
  <c r="B54" i="40"/>
  <c r="F54" i="40" s="1"/>
  <c r="B59" i="40"/>
  <c r="F59" i="40" s="1"/>
  <c r="B56" i="40"/>
  <c r="F56" i="40" s="1"/>
  <c r="B57" i="40"/>
  <c r="F57" i="40" s="1"/>
  <c r="B58" i="40"/>
  <c r="F58" i="40" s="1"/>
  <c r="B53" i="40"/>
  <c r="F53" i="40" s="1"/>
  <c r="B52" i="40"/>
  <c r="F52" i="40" s="1"/>
  <c r="B60" i="40"/>
  <c r="F60" i="40" s="1"/>
  <c r="B51" i="40"/>
  <c r="F51" i="40" s="1"/>
  <c r="F61" i="40" s="1"/>
  <c r="B2" i="40" s="1"/>
  <c r="C30" i="12"/>
  <c r="C28" i="12" s="1"/>
  <c r="C27" i="12"/>
  <c r="C25" i="12" s="1"/>
  <c r="C32" i="12" s="1"/>
  <c r="B2" i="12" s="1"/>
  <c r="U7" i="35"/>
  <c r="AB7" i="35"/>
  <c r="T38" i="35" s="1"/>
  <c r="G38" i="35" s="1"/>
  <c r="R39" i="35"/>
  <c r="E38" i="35"/>
  <c r="W7" i="35"/>
  <c r="AC7" i="35"/>
  <c r="V38" i="35" s="1"/>
  <c r="I38" i="35" s="1"/>
  <c r="D19" i="9"/>
  <c r="C6" i="68" l="1"/>
  <c r="C7" i="68" s="1"/>
  <c r="C5" i="68" s="1"/>
  <c r="B3" i="40"/>
  <c r="D102" i="9"/>
  <c r="D21" i="9"/>
  <c r="B3" i="12"/>
  <c r="I43" i="35"/>
  <c r="J43" i="35" s="1"/>
  <c r="I42" i="35"/>
  <c r="J42" i="35" s="1"/>
  <c r="E43" i="35"/>
  <c r="F43" i="35" s="1"/>
  <c r="E42" i="35"/>
  <c r="F42" i="35" s="1"/>
  <c r="G42" i="35"/>
  <c r="H42" i="35" s="1"/>
  <c r="G43" i="35"/>
  <c r="H43" i="35" s="1"/>
  <c r="C38" i="35"/>
  <c r="C39" i="35"/>
  <c r="B2" i="35" s="1"/>
  <c r="B3" i="35" s="1"/>
  <c r="D20" i="9"/>
  <c r="C23" i="68" l="1"/>
  <c r="C20" i="68"/>
  <c r="C25" i="68" s="1"/>
  <c r="D103" i="9"/>
  <c r="C28" i="68" l="1"/>
  <c r="C27" i="68" s="1"/>
  <c r="C22" i="68"/>
  <c r="C31" i="68" l="1"/>
  <c r="C52" i="68" s="1"/>
  <c r="C57" i="68" l="1"/>
  <c r="C56" i="68" s="1"/>
  <c r="B2" i="68"/>
  <c r="C19" i="9"/>
  <c r="D22" i="9" l="1"/>
  <c r="C21" i="9"/>
  <c r="C102" i="9"/>
  <c r="G19" i="9"/>
  <c r="G21" i="9" s="1"/>
  <c r="B3" i="68"/>
  <c r="D35" i="9"/>
  <c r="D34" i="9"/>
  <c r="C20" i="9"/>
  <c r="G20" i="9" l="1"/>
  <c r="C32" i="9" s="1"/>
  <c r="C103" i="9"/>
  <c r="C35" i="9" l="1"/>
  <c r="H118" i="9"/>
  <c r="D14" i="74" l="1"/>
  <c r="I118" i="9"/>
  <c r="H119" i="9"/>
  <c r="H5" i="52" s="1"/>
  <c r="H4" i="52"/>
  <c r="C104" i="9"/>
  <c r="H101" i="9"/>
  <c r="C34" i="9"/>
  <c r="D118" i="9" s="1"/>
  <c r="F118" i="9"/>
  <c r="D4" i="52" l="1"/>
  <c r="B47" i="72" s="1"/>
  <c r="D119" i="9"/>
  <c r="D5" i="52" s="1"/>
  <c r="B49" i="72" s="1"/>
  <c r="F4" i="52"/>
  <c r="B51" i="72" s="1"/>
  <c r="F119" i="9"/>
  <c r="F5" i="52" s="1"/>
  <c r="B53" i="72" s="1"/>
  <c r="G118" i="9"/>
  <c r="G4" i="52" s="1"/>
  <c r="B52" i="72" s="1"/>
  <c r="M48" i="9"/>
  <c r="D5" i="53"/>
  <c r="H107" i="9"/>
  <c r="D45" i="9"/>
  <c r="H102" i="9"/>
  <c r="D7" i="53" s="1"/>
  <c r="B21" i="72" s="1"/>
  <c r="I4" i="52"/>
  <c r="C105" i="9"/>
  <c r="E118" i="9"/>
  <c r="E4" i="52" s="1"/>
  <c r="B48" i="72" s="1"/>
  <c r="B5" i="74"/>
  <c r="E14" i="74"/>
  <c r="F14" i="74"/>
  <c r="D5" i="74" l="1"/>
  <c r="C5" i="74"/>
  <c r="D122" i="9"/>
  <c r="H108" i="9"/>
  <c r="D15" i="53" s="1"/>
  <c r="B31" i="72" s="1"/>
  <c r="D13" i="53"/>
  <c r="M49" i="9"/>
  <c r="D53" i="9"/>
  <c r="D52" i="9"/>
  <c r="C93" i="9"/>
  <c r="C86" i="9" s="1"/>
  <c r="C78" i="9"/>
  <c r="C73" i="9" s="1"/>
  <c r="C85" i="9"/>
  <c r="C95" i="9" s="1"/>
  <c r="D55" i="9"/>
  <c r="M53" i="9" s="1"/>
  <c r="C72" i="9"/>
  <c r="C79" i="9" s="1"/>
  <c r="C64" i="9"/>
  <c r="C63" i="9" s="1"/>
  <c r="C67" i="9" s="1"/>
  <c r="B20" i="72"/>
  <c r="D6" i="53"/>
  <c r="B22" i="72" s="1"/>
  <c r="D59" i="9" l="1"/>
  <c r="M55" i="9" s="1"/>
  <c r="C68" i="9"/>
  <c r="D54" i="9" s="1"/>
  <c r="L68" i="9"/>
  <c r="M68" i="9" s="1"/>
  <c r="L65" i="9"/>
  <c r="M65" i="9" s="1"/>
  <c r="L67" i="9"/>
  <c r="M67" i="9" s="1"/>
  <c r="L66" i="9"/>
  <c r="M66" i="9" s="1"/>
  <c r="L63" i="9"/>
  <c r="M63" i="9" s="1"/>
  <c r="M69" i="9" s="1"/>
  <c r="N69" i="9" s="1"/>
  <c r="L64" i="9"/>
  <c r="M64" i="9" s="1"/>
  <c r="C80" i="9"/>
  <c r="E80" i="9" s="1"/>
  <c r="E81" i="9" s="1"/>
  <c r="C96" i="9"/>
  <c r="E96" i="9" s="1"/>
  <c r="E97" i="9" s="1"/>
  <c r="D14" i="53"/>
  <c r="B32" i="72" s="1"/>
  <c r="B30" i="72"/>
  <c r="G14" i="74"/>
  <c r="B6" i="74" s="1"/>
  <c r="D8" i="52"/>
  <c r="D123" i="9"/>
  <c r="D9" i="52" s="1"/>
  <c r="C81" i="9" l="1"/>
  <c r="D6" i="74"/>
  <c r="C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<sst xmlns="http://schemas.openxmlformats.org/spreadsheetml/2006/main" count="7657" uniqueCount="3239">
  <si>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</si>
  <si>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</si>
  <si>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</si>
  <si>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</si>
  <si>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</si>
  <si>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</si>
  <si>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</si>
  <si>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</si>
  <si>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</si>
  <si>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</si>
  <si>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</si>
  <si>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</si>
  <si>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</si>
  <si>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</si>
  <si>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</si>
  <si>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</si>
  <si>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</si>
  <si>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</si>
  <si>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</si>
  <si>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</si>
  <si>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</si>
  <si>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</si>
  <si>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</si>
  <si>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</si>
  <si>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</si>
  <si>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</si>
  <si>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</si>
  <si>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</si>
  <si>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</si>
  <si>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</si>
  <si>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</si>
  <si>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</si>
  <si>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</si>
  <si>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</si>
  <si>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</si>
  <si>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</si>
  <si>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</si>
  <si>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</si>
  <si>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</si>
  <si>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</si>
  <si>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</si>
  <si>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</si>
  <si>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</si>
  <si>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</si>
  <si>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</si>
  <si>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</si>
  <si>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</si>
  <si>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</si>
  <si>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</si>
  <si>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</si>
  <si>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</si>
  <si>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</si>
  <si>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</si>
  <si>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</si>
  <si>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</si>
  <si>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</si>
  <si>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</si>
  <si>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</si>
  <si>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</si>
  <si>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</si>
  <si>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</si>
  <si>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</si>
  <si>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</si>
  <si>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</si>
  <si>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</si>
  <si>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</si>
  <si>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</si>
  <si>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</si>
  <si>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</si>
  <si>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</si>
  <si>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</si>
  <si>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</si>
  <si>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</si>
  <si>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</si>
  <si>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</si>
  <si>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</si>
  <si>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</si>
  <si>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</si>
  <si>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</si>
  <si>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</si>
  <si>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</si>
  <si>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</si>
  <si>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</si>
  <si>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</si>
  <si>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</si>
  <si>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</si>
  <si>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</si>
  <si>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</si>
  <si>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</si>
  <si>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</si>
  <si>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</si>
  <si>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</si>
  <si>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</si>
  <si>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</si>
  <si>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</si>
  <si>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</si>
  <si>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</si>
  <si>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</si>
  <si>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</si>
  <si>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</si>
  <si>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</si>
  <si>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</si>
  <si>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</si>
  <si>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</si>
  <si>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</si>
  <si>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</si>
  <si>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</si>
  <si>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</si>
  <si>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</si>
  <si>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</si>
  <si>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</si>
  <si>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</si>
  <si>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</si>
  <si>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</si>
  <si>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</si>
  <si>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</si>
  <si>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</si>
  <si>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</si>
  <si>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</si>
  <si>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</si>
  <si>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</si>
  <si>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</si>
  <si>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</si>
  <si>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</si>
  <si>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</si>
  <si>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</si>
  <si>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</si>
  <si>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</si>
  <si>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</si>
  <si>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</si>
  <si>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</si>
  <si>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</si>
  <si>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</si>
  <si>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</si>
  <si>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</si>
  <si>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</si>
  <si>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</si>
  <si>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</si>
  <si>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</si>
  <si>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</si>
  <si>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</si>
  <si>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</si>
  <si>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</si>
  <si>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</si>
  <si>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</si>
  <si>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</si>
  <si>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</si>
  <si>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</si>
  <si>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</si>
  <si>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</si>
  <si>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</si>
  <si>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</si>
  <si>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</si>
  <si>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</si>
  <si>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</si>
  <si>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</si>
  <si>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</si>
  <si>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</si>
  <si>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</si>
  <si>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</si>
  <si>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</si>
  <si>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</si>
  <si>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</si>
  <si>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</si>
  <si>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</si>
  <si>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</si>
  <si>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</si>
  <si>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</si>
  <si>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</si>
  <si>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</si>
  <si>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</si>
  <si>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</si>
  <si>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</si>
  <si>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</si>
  <si>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</si>
  <si>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</si>
  <si>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</si>
  <si>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</si>
  <si>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</si>
  <si>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</si>
  <si>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</si>
  <si>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</si>
  <si>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</si>
  <si>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</si>
  <si>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</si>
  <si>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</si>
  <si>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</si>
  <si>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</si>
  <si>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</si>
  <si>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</si>
  <si>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</si>
  <si>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</si>
  <si>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</si>
  <si>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</si>
  <si>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</si>
  <si>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</si>
  <si>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</si>
  <si>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</si>
  <si>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</si>
  <si>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</si>
  <si>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</si>
  <si>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</si>
  <si>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</si>
  <si>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</si>
  <si>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</si>
  <si>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</si>
  <si>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</si>
  <si>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</si>
  <si>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</si>
  <si>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</si>
  <si>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</si>
  <si>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</si>
  <si>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</si>
  <si>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</si>
  <si>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</si>
  <si>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</si>
  <si>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</si>
  <si>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</si>
  <si>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</si>
  <si>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</si>
  <si>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</si>
  <si>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</si>
  <si>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</si>
  <si>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</si>
  <si>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</si>
  <si>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</si>
  <si>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</si>
  <si>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</si>
  <si>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</si>
  <si>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</si>
  <si>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</si>
  <si>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</si>
  <si>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</si>
  <si>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</si>
  <si>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</si>
  <si>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</si>
  <si>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</si>
  <si>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</si>
  <si>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</si>
  <si>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</si>
  <si>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</si>
  <si>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</si>
  <si>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</si>
  <si>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</si>
  <si>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</si>
  <si>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</si>
  <si>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</si>
  <si>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</si>
  <si>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</si>
  <si>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</si>
  <si>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</si>
  <si>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</si>
  <si>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</si>
  <si>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</si>
  <si>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</si>
  <si>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</si>
  <si>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</si>
  <si>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</si>
  <si>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</si>
  <si>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</si>
  <si>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</si>
  <si>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</si>
  <si>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</si>
  <si>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</si>
  <si>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</si>
  <si>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</si>
  <si>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</si>
  <si>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</si>
  <si>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</si>
  <si>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</si>
  <si>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</si>
  <si>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</si>
  <si>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</si>
  <si>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</si>
  <si>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</si>
  <si>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</si>
  <si>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</si>
  <si>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</si>
  <si>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</si>
  <si>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</si>
  <si>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</si>
  <si>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</si>
  <si>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</si>
  <si>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</si>
  <si>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</si>
  <si>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</si>
  <si>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</si>
  <si>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</si>
  <si>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</si>
  <si>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</si>
  <si>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</si>
  <si>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</si>
  <si>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</si>
  <si>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</si>
  <si>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</si>
  <si>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</si>
  <si>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</si>
  <si>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</si>
  <si>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</si>
  <si>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</si>
  <si>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</si>
  <si>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</si>
  <si>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</si>
  <si>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</si>
  <si>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</si>
  <si>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</si>
  <si>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</si>
  <si>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</si>
  <si>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</si>
  <si>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</si>
  <si>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</si>
  <si>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</si>
  <si>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</si>
  <si>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</si>
  <si>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</si>
  <si>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</si>
  <si>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</si>
  <si>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</si>
  <si>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</si>
  <si>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</si>
  <si>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</si>
  <si>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</si>
  <si>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</si>
  <si>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</si>
  <si>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</si>
  <si>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</si>
  <si>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</si>
  <si>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</si>
  <si>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</si>
  <si>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</si>
  <si>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</si>
  <si>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</si>
  <si>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</si>
  <si>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</si>
  <si>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</si>
  <si>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</si>
  <si>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</si>
  <si>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</si>
  <si>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</si>
  <si>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</si>
  <si>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</si>
  <si>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</si>
  <si>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</si>
  <si>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</si>
  <si>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</si>
  <si>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</si>
  <si>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</si>
  <si>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</si>
  <si>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</si>
  <si>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</si>
  <si>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</si>
  <si>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</si>
  <si>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</si>
  <si>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</si>
  <si>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</si>
  <si>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</si>
  <si>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</si>
  <si>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</si>
  <si>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</si>
  <si>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</si>
  <si>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</si>
  <si>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</si>
  <si>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</si>
  <si>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</si>
  <si>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</si>
  <si>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</si>
  <si>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</si>
  <si>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</si>
  <si>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</si>
  <si>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</si>
  <si>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</si>
  <si>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</si>
  <si>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</si>
  <si>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</si>
  <si>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</si>
  <si>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</si>
  <si>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</si>
  <si>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</si>
  <si>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</si>
  <si>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</si>
  <si>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</si>
  <si>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</si>
  <si>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</si>
  <si>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</si>
  <si>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</si>
  <si>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</si>
  <si>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</si>
  <si>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</si>
  <si>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</si>
  <si>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</si>
  <si>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</si>
  <si>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</si>
  <si>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</si>
  <si>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</si>
  <si>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</si>
  <si>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</si>
  <si>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</si>
  <si>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</si>
  <si>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</si>
  <si>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</si>
  <si>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</si>
  <si>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</si>
  <si>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</si>
  <si>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</si>
  <si>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</si>
  <si>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</si>
  <si>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</si>
  <si>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</si>
  <si>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</si>
  <si>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</si>
  <si>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</si>
  <si>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</si>
  <si>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</si>
  <si>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</si>
  <si>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</si>
  <si>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</si>
  <si>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</si>
  <si>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</si>
  <si>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</si>
  <si>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</si>
  <si>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</si>
  <si>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</si>
  <si>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</si>
  <si>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</si>
  <si>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</si>
  <si>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</si>
  <si>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</si>
  <si>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</si>
  <si>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</si>
  <si>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</si>
  <si>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</si>
  <si>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</si>
  <si>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</si>
  <si>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</si>
  <si>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</si>
  <si>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</si>
  <si>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</si>
  <si>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</si>
  <si>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</si>
  <si>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</si>
  <si>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</si>
  <si>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</si>
  <si>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</si>
  <si>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</si>
  <si>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</si>
  <si>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</si>
  <si>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</si>
  <si>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</si>
  <si>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</si>
  <si>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</si>
  <si>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</si>
  <si>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</si>
  <si>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</si>
  <si>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</si>
  <si>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</si>
  <si>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</si>
  <si>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</si>
  <si>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</si>
  <si>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</si>
  <si>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</si>
  <si>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</si>
  <si>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</si>
  <si>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</si>
  <si>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</si>
  <si>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</si>
  <si>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</si>
  <si>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</si>
  <si>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</si>
  <si>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</si>
  <si>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</si>
  <si>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</si>
  <si>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</si>
  <si>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</si>
  <si>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</si>
  <si>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</si>
  <si>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</si>
  <si>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</si>
  <si>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</si>
  <si>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</si>
  <si>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</si>
  <si>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</si>
  <si>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</si>
  <si>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</si>
  <si>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</si>
  <si>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</si>
  <si>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</si>
  <si>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</si>
  <si>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</si>
  <si>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</si>
  <si>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</si>
  <si>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</si>
  <si>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</si>
  <si>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</si>
  <si>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</si>
  <si>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</si>
  <si>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</si>
  <si>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</si>
  <si>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</si>
  <si>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</si>
  <si>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</si>
  <si>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</si>
  <si>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</si>
  <si>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</si>
  <si>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</si>
  <si>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</si>
  <si>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</si>
  <si>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</si>
  <si>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</si>
  <si>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</si>
  <si>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</si>
  <si>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</si>
  <si>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</si>
  <si>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</si>
  <si>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</si>
  <si>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</si>
  <si>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</si>
  <si>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</si>
  <si>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</si>
  <si>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</si>
  <si>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</si>
  <si>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</si>
  <si>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</si>
  <si>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</si>
  <si>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</si>
  <si>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</si>
  <si>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</si>
  <si>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</si>
  <si>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</si>
  <si>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</si>
  <si>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</si>
  <si>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</si>
  <si>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</si>
  <si>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</si>
  <si>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</si>
  <si>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</si>
  <si>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</si>
  <si>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</si>
  <si>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</si>
  <si>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</si>
  <si>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</si>
  <si>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</si>
  <si>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</si>
  <si>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</si>
  <si>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</si>
  <si>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</si>
  <si>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</si>
  <si>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</si>
  <si>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</si>
  <si>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</si>
  <si>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</si>
  <si>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</si>
  <si>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</si>
  <si>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</si>
  <si>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</si>
  <si>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</si>
  <si>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</si>
  <si>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</si>
  <si>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</si>
  <si>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</si>
  <si>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</si>
  <si>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</si>
  <si>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</si>
  <si>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</si>
  <si>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</si>
  <si>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</si>
  <si>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</si>
  <si>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</si>
  <si>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</si>
  <si>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</si>
  <si>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</si>
  <si>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</si>
  <si>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</si>
  <si>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</si>
  <si>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</si>
  <si>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</si>
  <si>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</si>
  <si>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</si>
  <si>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</si>
  <si>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</si>
  <si>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</si>
  <si>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</si>
  <si>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</si>
  <si>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</si>
  <si>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</si>
  <si>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</si>
  <si>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</si>
  <si>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</si>
  <si>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</si>
  <si>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</si>
  <si>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</si>
  <si>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</si>
  <si>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</si>
  <si>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</si>
  <si>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</si>
  <si>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</si>
  <si>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</si>
  <si>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</si>
  <si>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</si>
  <si>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</si>
  <si>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</si>
  <si>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</si>
  <si>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</si>
  <si>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</si>
  <si>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</si>
  <si>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</si>
  <si>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</si>
  <si>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</si>
  <si>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</si>
  <si>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</si>
  <si>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</si>
  <si>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</si>
  <si>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</si>
  <si>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</si>
  <si>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</si>
  <si>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</si>
  <si>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</si>
  <si>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</si>
  <si>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</si>
  <si>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</si>
  <si>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</si>
  <si>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</si>
  <si>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</si>
  <si>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</si>
  <si>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</si>
  <si>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</si>
  <si>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</si>
  <si>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</si>
  <si>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</si>
  <si>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</si>
  <si>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</si>
  <si>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</si>
  <si>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</si>
  <si>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</si>
  <si>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</si>
  <si>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</si>
  <si>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</si>
  <si>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</si>
  <si>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</si>
  <si>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</si>
  <si>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</si>
  <si>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</si>
  <si>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</si>
  <si>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</si>
  <si>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</si>
  <si>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</si>
  <si>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</si>
  <si>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</si>
  <si>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</si>
  <si>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</si>
  <si>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</si>
  <si>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</si>
  <si>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</si>
  <si>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</si>
  <si>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</si>
  <si>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</si>
  <si>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</si>
  <si>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</si>
  <si>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</si>
  <si>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</si>
  <si>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</si>
  <si>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</si>
  <si>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</si>
  <si>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</si>
  <si>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</si>
  <si>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</si>
  <si>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</si>
  <si>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</si>
  <si>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</si>
  <si>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</si>
  <si>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</si>
  <si>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</si>
  <si>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</si>
  <si>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</si>
  <si>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</si>
  <si>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</si>
  <si>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</si>
  <si>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</si>
  <si>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</si>
  <si>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</si>
  <si>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</si>
  <si>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</si>
  <si>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</si>
  <si>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</si>
  <si>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</si>
  <si>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</si>
  <si>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</si>
  <si>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</si>
  <si>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</si>
  <si>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</si>
  <si>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</si>
  <si>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</si>
  <si>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</si>
  <si>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</si>
  <si>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</si>
  <si>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</si>
  <si>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</si>
  <si>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</si>
  <si>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</si>
  <si>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</si>
  <si>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</si>
  <si>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</si>
  <si>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</si>
  <si>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</si>
  <si>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</si>
  <si>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</si>
  <si>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</si>
  <si>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</si>
  <si>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</si>
  <si>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</si>
  <si>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</si>
  <si>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</si>
  <si>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</si>
  <si>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</si>
  <si>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</si>
  <si>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</si>
  <si>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</si>
  <si>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</si>
  <si>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</si>
  <si>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</si>
  <si>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</si>
  <si>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</si>
  <si>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</si>
  <si>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</si>
  <si>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</si>
  <si>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</si>
  <si>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</si>
  <si>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</si>
  <si>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</si>
  <si>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</si>
  <si>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</si>
  <si>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</si>
  <si>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</si>
  <si>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</si>
  <si>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</si>
  <si>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</si>
  <si>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</si>
  <si>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</si>
  <si>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</si>
  <si>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</si>
  <si>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</si>
  <si>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</si>
  <si>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</si>
  <si>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</si>
  <si>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</si>
  <si>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</si>
  <si>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</si>
  <si>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</si>
  <si>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</si>
  <si>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</si>
  <si>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</si>
  <si>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</si>
  <si>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</si>
  <si>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</si>
  <si>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</si>
  <si>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</si>
  <si>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</si>
  <si>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</si>
  <si>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</si>
  <si>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</si>
  <si>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</si>
  <si>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</si>
  <si>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</si>
  <si>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</si>
  <si>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</si>
  <si>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</si>
  <si>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</si>
  <si>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</si>
  <si>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</si>
  <si>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</si>
  <si>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</si>
  <si>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</si>
  <si>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</si>
  <si>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</si>
  <si>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</si>
  <si>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</si>
  <si>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</si>
  <si>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</si>
  <si>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</si>
  <si>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</si>
  <si>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</si>
  <si>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</si>
  <si>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</si>
  <si>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</si>
  <si>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</si>
  <si>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</si>
  <si>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</si>
  <si>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</si>
  <si>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</si>
  <si>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</si>
  <si>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</si>
  <si>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</si>
  <si>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</si>
  <si>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</si>
  <si>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</si>
  <si>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</si>
  <si>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</si>
  <si>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</si>
  <si>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</si>
  <si>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</si>
  <si>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</si>
  <si>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</si>
  <si>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</si>
  <si>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</si>
  <si>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</si>
  <si>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</si>
  <si>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</si>
  <si>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</si>
  <si>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</si>
  <si>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</si>
  <si>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</si>
  <si>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</si>
  <si>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</si>
  <si>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</si>
  <si>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</si>
  <si>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</si>
  <si>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</si>
  <si>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</si>
  <si>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</si>
  <si>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</si>
  <si>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</si>
  <si>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</si>
  <si>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</si>
  <si>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</si>
  <si>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</si>
  <si>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</si>
  <si>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</si>
  <si>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</si>
  <si>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</si>
  <si>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</si>
  <si>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</si>
  <si>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</si>
  <si>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</si>
  <si>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</si>
  <si>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</si>
  <si>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</si>
  <si>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</si>
  <si>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</si>
  <si>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</si>
  <si>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</si>
  <si>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</si>
  <si>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</si>
  <si>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</si>
  <si>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</si>
  <si>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</si>
  <si>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</si>
  <si>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</si>
  <si>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</si>
  <si>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</si>
  <si>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</si>
  <si>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</si>
  <si>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</si>
  <si>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</si>
  <si>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</si>
  <si>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</si>
  <si>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</si>
  <si>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</si>
  <si>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</si>
  <si>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</si>
  <si>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</si>
  <si>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</si>
  <si>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</si>
  <si>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</si>
  <si>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</si>
  <si>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</si>
  <si>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</si>
  <si>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</si>
  <si>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</si>
  <si>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</si>
  <si>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</si>
  <si>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</si>
  <si>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</si>
  <si>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</si>
  <si>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</si>
  <si>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</si>
  <si>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</si>
  <si>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</si>
  <si>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</si>
  <si>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</si>
  <si>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</si>
  <si>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</si>
  <si>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</si>
  <si>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</si>
  <si>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</si>
  <si>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</si>
  <si>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</si>
  <si>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</si>
  <si>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</si>
  <si>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</si>
  <si>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</si>
  <si>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</si>
  <si>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</si>
  <si>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</si>
  <si>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</si>
  <si>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</si>
  <si>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</si>
  <si>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</si>
  <si>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</si>
  <si>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</si>
  <si>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</si>
  <si>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</si>
  <si>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</si>
  <si>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</si>
  <si>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</si>
  <si>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</si>
  <si>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</si>
  <si>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</si>
  <si>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</si>
  <si>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</si>
  <si>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</si>
  <si>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</si>
  <si>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</si>
  <si>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</si>
  <si>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</si>
  <si>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</si>
  <si>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</si>
  <si>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</si>
  <si>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</si>
  <si>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</si>
  <si>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</si>
  <si>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</si>
  <si>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</si>
  <si>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</si>
  <si>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</si>
  <si>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</si>
  <si>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</si>
  <si>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</si>
  <si>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</si>
  <si>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</si>
  <si>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</si>
  <si>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</si>
  <si>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</si>
  <si>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</si>
  <si>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</si>
  <si>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</si>
  <si>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</si>
  <si>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</si>
  <si>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</si>
  <si>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</si>
  <si>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</si>
  <si>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</si>
  <si>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</si>
  <si>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</si>
  <si>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</si>
  <si>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</si>
  <si>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</si>
  <si>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</si>
  <si>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</si>
  <si>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</si>
  <si>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</si>
  <si>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</si>
  <si>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</si>
  <si>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</si>
  <si>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</si>
  <si>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</si>
  <si>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</si>
  <si>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</si>
  <si>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</si>
  <si>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</si>
  <si>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</si>
  <si>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</si>
  <si>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</si>
  <si>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</si>
  <si>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</si>
  <si>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</si>
  <si>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</si>
  <si>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</si>
  <si>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</si>
  <si>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</si>
  <si>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</si>
  <si>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</si>
  <si>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</si>
  <si>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</si>
  <si>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</si>
  <si>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</si>
  <si>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</si>
  <si>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</si>
  <si>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</si>
  <si>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</si>
  <si>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</si>
  <si>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</si>
  <si>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</si>
  <si>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</si>
  <si>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</si>
  <si>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</si>
  <si>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</si>
  <si>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</si>
  <si>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</si>
  <si>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</si>
  <si>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</si>
  <si>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</si>
  <si>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</si>
  <si>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</si>
  <si>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</si>
  <si>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</si>
  <si>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</si>
  <si>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</si>
  <si>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</si>
  <si>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</si>
  <si>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</si>
  <si>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</si>
  <si>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</si>
  <si>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</si>
  <si>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</si>
  <si>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</si>
  <si>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</si>
  <si>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</si>
  <si>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</si>
  <si>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</si>
  <si>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</si>
  <si>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</si>
  <si>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</si>
  <si>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</si>
  <si>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</si>
  <si>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</si>
  <si>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</si>
  <si>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</si>
  <si>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</si>
  <si>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</si>
  <si>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</si>
  <si>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</si>
  <si>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</si>
  <si>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</si>
  <si>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</si>
  <si>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</si>
  <si>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</si>
  <si>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</si>
  <si>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</si>
  <si>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</si>
  <si>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</si>
  <si>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</si>
  <si>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</si>
  <si>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</si>
  <si>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</si>
  <si>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</si>
  <si>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</si>
  <si>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</si>
  <si>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</si>
  <si>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</si>
  <si>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</si>
  <si>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</si>
  <si>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</si>
  <si>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</si>
  <si>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</si>
  <si>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</si>
  <si>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</si>
  <si>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</si>
  <si>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</si>
  <si>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</si>
  <si>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</si>
  <si>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</si>
  <si>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</si>
  <si>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</si>
  <si>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</si>
  <si>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</si>
  <si>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</si>
  <si>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</si>
  <si>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</si>
  <si>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</si>
  <si>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</si>
  <si>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</si>
  <si>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</si>
  <si>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</si>
  <si>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</si>
  <si>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</si>
  <si>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</si>
  <si>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</si>
  <si>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</si>
  <si>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</si>
  <si>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</si>
  <si>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</si>
  <si>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</si>
  <si>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</si>
  <si>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</si>
  <si>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</si>
  <si>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</si>
  <si>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</si>
  <si>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</si>
  <si>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</si>
  <si>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</si>
  <si>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</si>
  <si>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</si>
  <si>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</si>
  <si>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</si>
  <si>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</si>
  <si>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</si>
  <si>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</si>
  <si>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</si>
  <si>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</si>
  <si>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</si>
  <si>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</si>
  <si>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</si>
  <si>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</si>
  <si>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</si>
  <si>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</si>
  <si>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</si>
  <si>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</si>
  <si>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</si>
  <si>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</si>
  <si>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</si>
  <si>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</si>
  <si>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</si>
  <si>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</si>
  <si>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</si>
  <si>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</si>
  <si>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</si>
  <si>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</si>
  <si>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</si>
  <si>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</si>
  <si>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</si>
  <si>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</si>
  <si>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</si>
  <si>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</si>
  <si>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</si>
  <si>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</si>
  <si>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</si>
  <si>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</si>
  <si>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</si>
  <si>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</si>
  <si>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</si>
  <si>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</si>
  <si>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</si>
  <si>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</si>
  <si>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</si>
  <si>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</si>
  <si>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</si>
  <si>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</si>
  <si>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</si>
  <si>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</si>
  <si>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</si>
  <si>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</si>
  <si>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</si>
  <si>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</si>
  <si>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</si>
  <si>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</si>
  <si>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</si>
  <si>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</si>
  <si>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</si>
  <si>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</si>
  <si>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</si>
  <si>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</si>
  <si>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</si>
  <si>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</si>
  <si>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</si>
  <si>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</si>
  <si>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</si>
  <si>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</si>
  <si>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</si>
  <si>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</si>
  <si>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</si>
  <si>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</si>
  <si>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</si>
  <si>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</si>
  <si>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</si>
  <si>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</si>
  <si>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</si>
  <si>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</si>
  <si>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</si>
  <si>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</si>
  <si>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</si>
  <si>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</si>
  <si>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</si>
  <si>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</si>
  <si>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</si>
  <si>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</si>
  <si>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</si>
  <si>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</si>
  <si>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</si>
  <si>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</si>
  <si>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</si>
  <si>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</si>
  <si>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</si>
  <si>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</si>
  <si>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</si>
  <si>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</si>
  <si>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</si>
  <si>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</si>
  <si>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</si>
  <si>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</si>
  <si>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</si>
  <si>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</si>
  <si>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</si>
  <si>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</si>
  <si>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</si>
  <si>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</si>
  <si>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</si>
  <si>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</si>
  <si>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</si>
  <si>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</si>
  <si>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</si>
  <si>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</si>
  <si>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</si>
  <si>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</si>
  <si>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</si>
  <si>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</si>
  <si>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</si>
  <si>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</si>
  <si>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</si>
  <si>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</si>
  <si>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</si>
  <si>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</si>
  <si>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</si>
  <si>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</si>
  <si>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</si>
  <si>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</si>
  <si>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</si>
  <si>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</si>
  <si>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</si>
  <si>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</si>
  <si>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</si>
  <si>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</si>
  <si>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</si>
  <si>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</si>
  <si>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</si>
  <si>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</si>
  <si>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</si>
  <si>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</si>
  <si>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</si>
  <si>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</si>
  <si>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</si>
  <si>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</si>
  <si>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</si>
  <si>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</si>
  <si>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</si>
  <si>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</si>
  <si>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</si>
  <si>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</si>
  <si>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</si>
  <si>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</si>
  <si>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</si>
  <si>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</si>
  <si>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</si>
  <si>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</si>
  <si>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</si>
  <si>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</si>
  <si>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</si>
  <si>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</si>
  <si>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</si>
  <si>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</si>
  <si>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</si>
  <si>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</si>
  <si>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</si>
  <si>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</si>
  <si>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</si>
  <si>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</si>
  <si>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</si>
  <si>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</si>
  <si>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</si>
  <si>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</si>
  <si>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</si>
  <si>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</si>
  <si>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</si>
  <si>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</si>
  <si>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</si>
  <si>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</si>
  <si>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</si>
  <si>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</si>
  <si>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</si>
  <si>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</si>
  <si>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</si>
  <si>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</si>
  <si>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</si>
  <si>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</si>
  <si>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</si>
  <si>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</si>
  <si>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</si>
  <si>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</si>
  <si>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</si>
  <si>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</si>
  <si>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</si>
  <si>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</si>
  <si>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</si>
  <si>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</si>
  <si>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</si>
  <si>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</si>
  <si>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</si>
  <si>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</si>
  <si>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</si>
  <si>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</si>
  <si>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</si>
  <si>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</si>
  <si>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</si>
  <si>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</si>
  <si>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</si>
  <si>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</si>
  <si>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</si>
  <si>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</si>
  <si>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</si>
  <si>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</si>
  <si>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</si>
  <si>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</si>
  <si>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</si>
  <si>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</si>
  <si>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</si>
  <si>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</si>
  <si>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</si>
  <si>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</si>
  <si>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</si>
  <si>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</si>
  <si>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</si>
  <si>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</si>
  <si>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</si>
  <si>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</si>
  <si>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</si>
  <si>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</si>
  <si>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</si>
  <si>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</si>
  <si>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</si>
  <si>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</si>
  <si>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</si>
  <si>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</si>
  <si>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</si>
  <si>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</si>
  <si>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</si>
  <si>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</si>
  <si>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</si>
  <si>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</si>
  <si>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</si>
  <si>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</si>
  <si>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</si>
  <si>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</si>
  <si>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</si>
  <si>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</si>
  <si>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</si>
  <si>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</si>
  <si>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</si>
  <si>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</si>
  <si>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</si>
  <si>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</si>
  <si>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</si>
  <si>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</si>
  <si>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</si>
  <si>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</si>
  <si>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</si>
  <si>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</si>
  <si>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</si>
  <si>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</si>
  <si>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</si>
  <si>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</si>
  <si>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</si>
  <si>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</si>
  <si>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</si>
  <si>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</si>
  <si>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</si>
  <si>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</si>
  <si>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</si>
  <si>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</si>
  <si>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</si>
  <si>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</si>
  <si>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</si>
  <si>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</si>
  <si>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</si>
  <si>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</si>
  <si>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</si>
  <si>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</si>
  <si>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</si>
  <si>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</si>
  <si>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</si>
  <si>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</si>
  <si>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</si>
  <si>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</si>
  <si>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</si>
  <si>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</si>
  <si>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</si>
  <si>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</si>
  <si>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</si>
  <si>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</si>
  <si>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</si>
  <si>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</si>
  <si>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</si>
  <si>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</si>
  <si>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</si>
  <si>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</si>
  <si>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</si>
  <si>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</si>
  <si>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</si>
  <si>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</si>
  <si>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</si>
  <si>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</si>
  <si>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</si>
  <si>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</si>
  <si>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</si>
  <si>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</si>
  <si>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</si>
  <si>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</si>
  <si>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</si>
  <si>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</si>
  <si>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</si>
  <si>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</si>
  <si>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</si>
  <si>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</si>
  <si>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</si>
  <si>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</si>
  <si>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</si>
  <si>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</si>
  <si>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</si>
  <si>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</si>
  <si>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</si>
  <si>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</si>
  <si>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</si>
  <si>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</si>
  <si>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</si>
  <si>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</si>
  <si>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</si>
  <si>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</si>
  <si>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</si>
  <si>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</si>
  <si>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</si>
  <si>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</si>
  <si>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</si>
  <si>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</si>
  <si>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</si>
  <si>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</si>
  <si>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</si>
  <si>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</si>
  <si>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</si>
  <si>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</si>
  <si>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</si>
  <si>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</si>
  <si>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</si>
  <si>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</si>
  <si>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</si>
  <si>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</si>
  <si>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</si>
  <si>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</si>
  <si>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</si>
  <si>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</si>
  <si>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</si>
  <si>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</si>
  <si>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</si>
  <si>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</si>
  <si>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</si>
  <si>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</si>
  <si>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</si>
  <si>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</si>
  <si>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</si>
  <si>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</si>
  <si>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</si>
  <si>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</si>
  <si>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</si>
  <si>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</si>
  <si>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</si>
  <si>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</si>
  <si>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</si>
  <si>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</si>
  <si>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</si>
  <si>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</si>
  <si>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</si>
  <si>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</si>
  <si>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</si>
  <si>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</si>
  <si>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</si>
  <si>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</si>
  <si>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</si>
  <si>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</si>
  <si>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</si>
  <si>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</si>
  <si>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</si>
  <si>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</si>
  <si>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</si>
  <si>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</si>
  <si>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</si>
  <si>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</si>
  <si>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</si>
  <si>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</si>
  <si>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</si>
  <si>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</si>
  <si>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</si>
  <si>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</si>
  <si>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</si>
  <si>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</si>
  <si>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</si>
  <si>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</si>
  <si>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</si>
  <si>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</si>
  <si>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</si>
  <si>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</si>
  <si>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</si>
  <si>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</si>
  <si>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</si>
  <si>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</si>
  <si>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</si>
  <si>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</si>
  <si>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</si>
  <si>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</si>
  <si>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</si>
  <si>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</si>
  <si>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</si>
  <si>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</si>
  <si>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</si>
  <si>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</si>
  <si>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</si>
  <si>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</si>
  <si>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</si>
  <si>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</si>
  <si>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</si>
  <si>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</si>
  <si>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</si>
  <si>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</si>
  <si>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</si>
  <si>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</si>
  <si>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</si>
  <si>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</si>
  <si>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</si>
  <si>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</si>
  <si>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</si>
  <si>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</si>
  <si>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</si>
  <si>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</si>
  <si>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</si>
  <si>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</si>
  <si>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</si>
  <si>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</si>
  <si>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</si>
  <si>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</si>
  <si>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</si>
  <si>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</si>
  <si>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</si>
  <si>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</si>
  <si>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</si>
  <si>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</si>
  <si>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</si>
  <si>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</si>
  <si>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</si>
  <si>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</si>
  <si>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</si>
  <si>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</si>
  <si>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</si>
  <si>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</si>
  <si>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</si>
  <si>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</si>
  <si>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</si>
  <si>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</si>
  <si>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</si>
  <si>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</si>
  <si>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</si>
  <si>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</si>
  <si>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</si>
  <si>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</si>
  <si>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</si>
  <si>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</si>
  <si>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</si>
  <si>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</si>
  <si>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</si>
  <si>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</si>
  <si>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</si>
  <si>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</si>
  <si>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</si>
  <si>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</si>
  <si>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</si>
  <si>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</si>
  <si>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</si>
  <si>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</si>
  <si>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</si>
  <si>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</si>
  <si>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</si>
  <si>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</si>
  <si>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</si>
  <si>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</si>
  <si>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</si>
  <si>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</si>
  <si>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</si>
  <si>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</si>
  <si>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</si>
  <si>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</si>
  <si>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</si>
  <si>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</si>
  <si>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</si>
  <si>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</si>
  <si>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</si>
  <si>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</si>
  <si>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</si>
  <si>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</si>
  <si>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</si>
  <si>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</si>
  <si>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</si>
  <si>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</si>
  <si>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</si>
  <si>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</si>
  <si>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</si>
  <si>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</si>
  <si>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</si>
  <si>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</si>
  <si>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</si>
  <si>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</si>
  <si>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</si>
  <si>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</si>
  <si>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</si>
  <si>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</si>
  <si>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</si>
  <si>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</si>
  <si>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</si>
  <si>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</si>
  <si>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</si>
  <si>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</si>
  <si>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</si>
  <si>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</si>
  <si>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</si>
  <si>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</si>
  <si>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</si>
  <si>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</si>
  <si>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</si>
  <si>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</si>
  <si>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</si>
  <si>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</si>
  <si>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</si>
  <si>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</si>
  <si>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</si>
  <si>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</si>
  <si>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</si>
  <si>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</si>
  <si>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</si>
  <si>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</si>
  <si>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</si>
  <si>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</si>
  <si>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</si>
  <si>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</si>
  <si>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</si>
  <si>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</si>
  <si>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</si>
  <si>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</si>
  <si>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</si>
  <si>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</si>
  <si>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</si>
  <si>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</si>
  <si>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</si>
  <si>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</si>
  <si>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</si>
  <si>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</si>
  <si>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</si>
  <si>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</si>
  <si>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</si>
  <si>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</si>
  <si>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</si>
  <si>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</si>
  <si>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</si>
  <si>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</si>
  <si>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</si>
  <si>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</si>
  <si>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</si>
  <si>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</si>
  <si>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</si>
  <si>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</si>
  <si>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</si>
  <si>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</si>
  <si>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</si>
  <si>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</si>
  <si>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</si>
  <si>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</si>
  <si>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</si>
  <si>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</si>
  <si>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</si>
  <si>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</si>
  <si>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</si>
  <si>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</si>
  <si>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</si>
  <si>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</si>
  <si>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</si>
  <si>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</si>
  <si>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</si>
  <si>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</si>
  <si>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</si>
  <si>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</si>
  <si>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</si>
  <si>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</si>
  <si>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</si>
  <si>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</si>
  <si>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</si>
  <si>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</si>
  <si>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</si>
  <si>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</si>
  <si>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</si>
  <si>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</si>
  <si>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</si>
  <si>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</si>
  <si>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</si>
  <si>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</si>
  <si>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</si>
  <si>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</si>
  <si>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</si>
  <si>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</si>
  <si>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</si>
  <si>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</si>
  <si>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</si>
  <si>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</si>
  <si>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</si>
  <si>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</si>
  <si>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</si>
  <si>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</si>
  <si>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</si>
  <si>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</si>
  <si>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</si>
  <si>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</si>
  <si>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</si>
  <si>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</si>
  <si>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</si>
  <si>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</si>
  <si>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</si>
  <si>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</si>
  <si>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</si>
  <si>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</si>
  <si>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</si>
  <si>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</si>
  <si>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</si>
  <si>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</si>
  <si>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</si>
  <si>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</si>
  <si>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</si>
  <si>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</si>
  <si>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</si>
  <si>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</si>
  <si>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</si>
  <si>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</si>
  <si>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</si>
  <si>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</si>
  <si>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</si>
  <si>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</si>
  <si>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</si>
  <si>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</si>
  <si>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</si>
  <si>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</si>
  <si>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</si>
  <si>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</si>
  <si>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</si>
  <si>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</si>
  <si>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</si>
  <si>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</si>
  <si>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</si>
  <si>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</si>
  <si>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</si>
  <si>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</si>
  <si>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</si>
  <si>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</si>
  <si>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</si>
  <si>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</si>
  <si>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</si>
  <si>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</si>
  <si>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</si>
  <si>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</si>
  <si>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</si>
  <si>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</si>
  <si>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</si>
  <si>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</si>
  <si>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</si>
  <si>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</si>
  <si>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</si>
  <si>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</si>
  <si>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</si>
  <si>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</si>
  <si>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</si>
  <si>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</si>
  <si>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</si>
  <si>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</si>
  <si>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</si>
  <si>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</si>
  <si>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</si>
  <si>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</si>
  <si>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</si>
  <si>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</si>
  <si>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</si>
  <si>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</si>
  <si>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</si>
  <si>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</si>
  <si>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</si>
  <si>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</si>
  <si>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</si>
  <si>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</si>
  <si>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</si>
  <si>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</si>
  <si>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</si>
  <si>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</si>
  <si>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</si>
  <si>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</si>
  <si>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</si>
  <si>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</si>
  <si>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</si>
  <si>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</si>
  <si>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</si>
  <si>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</si>
  <si>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</si>
  <si>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</si>
  <si>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</si>
  <si>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</si>
  <si>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</si>
  <si>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</si>
  <si>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</si>
  <si>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</si>
  <si>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</si>
  <si>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</si>
  <si>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</si>
  <si>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</si>
  <si>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</si>
  <si>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</si>
  <si>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</si>
  <si>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</si>
  <si>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</si>
  <si>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</si>
  <si>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</si>
  <si>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</si>
  <si>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</si>
  <si>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</si>
  <si>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</si>
  <si>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</si>
  <si>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</si>
  <si>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</si>
  <si>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</si>
  <si>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</si>
  <si>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</si>
  <si>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</si>
  <si>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</si>
  <si>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</si>
  <si>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</si>
  <si>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</si>
  <si>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</si>
  <si>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</si>
  <si>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</si>
  <si>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</si>
  <si>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</si>
  <si>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</si>
  <si>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</si>
  <si>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</si>
  <si>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</si>
  <si>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</si>
  <si>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</si>
  <si>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</si>
  <si>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</si>
  <si>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</si>
  <si>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</si>
  <si>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</si>
  <si>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</si>
  <si>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</si>
  <si>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</si>
  <si>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</si>
  <si>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</si>
  <si>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</si>
  <si>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</si>
  <si>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</si>
  <si>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</si>
  <si>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</si>
  <si>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</si>
  <si>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</si>
  <si>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</si>
  <si>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</si>
  <si>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</si>
  <si>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</si>
  <si>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</si>
  <si>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</si>
  <si>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</si>
  <si>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</si>
  <si>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</si>
  <si>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</si>
  <si>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</si>
  <si>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</si>
  <si>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</si>
  <si>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</si>
  <si>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</si>
  <si>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</si>
  <si>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</si>
  <si>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</si>
  <si>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</si>
  <si>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</si>
  <si>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</si>
  <si>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</si>
  <si>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</si>
  <si>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</si>
  <si>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</si>
  <si>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</si>
  <si>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</si>
  <si>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</si>
  <si>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</si>
  <si>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</si>
  <si>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</si>
  <si>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</si>
  <si>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</si>
  <si>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</si>
  <si>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</si>
  <si>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</si>
  <si>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</si>
  <si>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</si>
  <si>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</si>
  <si>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</si>
  <si>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</si>
  <si>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</si>
  <si>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</si>
  <si>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</si>
  <si>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</si>
  <si>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</si>
  <si>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</si>
  <si>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</si>
  <si>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</si>
  <si>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</si>
  <si>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</si>
  <si>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</si>
  <si>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</si>
  <si>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</si>
  <si>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</si>
  <si>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</si>
  <si>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</si>
  <si>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</si>
  <si>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</si>
  <si>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</si>
  <si>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</si>
  <si>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</si>
  <si>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</si>
  <si>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</si>
  <si>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</si>
  <si>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</si>
  <si>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</si>
  <si>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</si>
  <si>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</si>
  <si>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</si>
  <si>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</si>
  <si>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</si>
  <si>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</si>
  <si>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</si>
  <si>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</si>
  <si>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</si>
  <si>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</si>
  <si>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</si>
  <si>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</si>
  <si>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</si>
  <si>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</si>
  <si>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</si>
  <si>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</si>
  <si>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</si>
  <si>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</si>
  <si>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</si>
  <si>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</si>
  <si>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</si>
  <si>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</si>
  <si>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</si>
  <si>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</si>
  <si>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</si>
  <si>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</si>
  <si>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</si>
  <si>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</si>
  <si>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</si>
  <si>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</si>
  <si>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</si>
  <si>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</si>
  <si>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</si>
  <si>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</si>
  <si>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</si>
  <si>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</si>
  <si>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</si>
  <si>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</si>
  <si>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</si>
  <si>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</si>
  <si>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</si>
  <si>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</si>
  <si>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</si>
  <si>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</si>
  <si>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</si>
  <si>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</si>
  <si>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</si>
  <si>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</si>
  <si>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</si>
  <si>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</si>
  <si>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</si>
  <si>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</si>
  <si>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</si>
  <si>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</si>
  <si>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</si>
  <si>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</si>
  <si>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</si>
  <si>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</si>
  <si>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</si>
  <si>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</si>
  <si>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</si>
  <si>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</si>
  <si>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</si>
  <si>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</si>
  <si>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</si>
  <si>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</si>
  <si>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</si>
  <si>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</si>
  <si>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</si>
  <si>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</si>
  <si>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</si>
  <si>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</si>
  <si>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</si>
  <si>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</si>
  <si>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</si>
  <si>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</si>
  <si>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</si>
  <si>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</si>
  <si>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</si>
  <si>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</si>
  <si>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</si>
  <si>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</si>
  <si>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</si>
  <si>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</si>
  <si>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</si>
  <si>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</si>
  <si>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</si>
  <si>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</si>
  <si>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</si>
  <si>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</si>
  <si>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</si>
  <si>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</si>
  <si>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</si>
  <si>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</si>
  <si>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</si>
  <si>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</si>
  <si>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</si>
  <si>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</si>
  <si>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</si>
  <si>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</si>
  <si>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</si>
  <si>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</si>
  <si>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</si>
  <si>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</si>
  <si>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</si>
  <si>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</si>
  <si>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</si>
  <si>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</si>
  <si>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</si>
  <si>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</si>
  <si>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</si>
  <si>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</si>
  <si>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</si>
  <si>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</si>
  <si>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</si>
  <si>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</si>
  <si>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</si>
  <si>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</si>
  <si>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</si>
  <si>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</si>
  <si>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</si>
  <si>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</si>
  <si>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</si>
  <si>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</si>
  <si>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</si>
  <si>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</si>
  <si>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</si>
  <si>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</si>
  <si>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</si>
  <si>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</si>
  <si>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</si>
  <si>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</si>
  <si>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</si>
  <si>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</si>
  <si>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</si>
  <si>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</si>
  <si>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</si>
  <si>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</si>
  <si>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</si>
  <si>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</si>
  <si>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</si>
  <si>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</si>
  <si>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</si>
  <si>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</si>
  <si>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</si>
  <si>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</si>
  <si>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</si>
  <si>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</si>
  <si>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</si>
  <si>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</si>
  <si>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</si>
  <si>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</si>
  <si>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</si>
  <si>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</si>
  <si>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</si>
  <si>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</si>
  <si>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</si>
  <si>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</si>
  <si>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</si>
  <si>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</si>
  <si>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</si>
  <si>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</si>
  <si>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</si>
  <si>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</si>
  <si>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</si>
  <si>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</si>
  <si>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</si>
  <si>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</si>
  <si>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</si>
  <si>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</si>
  <si>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</si>
  <si>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</si>
  <si>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</si>
  <si>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</si>
  <si>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</si>
  <si>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</si>
  <si>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</si>
  <si>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</si>
  <si>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</si>
  <si>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</si>
  <si>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</si>
  <si>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</si>
  <si>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</si>
  <si>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</si>
  <si>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</si>
  <si>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</si>
  <si>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</si>
  <si>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</si>
  <si>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</si>
  <si>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</si>
  <si>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</si>
  <si>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</si>
  <si>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</si>
  <si>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</si>
  <si>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</si>
  <si>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</si>
  <si>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</si>
  <si>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</si>
  <si>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</si>
  <si>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</si>
  <si>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</si>
  <si>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</si>
  <si>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</si>
  <si>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</si>
  <si>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</si>
  <si>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</si>
  <si>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</si>
  <si>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</si>
  <si>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</si>
  <si>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</si>
  <si>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</si>
  <si>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</si>
  <si>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</si>
  <si>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</si>
  <si>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</si>
  <si>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</si>
  <si>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</si>
  <si>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</si>
  <si>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</si>
  <si>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</si>
  <si>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</si>
  <si>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</si>
  <si>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</si>
  <si>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</si>
  <si>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</si>
  <si>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</si>
  <si>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</si>
  <si>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</si>
  <si>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</si>
  <si>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</si>
  <si>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</si>
  <si>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</si>
  <si>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</si>
  <si>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</si>
  <si>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</si>
  <si>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</si>
  <si>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</si>
  <si>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</si>
  <si>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</si>
  <si>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</si>
  <si>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</si>
  <si>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</si>
  <si>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</si>
  <si>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</si>
  <si>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</si>
  <si>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</si>
  <si>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</si>
  <si>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</si>
  <si>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</si>
  <si>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</si>
  <si>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</si>
  <si>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</si>
  <si>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</si>
  <si>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</si>
  <si>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</si>
  <si>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</si>
  <si>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</si>
  <si>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</si>
  <si>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</si>
  <si>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</si>
  <si>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</si>
  <si>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</si>
  <si>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</si>
  <si>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</si>
  <si>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</si>
  <si>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</si>
  <si>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</si>
  <si>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</si>
  <si>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</si>
  <si>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</si>
  <si>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</si>
  <si>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</si>
  <si>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</si>
  <si>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</si>
  <si>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</si>
  <si>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</si>
  <si>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</si>
  <si>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</si>
  <si>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</si>
  <si>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</si>
  <si>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</si>
  <si>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</si>
  <si>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</si>
  <si>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</si>
  <si>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</si>
  <si>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</si>
  <si>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</si>
  <si>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</si>
  <si>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</si>
  <si>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</si>
  <si>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</si>
  <si>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</si>
  <si>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</si>
  <si>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</si>
  <si>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</si>
  <si>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</si>
  <si>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</si>
  <si>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</si>
  <si>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</si>
  <si>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</si>
  <si>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</si>
  <si>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</si>
  <si>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</si>
  <si>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</si>
  <si>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</si>
  <si>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</si>
  <si>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</si>
  <si>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</si>
  <si>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</si>
  <si>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</si>
  <si>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</si>
  <si>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</si>
  <si>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</si>
  <si>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</si>
  <si>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</si>
  <si>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</si>
  <si>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</si>
  <si>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</si>
  <si>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</si>
  <si>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</si>
  <si>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</si>
  <si>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</si>
  <si>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</si>
  <si>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</si>
  <si>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</si>
  <si>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</si>
  <si>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</si>
  <si>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</si>
  <si>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</si>
  <si>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</si>
  <si>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</si>
  <si>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</si>
  <si>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</si>
  <si>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</si>
  <si>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</si>
  <si>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</si>
  <si>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</si>
  <si>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</si>
  <si>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</si>
  <si>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</si>
  <si>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</si>
  <si>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</si>
  <si>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</si>
  <si>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</si>
  <si>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</si>
  <si>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</si>
  <si>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</si>
  <si>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</si>
  <si>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</si>
  <si>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</si>
  <si>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</si>
  <si>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</si>
  <si>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</si>
  <si>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</si>
  <si>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</si>
  <si>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</si>
  <si>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</si>
  <si>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</si>
  <si>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</si>
  <si>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</si>
  <si>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</si>
  <si>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</si>
  <si>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</si>
  <si>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</si>
  <si>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</si>
  <si>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</si>
  <si>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</si>
  <si>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</si>
  <si>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</si>
  <si>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</si>
  <si>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</si>
  <si>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</si>
  <si>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</si>
  <si>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</si>
  <si>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</si>
  <si>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</si>
  <si>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</si>
  <si>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</si>
  <si>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</si>
  <si>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</si>
  <si>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</si>
  <si>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</si>
  <si>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</si>
  <si>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</si>
  <si>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</si>
  <si>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</si>
  <si>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</si>
  <si>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</si>
  <si>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</si>
  <si>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</si>
  <si>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</si>
  <si>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</si>
  <si>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</si>
  <si>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</si>
  <si>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</si>
  <si>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</si>
  <si>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</si>
  <si>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</si>
  <si>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</si>
  <si>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</si>
  <si>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</si>
  <si>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</si>
  <si>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</si>
  <si>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</si>
  <si>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</si>
  <si>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</si>
  <si>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</si>
  <si>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</si>
  <si>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</si>
  <si>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</si>
  <si>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</si>
  <si>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</si>
  <si>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</si>
  <si>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</si>
  <si>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</si>
  <si>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</si>
  <si>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</si>
  <si>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</si>
  <si>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</si>
  <si>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</si>
  <si>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</si>
  <si>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</si>
  <si>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</si>
  <si>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</si>
  <si>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</si>
  <si>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</si>
  <si>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</si>
  <si>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</si>
  <si>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</si>
  <si>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</si>
  <si>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</si>
  <si>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</si>
  <si>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</si>
  <si>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</si>
  <si>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</si>
  <si>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</si>
  <si>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</si>
  <si>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</si>
  <si>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</si>
  <si>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</si>
  <si>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</si>
  <si>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</si>
  <si>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</si>
  <si>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</si>
  <si>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</si>
  <si>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</si>
  <si>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</si>
  <si>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</si>
  <si>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</si>
  <si>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</si>
  <si>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</si>
  <si>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</si>
  <si>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</si>
  <si>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</si>
  <si>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</si>
  <si>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</si>
  <si>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</si>
  <si>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</si>
  <si>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</si>
  <si>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</si>
  <si>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</si>
  <si>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</si>
  <si>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</si>
  <si>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</si>
  <si>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</si>
  <si>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</si>
  <si>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</si>
  <si>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</si>
  <si>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</si>
  <si>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</si>
  <si>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</si>
  <si>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</si>
  <si>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</si>
  <si>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</si>
  <si>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</si>
  <si>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</si>
  <si>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</si>
  <si>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</si>
  <si>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</si>
  <si>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</si>
  <si>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</si>
  <si>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</si>
  <si>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</si>
  <si>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</si>
  <si>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</si>
  <si>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</si>
  <si>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</si>
  <si>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</si>
  <si>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</si>
  <si>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</si>
  <si>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</si>
  <si>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</si>
  <si>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</si>
  <si>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</si>
  <si>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</si>
  <si>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</si>
  <si>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</si>
  <si>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</si>
  <si>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</si>
  <si>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</si>
  <si>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</si>
  <si>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</si>
  <si>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</si>
  <si>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</si>
  <si>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</si>
  <si>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</si>
  <si>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</si>
  <si>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</si>
  <si>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</si>
  <si>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</si>
  <si>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</si>
  <si>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</si>
  <si>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</si>
  <si>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</si>
  <si>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</si>
  <si>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</si>
  <si>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</si>
  <si>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</si>
  <si>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</si>
  <si>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</si>
  <si>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</si>
  <si>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</si>
  <si>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</si>
  <si>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</si>
  <si>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</si>
  <si>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</si>
  <si>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</si>
  <si>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</si>
  <si>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</si>
  <si>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</si>
  <si>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</si>
  <si>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</si>
  <si>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</si>
  <si>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</si>
  <si>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</si>
  <si>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</si>
  <si>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</si>
  <si>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</si>
  <si>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</si>
  <si>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</si>
  <si>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</si>
  <si>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</si>
  <si>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</si>
  <si>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</si>
  <si>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</si>
  <si>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</si>
  <si>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</si>
  <si>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</si>
  <si>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</si>
  <si>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</si>
  <si>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</si>
  <si>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</si>
  <si>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</si>
  <si>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</si>
  <si>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</si>
  <si>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</si>
  <si>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</si>
  <si>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</si>
  <si>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</si>
  <si>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</si>
  <si>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</si>
  <si>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</si>
  <si>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</si>
  <si>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</si>
  <si>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</si>
  <si>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</si>
  <si>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</si>
  <si>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</si>
  <si>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</si>
  <si>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</si>
  <si>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</si>
  <si>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</si>
  <si>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</si>
  <si>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</si>
  <si>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</si>
  <si>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</si>
  <si>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</si>
  <si>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</si>
  <si>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</si>
  <si>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</si>
  <si>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</si>
  <si>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</si>
  <si>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</si>
  <si>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</si>
  <si>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</si>
  <si>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</si>
  <si>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</si>
  <si>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</si>
  <si>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</si>
  <si>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</si>
  <si>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</si>
  <si>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</si>
  <si>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</si>
  <si>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</si>
  <si>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</si>
  <si>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</si>
  <si>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</si>
  <si>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</si>
  <si>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</si>
  <si>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</si>
  <si>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</si>
  <si>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</si>
  <si>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</si>
  <si>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</si>
  <si>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</si>
  <si>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</si>
  <si>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</si>
  <si>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</si>
  <si>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</si>
  <si>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</si>
  <si>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</si>
  <si>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</si>
  <si>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</si>
  <si>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</si>
  <si>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</si>
  <si>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</si>
  <si>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</si>
  <si>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</si>
  <si>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</si>
  <si>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</si>
  <si>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</si>
  <si>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</si>
  <si>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</si>
  <si>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</si>
  <si>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</si>
  <si>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</si>
  <si>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</si>
  <si>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</si>
  <si>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</si>
  <si>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</si>
  <si>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</si>
  <si>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</si>
  <si>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</si>
  <si>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</si>
  <si>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</si>
  <si>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</si>
  <si>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</si>
  <si>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</si>
  <si>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</si>
  <si>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</si>
  <si>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</si>
  <si>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</si>
  <si>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</si>
  <si>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</si>
  <si>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</si>
  <si>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</si>
  <si>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</si>
  <si>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</si>
  <si>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</si>
  <si>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</si>
  <si>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</si>
  <si>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</si>
  <si>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</si>
  <si>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</si>
  <si>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</si>
  <si>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</si>
  <si>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</si>
  <si>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</si>
  <si>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</si>
  <si>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</si>
  <si>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</si>
  <si>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</si>
  <si>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</si>
  <si>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</si>
  <si>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</si>
  <si>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</si>
  <si>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</si>
  <si>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</si>
  <si>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</si>
  <si>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</si>
  <si>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</si>
  <si>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</si>
  <si>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</si>
  <si>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</si>
  <si>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</si>
  <si>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</si>
  <si>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</si>
  <si>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</si>
  <si>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</si>
  <si>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</si>
  <si>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</si>
  <si>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</si>
  <si>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</si>
  <si>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</si>
  <si>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</si>
  <si>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</si>
  <si>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</si>
  <si>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</si>
  <si>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</si>
  <si>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</si>
  <si>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</si>
  <si>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</si>
  <si>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</si>
  <si>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</si>
  <si>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</si>
  <si>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</si>
  <si>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</si>
  <si>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</si>
  <si>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</si>
  <si>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</si>
  <si>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</si>
  <si>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</si>
  <si>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</si>
  <si>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</si>
  <si>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</si>
  <si>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</si>
  <si>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</si>
  <si>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</si>
  <si>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</si>
  <si>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</si>
  <si>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</si>
  <si>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</si>
  <si>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</si>
  <si>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</si>
  <si>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</si>
  <si>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</si>
  <si>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</si>
  <si>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</si>
  <si>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</si>
  <si>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</si>
  <si>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</si>
  <si>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</si>
  <si>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</si>
  <si>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</si>
  <si>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</si>
  <si>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</si>
  <si>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</si>
  <si>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</si>
  <si>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</si>
  <si>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</si>
  <si>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</si>
  <si>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</si>
  <si>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</si>
  <si>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</si>
  <si>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</si>
  <si>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</si>
  <si>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</si>
  <si>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</si>
  <si>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</si>
  <si>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</si>
  <si>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</si>
  <si>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</si>
  <si>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</si>
  <si>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</si>
  <si>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</si>
  <si>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</si>
  <si>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</si>
  <si>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</si>
  <si>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</si>
  <si>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</si>
  <si>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</si>
  <si>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</si>
  <si>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</si>
  <si>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</si>
  <si>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</si>
  <si>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</si>
  <si>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</si>
  <si>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</si>
  <si>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</si>
  <si>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</si>
  <si>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</si>
  <si>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</si>
  <si>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</si>
  <si>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</si>
  <si>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</si>
  <si>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</si>
  <si>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</si>
  <si>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</si>
  <si>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</si>
  <si>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</si>
  <si>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</si>
  <si>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</si>
  <si>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</si>
  <si>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</si>
  <si>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</si>
  <si>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</si>
  <si>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</si>
  <si>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</si>
  <si>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</si>
  <si>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</si>
  <si>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</si>
  <si>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</si>
  <si>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</si>
  <si>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</si>
  <si>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</si>
  <si>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</si>
  <si>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</si>
  <si>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</si>
  <si>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</si>
  <si>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</si>
  <si>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</si>
  <si>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</si>
  <si>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</si>
  <si>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</si>
  <si>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</si>
  <si>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</si>
  <si>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</si>
  <si>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</si>
  <si>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</si>
  <si>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</si>
  <si>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</si>
  <si>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</si>
  <si>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</si>
  <si>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</si>
  <si>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</si>
  <si>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</si>
  <si>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</si>
  <si>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</si>
  <si>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</si>
  <si>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</si>
  <si>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</si>
  <si>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</si>
  <si>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</si>
  <si>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</si>
  <si>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</si>
  <si>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</si>
  <si>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</si>
  <si>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</si>
  <si>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</si>
  <si>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</si>
  <si>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</si>
  <si>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</si>
  <si>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</si>
  <si>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</si>
  <si>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</si>
  <si>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</si>
  <si>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</si>
  <si>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</si>
  <si>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</si>
  <si>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</si>
  <si>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</si>
  <si>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</si>
  <si>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</si>
  <si>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</si>
  <si>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</si>
  <si>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</si>
  <si>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</si>
  <si>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</si>
  <si>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</si>
  <si>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</si>
  <si>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</si>
  <si>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</si>
  <si>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</si>
  <si>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</si>
  <si>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</si>
  <si>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</si>
  <si>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</si>
  <si>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</si>
  <si>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</si>
  <si>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</si>
  <si>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</si>
  <si>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</si>
  <si>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</si>
  <si>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</si>
  <si>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</si>
  <si>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</si>
  <si>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</si>
  <si>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</si>
  <si>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</si>
  <si>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</si>
  <si>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</si>
  <si>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</si>
  <si>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</si>
  <si>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</si>
  <si>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</si>
  <si>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</si>
  <si>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</si>
  <si>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</si>
  <si>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</si>
  <si>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</si>
  <si>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</si>
  <si>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</si>
  <si>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</si>
  <si>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</si>
  <si>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</si>
  <si>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</si>
  <si>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</si>
  <si>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</si>
  <si>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</si>
  <si>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</si>
  <si>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</si>
  <si>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</si>
  <si>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</si>
  <si>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</si>
  <si>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</si>
  <si>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</si>
  <si>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</si>
  <si>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</si>
  <si>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</si>
  <si>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</si>
  <si>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</si>
  <si>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</si>
  <si>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</si>
  <si>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</si>
  <si>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</si>
  <si>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</si>
  <si>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</si>
  <si>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</si>
  <si>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</si>
  <si>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</si>
  <si>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</si>
  <si>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</si>
  <si>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</si>
  <si>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</si>
  <si>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</si>
  <si>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</si>
  <si>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</si>
  <si>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</si>
  <si>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</si>
  <si>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</si>
  <si>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</si>
  <si>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</si>
  <si>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</si>
  <si>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</si>
  <si>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</si>
  <si>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</si>
  <si>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</si>
  <si>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</si>
  <si>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</si>
  <si>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</si>
  <si>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</si>
  <si>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</si>
  <si>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</si>
  <si>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</si>
  <si>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</si>
  <si>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</si>
  <si>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</si>
  <si>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</si>
  <si>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</si>
  <si>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</si>
  <si>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</si>
  <si>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</si>
  <si>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</si>
  <si>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</si>
  <si>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</si>
  <si>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</si>
  <si>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</si>
  <si>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</si>
  <si>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</si>
  <si>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</si>
  <si>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</si>
  <si>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</si>
  <si>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</si>
  <si>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</si>
  <si>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</si>
  <si>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</si>
  <si>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</si>
  <si>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</si>
  <si>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</si>
  <si>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</si>
  <si>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</si>
  <si>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</si>
  <si>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</si>
  <si>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</si>
  <si>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</si>
  <si>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</si>
  <si>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</si>
  <si>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</si>
  <si>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</si>
  <si>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</si>
  <si>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</si>
  <si>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</si>
  <si>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</si>
  <si>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</si>
  <si>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</si>
  <si>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</si>
  <si>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</si>
  <si>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</si>
  <si>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</si>
  <si>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</si>
  <si>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</si>
  <si>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</si>
  <si>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</si>
  <si>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</si>
  <si>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</si>
  <si>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</si>
  <si>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</si>
  <si>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</si>
  <si>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</si>
  <si>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</si>
  <si>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</si>
  <si>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</si>
  <si>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</si>
  <si>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</si>
  <si>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</si>
  <si>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</si>
  <si>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</si>
  <si>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</si>
  <si>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</si>
  <si>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</si>
  <si>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</si>
  <si>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</si>
  <si>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</si>
  <si>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</si>
  <si>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</si>
  <si>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</si>
  <si>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</si>
  <si>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</si>
  <si>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</si>
  <si>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</si>
  <si>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</si>
  <si>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</si>
  <si>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</si>
  <si>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</si>
  <si>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</si>
  <si>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</si>
  <si>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</si>
  <si>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</si>
  <si>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</si>
  <si>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</si>
  <si>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</si>
  <si>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</si>
  <si>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</si>
  <si>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</si>
  <si>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</si>
  <si>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</si>
  <si>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</si>
  <si>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</si>
  <si>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</si>
  <si>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</si>
  <si>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</si>
  <si>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</si>
  <si>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</si>
  <si>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</si>
  <si>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</si>
  <si>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</si>
  <si>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</si>
  <si>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</si>
  <si>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</si>
  <si>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</si>
  <si>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</si>
  <si>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</si>
  <si>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</si>
  <si>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</si>
  <si>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</si>
  <si>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</si>
  <si>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</si>
  <si>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</si>
  <si>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</si>
  <si>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</si>
  <si>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</si>
  <si>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</si>
  <si>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</si>
  <si>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</si>
  <si>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</si>
  <si>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</si>
  <si>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</si>
  <si>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</si>
  <si>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</si>
  <si>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</si>
  <si>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</si>
  <si>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</si>
  <si>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</si>
  <si>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</si>
  <si>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</si>
  <si>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</si>
  <si>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</si>
  <si>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</si>
  <si>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</si>
  <si>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</si>
  <si>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</si>
  <si>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</si>
  <si>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</si>
  <si>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</si>
  <si>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</si>
  <si>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</si>
  <si>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</si>
  <si>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</si>
  <si>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</si>
  <si>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</si>
  <si>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</si>
  <si>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</si>
  <si>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</si>
  <si>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</si>
  <si>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</si>
  <si>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</si>
  <si>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</si>
  <si>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</si>
  <si>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</si>
  <si>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</si>
  <si>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</si>
  <si>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</si>
  <si>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</si>
  <si>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</si>
  <si>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</si>
  <si>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</si>
  <si>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</si>
  <si>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</si>
  <si>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</si>
  <si>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</si>
  <si>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</si>
  <si>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</si>
  <si>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</si>
  <si>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</si>
  <si>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</si>
  <si>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</si>
  <si>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</si>
  <si>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</si>
  <si>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</si>
  <si>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</si>
  <si>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</si>
  <si>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</si>
  <si>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</si>
  <si>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</si>
  <si>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</si>
  <si>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</si>
  <si>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</si>
  <si>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</si>
  <si>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</si>
  <si>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</si>
  <si>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</si>
  <si>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</si>
  <si>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</si>
  <si>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</si>
  <si>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</si>
  <si>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</si>
  <si>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</si>
  <si>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</si>
  <si>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</si>
  <si>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</si>
  <si>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</si>
  <si>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</si>
  <si>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</si>
  <si>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</si>
  <si>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</si>
  <si>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</si>
  <si>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</si>
  <si>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</si>
  <si>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</si>
  <si>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</si>
  <si>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</si>
  <si>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</si>
  <si>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</si>
  <si>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</si>
  <si>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</si>
  <si>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</si>
  <si>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</si>
  <si>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</si>
  <si>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</si>
  <si>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</si>
  <si>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</si>
  <si>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</si>
  <si>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</si>
  <si>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</si>
  <si>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</si>
  <si>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</si>
  <si>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</si>
  <si>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</si>
  <si>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</si>
  <si>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</si>
  <si>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</si>
  <si>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</si>
  <si>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</si>
  <si>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</si>
  <si>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</si>
  <si>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</si>
  <si>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</si>
  <si>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</si>
  <si>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</si>
  <si>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</si>
  <si>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</si>
  <si>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</si>
  <si>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</si>
  <si>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</si>
  <si>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</si>
  <si>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Ⅶ-BDA东</t>
  </si>
  <si>
    <t>《建设工程规划许可证》</t>
  </si>
  <si>
    <t>2#汽车库人员出入口</t>
  </si>
  <si>
    <t>3#汽车库人员出入口</t>
  </si>
  <si>
    <t>地下汽车库</t>
  </si>
  <si>
    <t>1#门卫</t>
  </si>
  <si>
    <t>2#门卫</t>
  </si>
  <si>
    <t>3#门卫</t>
  </si>
  <si>
    <t>4#门卫</t>
  </si>
  <si>
    <t>5#门卫</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</si>
  <si>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</si>
  <si>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</si>
  <si>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</si>
  <si>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</si>
  <si>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</si>
  <si>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</si>
  <si>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</si>
  <si>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</si>
  <si>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</si>
  <si>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</si>
  <si>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</si>
  <si>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</si>
  <si>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地上</t>
  </si>
  <si>
    <t>标准厂房</t>
  </si>
  <si>
    <t>办公楼</t>
  </si>
  <si>
    <t>地下</t>
  </si>
  <si>
    <t>车库</t>
  </si>
  <si>
    <t>工业</t>
    <phoneticPr fontId="7" type="noConversion"/>
  </si>
  <si>
    <t>成本法</t>
  </si>
  <si>
    <t>收益法</t>
  </si>
  <si>
    <t>押一</t>
  </si>
  <si>
    <t>按租金收入计税</t>
  </si>
  <si>
    <t>生产用房</t>
  </si>
  <si>
    <t>钢混</t>
  </si>
  <si>
    <t>在建（套用方法）</t>
  </si>
  <si>
    <t>已全部缴纳</t>
  </si>
  <si>
    <t>假设开发法</t>
  </si>
  <si>
    <t>未包含在土地购买价格中</t>
  </si>
  <si>
    <t>全部缴纳</t>
  </si>
  <si>
    <t>已包含在土地取得成本中</t>
  </si>
  <si>
    <t>工业</t>
    <phoneticPr fontId="33" type="noConversion"/>
  </si>
  <si>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</si>
  <si>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</si>
  <si>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</si>
  <si>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</si>
  <si>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</si>
  <si>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</si>
  <si>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</si>
  <si>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</si>
  <si>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</si>
  <si>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</si>
  <si>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</si>
  <si>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</si>
  <si>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</si>
  <si>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</si>
  <si>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t>七通</t>
  </si>
  <si>
    <t>六通</t>
  </si>
  <si>
    <t>五通</t>
  </si>
  <si>
    <t>四通</t>
  </si>
  <si>
    <t>三通</t>
  </si>
  <si>
    <t>好</t>
  </si>
  <si>
    <t>较好</t>
  </si>
  <si>
    <t>一般</t>
  </si>
  <si>
    <t>较差</t>
  </si>
  <si>
    <t>差</t>
  </si>
  <si>
    <t>规则</t>
  </si>
  <si>
    <t>多面临街</t>
  </si>
  <si>
    <t>次干道</t>
  </si>
  <si>
    <t xml:space="preserve">  </t>
    <phoneticPr fontId="25" type="noConversion"/>
  </si>
  <si>
    <t xml:space="preserve">  </t>
    <phoneticPr fontId="25" type="noConversion"/>
  </si>
  <si>
    <t xml:space="preserve"> </t>
    <phoneticPr fontId="25" type="noConversion"/>
  </si>
  <si>
    <t>单位面积地价</t>
  </si>
  <si>
    <t>地块名称</t>
  </si>
  <si>
    <t>城市</t>
  </si>
  <si>
    <t>用地性质</t>
  </si>
  <si>
    <t>出让方式</t>
  </si>
  <si>
    <t>详细规划</t>
  </si>
  <si>
    <t>建设用地面积(㎡)</t>
  </si>
  <si>
    <t>规划建筑面积(㎡)</t>
  </si>
  <si>
    <t>容积率</t>
  </si>
  <si>
    <t>成交日期</t>
  </si>
  <si>
    <t>受让单位</t>
  </si>
  <si>
    <t>起始价(万元)</t>
  </si>
  <si>
    <t>成交价(万元)</t>
  </si>
  <si>
    <t>成交楼面价(元/㎡)</t>
  </si>
  <si>
    <t>溢价率</t>
  </si>
  <si>
    <t>出让年限</t>
  </si>
  <si>
    <t>大兴生物医药产业基地DX00-0502-6004-1地块M1工业项目用地</t>
  </si>
  <si>
    <t>工业用地</t>
  </si>
  <si>
    <t>挂牌</t>
  </si>
  <si>
    <t>一类工业用地(M1)</t>
  </si>
  <si>
    <t>≤2.0</t>
  </si>
  <si>
    <t>2020-07-29</t>
  </si>
  <si>
    <t>北京三元基因药业股份有限公司</t>
  </si>
  <si>
    <t>20年</t>
  </si>
  <si>
    <t>大兴生物医药产业基地DX00-0502-6004-2地块工业用地国有建设用地使用权出让</t>
  </si>
  <si>
    <t>M1一类工业用地</t>
  </si>
  <si>
    <t>2020-05-21</t>
  </si>
  <si>
    <t>北京赛诺希德医疗科技有限公司</t>
  </si>
  <si>
    <t>大兴生物医药产业基地DX00-0502-6014-3地块工业用地</t>
  </si>
  <si>
    <t>工业厂房</t>
  </si>
  <si>
    <t>≤1.5</t>
  </si>
  <si>
    <t>2020-04-06</t>
  </si>
  <si>
    <t>北京本草方源药业集团有限公司</t>
  </si>
  <si>
    <t>北京经济技术开发区路南区N5M4地块工业项目</t>
  </si>
  <si>
    <t>M1工业用地</t>
  </si>
  <si>
    <t>≤2.37</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</si>
  <si>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</si>
  <si>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</si>
  <si>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</si>
  <si>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</si>
  <si>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</si>
  <si>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</si>
  <si>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</si>
  <si>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</si>
  <si>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</si>
  <si>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</si>
  <si>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</si>
  <si>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</si>
  <si>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</si>
  <si>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</si>
  <si>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</si>
  <si>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</si>
  <si>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</si>
  <si>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50年</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</si>
  <si>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</si>
  <si>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</si>
  <si>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</si>
  <si>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</si>
  <si>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</si>
  <si>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</si>
  <si>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</si>
  <si>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</si>
  <si>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</si>
  <si>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</si>
  <si>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</si>
  <si>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</si>
  <si>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</si>
  <si>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</si>
  <si>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</si>
  <si>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</si>
  <si>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</si>
  <si>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</si>
  <si>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</si>
  <si>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</si>
  <si>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</si>
  <si>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</si>
  <si>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</si>
  <si>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</si>
  <si>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</si>
  <si>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</si>
  <si>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</si>
  <si>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</si>
  <si>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</si>
  <si>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</si>
  <si>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</si>
  <si>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</si>
  <si>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</si>
  <si>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</si>
  <si>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</si>
  <si>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总价</t>
  </si>
  <si>
    <t>万元</t>
  </si>
  <si>
    <t>楼面单价</t>
  </si>
  <si>
    <t>元/平方米</t>
  </si>
  <si>
    <t>地面单价</t>
  </si>
  <si>
    <t>成本比率</t>
  </si>
  <si>
    <r>
      <t>2020</t>
    </r>
    <r>
      <rPr>
        <sz val="10"/>
        <color indexed="8"/>
        <rFont val="宋体"/>
        <family val="3"/>
        <charset val="134"/>
      </rPr>
      <t>年</t>
    </r>
    <r>
      <rPr>
        <sz val="10"/>
        <color indexed="8"/>
        <rFont val="Arial"/>
        <family val="2"/>
      </rPr>
      <t>3</t>
    </r>
    <r>
      <rPr>
        <sz val="10"/>
        <color indexed="8"/>
        <rFont val="宋体"/>
        <family val="3"/>
        <charset val="134"/>
      </rPr>
      <t>月复估函</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</si>
</sst>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楷体_GB2312"/>
      <family val="3"/>
      <charset val="134"/>
    </font>
    <font>
      <sz val="11"/>
      <color indexed="8"/>
      <name val="仿宋_GB2312"/>
      <family val="3"/>
      <charset val="134"/>
    </font>
    <font>
      <sz val="11"/>
      <name val="仿宋_GB2312"/>
      <family val="3"/>
      <charset val="134"/>
    </font>
    <font>
      <sz val="11"/>
      <name val="楷体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63" fillId="0" borderId="1" xfId="0" applyNumberFormat="1" applyFont="1" applyFill="1" applyBorder="1" applyAlignment="1" applyProtection="1">
      <alignment horizontal="center" vertical="center" shrinkToFit="1"/>
      <protection locked="0"/>
    </xf>
    <xf numFmtId="0" fontId="254" fillId="0" borderId="1" xfId="10" applyFont="1" applyBorder="1" applyAlignment="1" applyProtection="1">
      <alignment horizontal="center" vertical="center" wrapText="1"/>
      <protection locked="0"/>
    </xf>
    <xf numFmtId="0" fontId="101" fillId="0" borderId="1" xfId="1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6" fontId="104"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177" fontId="79" fillId="0" borderId="1" xfId="1" applyNumberFormat="1" applyFont="1" applyFill="1" applyBorder="1" applyAlignment="1" applyProtection="1">
      <alignment vertical="center"/>
      <protection locked="0" hidden="1"/>
    </xf>
    <xf numFmtId="0" fontId="53" fillId="19" borderId="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49" fontId="257"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0" fillId="5" borderId="0" xfId="0" applyFill="1">
      <alignment vertical="center"/>
    </xf>
    <xf numFmtId="0" fontId="0" fillId="20" borderId="0" xfId="0" applyFill="1">
      <alignment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6"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9"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9"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4" fontId="46" fillId="0" borderId="1" xfId="17" applyNumberFormat="1" applyFont="1" applyBorder="1" applyAlignment="1" applyProtection="1">
      <alignment horizontal="center" vertical="center"/>
      <protection locked="0"/>
    </xf>
    <xf numFmtId="0" fontId="0" fillId="7"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39033;&#30446;/2017-1-0882-&#23567;&#31859;&#20134;&#24196;/F05/&#36807;&#31243;/&#23567;&#31859;&#22312;&#24314;19-3-25-&#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101087.14</v>
          </cell>
        </row>
        <row r="5">
          <cell r="M5">
            <v>16210.670000000002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康正预评字0号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估价对象为北京市房地产，为所有。根据《国有土地使用证》[]，估价对象（分摊）出让国有建设用地使用权面积为101087.14平方米，建筑面积为177117.85平方米。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估价对象为北京市房地产,属开发建设的工业项目，该项目尚在开发建设中。根据《国有土地使用证》[]，估价对象（分摊）出让国有建设用地使用权面积为101087.14平方米，规划建筑面积为177117.85平方米。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2020年8月31日（评估专业人员实地查勘之日）</v>
      </c>
    </row>
    <row r="13" spans="1:2" s="1365" customFormat="1">
      <c r="A13" s="1363" t="s">
        <v>1194</v>
      </c>
      <c r="B13" s="1364" t="str">
        <f>'预评函-1'!A18</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91808</v>
      </c>
    </row>
    <row r="21" spans="1:2" s="1365" customFormat="1">
      <c r="A21" s="1363" t="s">
        <v>1202</v>
      </c>
      <c r="B21" s="1364">
        <f ca="1">'预评函-2'!D7</f>
        <v>5183</v>
      </c>
    </row>
    <row r="22" spans="1:2" s="1365" customFormat="1">
      <c r="A22" s="1363" t="s">
        <v>1203</v>
      </c>
      <c r="B22" s="1364" t="str">
        <f ca="1">'预评函-2'!D6</f>
        <v>玖亿壹仟捌佰零捌万元整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91808</v>
      </c>
    </row>
    <row r="31" spans="1:2" s="1365" customFormat="1">
      <c r="A31" s="1363" t="s">
        <v>1241</v>
      </c>
      <c r="B31" s="1364">
        <f ca="1">'预评函-2'!D15</f>
        <v>5183</v>
      </c>
    </row>
    <row r="32" spans="1:2" s="1365" customFormat="1">
      <c r="A32" s="1363" t="s">
        <v>1208</v>
      </c>
      <c r="B32" s="1364" t="str">
        <f ca="1">'预评函-2'!D14</f>
        <v>玖亿壹仟捌佰零捌万元整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177117.85000000003</v>
      </c>
    </row>
    <row r="44" spans="1:2" s="1365" customFormat="1">
      <c r="A44" s="1363" t="s">
        <v>1240</v>
      </c>
      <c r="B44" s="1364" t="str">
        <f>'预评函-3'!C2</f>
        <v>(分摊)土地面积</v>
      </c>
    </row>
    <row r="45" spans="1:2" s="1365" customFormat="1">
      <c r="A45" s="1363" t="s">
        <v>1212</v>
      </c>
      <c r="B45" s="1364">
        <f>'预评函-3'!C4</f>
        <v>101087.14</v>
      </c>
    </row>
    <row r="46" spans="1:2" s="1365" customFormat="1">
      <c r="A46" s="1363" t="s">
        <v>1238</v>
      </c>
      <c r="B46" s="1364" t="str">
        <f>'预评函-3'!D2</f>
        <v>出让国有建设用地使用权价值</v>
      </c>
    </row>
    <row r="47" spans="1:2" s="1365" customFormat="1">
      <c r="A47" s="1363" t="s">
        <v>1213</v>
      </c>
      <c r="B47" s="1364">
        <f ca="1">'预评函-3'!D4</f>
        <v>28185</v>
      </c>
    </row>
    <row r="48" spans="1:2" s="1365" customFormat="1">
      <c r="A48" s="1363" t="s">
        <v>1214</v>
      </c>
      <c r="B48" s="1364">
        <f ca="1">'预评函-3'!E4</f>
        <v>1591</v>
      </c>
    </row>
    <row r="49" spans="1:2" s="1365" customFormat="1">
      <c r="A49" s="1363" t="s">
        <v>1215</v>
      </c>
      <c r="B49" s="1364" t="str">
        <f ca="1">'预评函-3'!D5</f>
        <v>贰亿捌仟壹佰捌拾伍万元整</v>
      </c>
    </row>
    <row r="50" spans="1:2" s="1365" customFormat="1">
      <c r="A50" s="1363" t="s">
        <v>1239</v>
      </c>
      <c r="B50" s="1364" t="str">
        <f>'预评函-3'!F2</f>
        <v>在建建筑物价值</v>
      </c>
    </row>
    <row r="51" spans="1:2" s="1365" customFormat="1">
      <c r="A51" s="1363" t="s">
        <v>1216</v>
      </c>
      <c r="B51" s="1364">
        <f ca="1">'预评函-3'!F4</f>
        <v>63623</v>
      </c>
    </row>
    <row r="52" spans="1:2" s="1365" customFormat="1">
      <c r="A52" s="1363" t="s">
        <v>1217</v>
      </c>
      <c r="B52" s="1364">
        <f ca="1">'预评函-3'!G4</f>
        <v>3592</v>
      </c>
    </row>
    <row r="53" spans="1:2" s="1365" customFormat="1">
      <c r="A53" s="1363" t="s">
        <v>1245</v>
      </c>
      <c r="B53" s="1364" t="str">
        <f ca="1">'预评函-3'!F5</f>
        <v>陆亿叁仟陆佰贰拾叁万元整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3037</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4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41" t="s">
        <v>832</v>
      </c>
      <c r="C54" s="1738" t="s">
        <v>1248</v>
      </c>
    </row>
    <row r="55" spans="1:4">
      <c r="A55" s="3148"/>
      <c r="B55" s="1741" t="s">
        <v>833</v>
      </c>
      <c r="C55" s="1738" t="s">
        <v>1249</v>
      </c>
    </row>
    <row r="56" spans="1:4">
      <c r="A56" s="3148"/>
      <c r="B56" s="1741" t="s">
        <v>834</v>
      </c>
      <c r="C56" s="1738" t="s">
        <v>1253</v>
      </c>
    </row>
    <row r="57" spans="1:4">
      <c r="A57" s="314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E38" sqref="E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57" t="str">
        <f>IF(B10="北京市","北京市",C10)&amp;F10&amp;IF(结果表!G1="在建","出让国有建设用地使用权及在建建筑物",IF(结果表!G1="土地","出让国有建设用地使用权",))&amp;B9&amp;"预评估"</f>
        <v>北京市房地产抵押价值预评估</v>
      </c>
      <c r="C1" s="3158"/>
      <c r="D1" s="3158"/>
      <c r="E1" s="3158"/>
      <c r="F1" s="3158"/>
      <c r="G1" s="3158"/>
      <c r="H1" s="3158"/>
      <c r="I1" s="3159"/>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2915</v>
      </c>
      <c r="B2" s="2597">
        <v>0</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44074</v>
      </c>
      <c r="C3" s="2600" t="s">
        <v>2917</v>
      </c>
      <c r="D3" s="2599">
        <v>44074</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3057</v>
      </c>
      <c r="C8" s="2616"/>
      <c r="D8" s="3160" t="s">
        <v>2923</v>
      </c>
      <c r="E8" s="2617" t="s">
        <v>3058</v>
      </c>
      <c r="F8" s="2618"/>
      <c r="G8" s="2892"/>
      <c r="H8" s="2892"/>
      <c r="I8" s="2892"/>
      <c r="J8" s="2667"/>
      <c r="K8" s="2842"/>
      <c r="L8" s="2841"/>
      <c r="M8" s="2841"/>
      <c r="N8" s="2667"/>
      <c r="O8" s="2678"/>
      <c r="P8" s="2667"/>
      <c r="Q8" s="2667"/>
      <c r="R8" s="2667"/>
    </row>
    <row r="9" spans="1:28" ht="13.5" thickBot="1">
      <c r="A9" s="2619" t="s">
        <v>2924</v>
      </c>
      <c r="B9" s="2620" t="s">
        <v>3058</v>
      </c>
      <c r="C9" s="2621"/>
      <c r="D9" s="3161"/>
      <c r="E9" s="2620"/>
      <c r="F9" s="2622"/>
      <c r="G9" s="2894"/>
      <c r="H9" s="2894"/>
      <c r="I9" s="2894"/>
      <c r="J9" s="2667"/>
      <c r="K9" s="2844"/>
      <c r="L9" s="2841"/>
      <c r="M9" s="2841"/>
      <c r="N9" s="2667"/>
      <c r="O9" s="2678"/>
      <c r="P9" s="2667"/>
      <c r="Q9" s="2667"/>
      <c r="R9" s="2667"/>
    </row>
    <row r="10" spans="1:28" ht="13.5" thickTop="1">
      <c r="A10" s="2623" t="s">
        <v>2925</v>
      </c>
      <c r="B10" s="2624" t="s">
        <v>3059</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3060</v>
      </c>
      <c r="C11" s="2629"/>
      <c r="D11" s="2630"/>
      <c r="E11" s="2596"/>
      <c r="F11" s="2596"/>
      <c r="G11" s="2596"/>
      <c r="H11" s="2596"/>
      <c r="I11" s="2596"/>
      <c r="J11" s="2667"/>
      <c r="K11" s="2844"/>
      <c r="L11" s="2841"/>
      <c r="M11" s="2841"/>
      <c r="N11" s="2667"/>
      <c r="O11" s="2678"/>
      <c r="P11" s="2667"/>
      <c r="Q11" s="2667"/>
      <c r="R11" s="2667"/>
    </row>
    <row r="12" spans="1:28">
      <c r="A12" s="2631" t="s">
        <v>2928</v>
      </c>
      <c r="B12" s="2628" t="s">
        <v>3061</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ht="15">
      <c r="A13" s="1241"/>
      <c r="B13" s="2633"/>
      <c r="C13" s="2634" t="s">
        <v>2936</v>
      </c>
      <c r="D13" s="965"/>
      <c r="E13" s="965"/>
      <c r="F13" s="965"/>
      <c r="G13" s="3044">
        <v>60573</v>
      </c>
      <c r="H13" s="965"/>
      <c r="I13" s="965">
        <v>60573</v>
      </c>
      <c r="J13" s="2667"/>
      <c r="K13" s="2844"/>
      <c r="L13" s="2841"/>
      <c r="M13" s="2841"/>
      <c r="N13" s="2667"/>
      <c r="O13" s="2678"/>
      <c r="P13" s="2667"/>
      <c r="Q13" s="2667"/>
      <c r="R13" s="2667"/>
    </row>
    <row r="14" spans="1:28">
      <c r="A14" s="1241"/>
      <c r="B14" s="2633"/>
      <c r="C14" s="2634" t="s">
        <v>2937</v>
      </c>
      <c r="D14" s="2635"/>
      <c r="E14" s="2635"/>
      <c r="F14" s="2635"/>
      <c r="G14" s="2635">
        <v>50</v>
      </c>
      <c r="H14" s="2635"/>
      <c r="I14" s="2635">
        <v>50</v>
      </c>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t="str">
        <f>IF(B12="出让",IF(F13="","",ROUNDDOWN(MIN((F13-$D$3)/365,F14),2)),F14)</f>
        <v/>
      </c>
      <c r="G15" s="2638">
        <f>IF(B12="出让",IF(G13="","",ROUNDDOWN(MIN((G13-$D$3)/365,G14),2)),G14)</f>
        <v>45.2</v>
      </c>
      <c r="H15" s="2638" t="str">
        <f>IF(B12="出让",IF(H13="","",ROUNDDOWN(MIN((H13-$D$3)/365,H14),2)),H14)</f>
        <v/>
      </c>
      <c r="I15" s="2638">
        <f>IF(B12="出让",IF(I13="","",ROUNDDOWN(MIN((I13-$D$3)/365,I14),2)),I14)</f>
        <v>45.2</v>
      </c>
      <c r="J15" s="2667"/>
      <c r="K15" s="2846"/>
      <c r="L15" s="2679"/>
      <c r="M15" s="2679"/>
      <c r="N15" s="2737"/>
      <c r="O15" s="2679"/>
      <c r="P15" s="2737"/>
      <c r="Q15" s="2667"/>
      <c r="R15" s="2667"/>
    </row>
    <row r="16" spans="1:28">
      <c r="A16" s="2626" t="s">
        <v>2939</v>
      </c>
      <c r="B16" s="3167"/>
      <c r="C16" s="3168"/>
      <c r="D16" s="3169"/>
      <c r="E16" s="2641" t="s">
        <v>2940</v>
      </c>
      <c r="F16" s="3170"/>
      <c r="G16" s="3171"/>
      <c r="H16" s="3171"/>
      <c r="I16" s="3172"/>
      <c r="J16" s="2667"/>
      <c r="K16" s="2846"/>
      <c r="L16" s="2679"/>
      <c r="M16" s="2679"/>
      <c r="N16" s="2737"/>
      <c r="O16" s="2679"/>
      <c r="P16" s="2737"/>
      <c r="Q16" s="2667"/>
      <c r="R16" s="2667"/>
    </row>
    <row r="17" spans="1:28">
      <c r="A17" s="319" t="s">
        <v>2941</v>
      </c>
      <c r="B17" s="308" t="s">
        <v>2942</v>
      </c>
      <c r="C17" s="11">
        <f>'数据-汇总表'!E3</f>
        <v>177117.85000000003</v>
      </c>
      <c r="D17" s="2547" t="s">
        <v>2943</v>
      </c>
      <c r="E17" s="3173" t="s">
        <v>2944</v>
      </c>
      <c r="F17" s="3174"/>
      <c r="G17" s="3174"/>
      <c r="H17" s="3174"/>
      <c r="I17" s="3175"/>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101087.14</v>
      </c>
      <c r="D18" s="1252" t="s">
        <v>2947</v>
      </c>
      <c r="E18" s="3176" t="s">
        <v>2948</v>
      </c>
      <c r="F18" s="3177"/>
      <c r="G18" s="3177"/>
      <c r="H18" s="3177"/>
      <c r="I18" s="3178"/>
      <c r="J18" s="2667"/>
      <c r="K18" s="2847"/>
      <c r="L18" s="2679"/>
      <c r="M18" s="2679"/>
      <c r="N18" s="2737"/>
      <c r="O18" s="2679"/>
      <c r="P18" s="2737"/>
      <c r="Q18" s="2667"/>
      <c r="R18" s="2667"/>
      <c r="S18" s="2667"/>
      <c r="T18" s="2667"/>
      <c r="U18" s="2667"/>
      <c r="V18" s="2667"/>
    </row>
    <row r="19" spans="1:28" ht="39.75" thickTop="1" thickBot="1">
      <c r="A19" s="333" t="s">
        <v>1741</v>
      </c>
      <c r="B19" s="313" t="s">
        <v>2949</v>
      </c>
      <c r="C19" s="1750" t="s">
        <v>3062</v>
      </c>
      <c r="D19" s="1751" t="s">
        <v>2950</v>
      </c>
      <c r="E19" s="1752" t="s">
        <v>3063</v>
      </c>
      <c r="F19" s="1753" t="str">
        <f>IF(AND(C19="是",E19="否"),"是否提供他项权证或相关说明","")</f>
        <v>是否提供他项权证或相关说明</v>
      </c>
      <c r="G19" s="1754"/>
      <c r="H19" s="2893"/>
      <c r="I19" s="2893"/>
      <c r="J19" s="2667"/>
      <c r="K19" s="2844"/>
      <c r="L19" s="2841"/>
      <c r="M19" s="2841"/>
      <c r="N19" s="2737"/>
      <c r="O19" s="2679"/>
      <c r="P19" s="2737"/>
      <c r="Q19" s="2667"/>
      <c r="R19" s="2667"/>
      <c r="S19" s="2667"/>
      <c r="T19" s="2667"/>
      <c r="U19" s="2667"/>
      <c r="V19" s="2667"/>
    </row>
    <row r="20" spans="1:28">
      <c r="A20" s="2861" t="s">
        <v>2951</v>
      </c>
      <c r="B20" s="3163" t="s">
        <v>2952</v>
      </c>
      <c r="C20" s="3164"/>
      <c r="D20" s="3165" t="s">
        <v>2953</v>
      </c>
      <c r="E20" s="3166"/>
      <c r="F20" s="2876" t="s">
        <v>1742</v>
      </c>
      <c r="G20" s="2893"/>
      <c r="H20" s="2893"/>
      <c r="I20" s="2893"/>
      <c r="J20" s="2667"/>
      <c r="K20" s="316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50" t="s">
        <v>2960</v>
      </c>
      <c r="B27" s="326" t="s">
        <v>2961</v>
      </c>
      <c r="C27" s="2644" t="s">
        <v>3064</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50"/>
      <c r="B28" s="308" t="s">
        <v>2962</v>
      </c>
      <c r="C28" s="2646" t="s">
        <v>3065</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150"/>
      <c r="B29" s="308" t="s">
        <v>2963</v>
      </c>
      <c r="C29" s="2648" t="s">
        <v>3063</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151"/>
      <c r="B30" s="308" t="s">
        <v>2964</v>
      </c>
      <c r="C30" s="3152"/>
      <c r="D30" s="3153"/>
      <c r="E30" s="2893"/>
      <c r="F30" s="2893"/>
      <c r="G30" s="2893"/>
      <c r="H30" s="2893"/>
      <c r="I30" s="2893"/>
      <c r="J30" s="2667"/>
      <c r="K30" s="2844"/>
      <c r="L30" s="2841"/>
      <c r="M30" s="2841"/>
      <c r="N30" s="2667"/>
      <c r="O30" s="2678"/>
      <c r="P30" s="2667"/>
      <c r="Q30" s="2667"/>
      <c r="R30" s="2667"/>
      <c r="S30" s="2667"/>
      <c r="T30" s="2667"/>
      <c r="U30" s="2667"/>
      <c r="V30" s="2667"/>
    </row>
    <row r="31" spans="1:28">
      <c r="A31" s="3154" t="s">
        <v>2965</v>
      </c>
      <c r="B31" s="2650" t="s">
        <v>3066</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55"/>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55"/>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t="s">
        <v>3067</v>
      </c>
      <c r="C34" s="2216" t="s">
        <v>3068</v>
      </c>
      <c r="D34" s="2216" t="s">
        <v>3069</v>
      </c>
      <c r="E34" s="2216" t="s">
        <v>3070</v>
      </c>
      <c r="F34" s="2216" t="s">
        <v>3071</v>
      </c>
      <c r="G34" s="2216"/>
      <c r="H34" s="2216"/>
      <c r="I34" s="2893"/>
      <c r="J34" s="2667"/>
      <c r="K34" s="2655">
        <f>COUNTIF(B34:H34,"——")</f>
        <v>0</v>
      </c>
      <c r="L34" s="329" t="s">
        <v>2967</v>
      </c>
      <c r="M34" s="329" t="s">
        <v>2968</v>
      </c>
      <c r="N34" s="329" t="s">
        <v>2969</v>
      </c>
      <c r="O34" s="329" t="s">
        <v>2970</v>
      </c>
      <c r="P34" s="329" t="s">
        <v>2971</v>
      </c>
      <c r="Q34" s="329" t="s">
        <v>2972</v>
      </c>
      <c r="R34" s="329" t="s">
        <v>2973</v>
      </c>
      <c r="S34" s="3149" t="s">
        <v>2974</v>
      </c>
      <c r="T34" s="2656" t="str">
        <f>NUMBERSTRING(7-K34,1)&amp;"通"</f>
        <v>七通</v>
      </c>
      <c r="U34" s="2667"/>
      <c r="V34" s="2667"/>
    </row>
    <row r="35" spans="1:30">
      <c r="A35" s="2657"/>
      <c r="B35" s="3156" t="s">
        <v>2975</v>
      </c>
      <c r="C35" s="3156"/>
      <c r="D35" s="3156"/>
      <c r="E35" s="3156"/>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9"/>
      <c r="T35" s="335" t="str">
        <f>IF(T34="一通",L35,IF(T34="二通",M35,IF(T34="三通",N35,IF(T34="四通",O35,IF(T34="五通",P35,IF(T34="六通",Q35,R35))))))</f>
        <v>通路、通电、通讯、通上水、通下水、、</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t="s">
        <v>526</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t="s">
        <v>3072</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7" activePane="bottomRight" state="frozen"/>
      <selection activeCell="C50" sqref="C50"/>
      <selection pane="topRight" activeCell="C50" sqref="C50"/>
      <selection pane="bottomLeft" activeCell="C50" sqref="C50"/>
      <selection pane="bottomRight" activeCell="M9" sqref="M9:M1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106517.9-5430.76</f>
        <v>101087.14</v>
      </c>
      <c r="B3" s="14">
        <f>IF(C3="否",G5-AT5,G5)</f>
        <v>177117.85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186633.24</v>
      </c>
      <c r="H5" s="16">
        <f t="shared" ref="H5:AT5" si="0">SUM(H13:H656)</f>
        <v>151095.50000000003</v>
      </c>
      <c r="I5" s="16">
        <f t="shared" si="0"/>
        <v>66249</v>
      </c>
      <c r="J5" s="16">
        <f t="shared" si="0"/>
        <v>0</v>
      </c>
      <c r="K5" s="16">
        <f t="shared" si="0"/>
        <v>68635.83</v>
      </c>
      <c r="L5" s="16">
        <f t="shared" si="0"/>
        <v>0</v>
      </c>
      <c r="M5" s="16">
        <f t="shared" si="0"/>
        <v>16210.670000000002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26022.350000000009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16547.870000000003</v>
      </c>
      <c r="AM5" s="16">
        <f t="shared" si="0"/>
        <v>0</v>
      </c>
      <c r="AN5" s="16">
        <f t="shared" si="0"/>
        <v>97.550000000000011</v>
      </c>
      <c r="AO5" s="16">
        <f t="shared" si="0"/>
        <v>0</v>
      </c>
      <c r="AP5" s="16">
        <f t="shared" si="0"/>
        <v>0</v>
      </c>
      <c r="AQ5" s="16">
        <f t="shared" si="0"/>
        <v>0</v>
      </c>
      <c r="AR5" s="16">
        <f t="shared" si="0"/>
        <v>9376.93</v>
      </c>
      <c r="AS5" s="16">
        <f t="shared" si="0"/>
        <v>0</v>
      </c>
      <c r="AT5" s="16">
        <f t="shared" si="0"/>
        <v>9515.3899999999976</v>
      </c>
      <c r="AU5" s="1532"/>
      <c r="AV5" s="15" t="s">
        <v>1757</v>
      </c>
      <c r="AW5" s="1533"/>
      <c r="AX5" s="1533"/>
      <c r="AY5" s="17" t="s">
        <v>3</v>
      </c>
      <c r="AZ5" s="18">
        <f t="shared" ref="AZ5:BT5" si="1">SUM(AZ13:AZ656)</f>
        <v>177117.85000000003</v>
      </c>
      <c r="BA5" s="18">
        <f t="shared" si="1"/>
        <v>151095.50000000003</v>
      </c>
      <c r="BB5" s="18">
        <f t="shared" si="1"/>
        <v>66249</v>
      </c>
      <c r="BC5" s="18">
        <f t="shared" si="1"/>
        <v>68635.83</v>
      </c>
      <c r="BD5" s="18">
        <f t="shared" si="1"/>
        <v>16210.670000000002</v>
      </c>
      <c r="BE5" s="18">
        <f t="shared" si="1"/>
        <v>0</v>
      </c>
      <c r="BF5" s="18">
        <f t="shared" si="1"/>
        <v>0</v>
      </c>
      <c r="BG5" s="18">
        <f t="shared" si="1"/>
        <v>0</v>
      </c>
      <c r="BH5" s="18">
        <f t="shared" si="1"/>
        <v>0</v>
      </c>
      <c r="BI5" s="18">
        <f t="shared" si="1"/>
        <v>0</v>
      </c>
      <c r="BJ5" s="18">
        <f t="shared" si="1"/>
        <v>0</v>
      </c>
      <c r="BK5" s="18">
        <f t="shared" si="1"/>
        <v>0</v>
      </c>
      <c r="BL5" s="18">
        <f t="shared" si="1"/>
        <v>26022.350000000009</v>
      </c>
      <c r="BM5" s="18">
        <f t="shared" si="1"/>
        <v>0</v>
      </c>
      <c r="BN5" s="18">
        <f t="shared" si="1"/>
        <v>0</v>
      </c>
      <c r="BO5" s="18">
        <f t="shared" si="1"/>
        <v>0</v>
      </c>
      <c r="BP5" s="18">
        <f t="shared" si="1"/>
        <v>0</v>
      </c>
      <c r="BQ5" s="18">
        <f t="shared" si="1"/>
        <v>16547.870000000003</v>
      </c>
      <c r="BR5" s="18">
        <f t="shared" si="1"/>
        <v>97.550000000000011</v>
      </c>
      <c r="BS5" s="18">
        <f t="shared" si="1"/>
        <v>0</v>
      </c>
      <c r="BT5" s="19">
        <f t="shared" si="1"/>
        <v>9376.93</v>
      </c>
    </row>
    <row r="6" spans="1:72" s="1776" customFormat="1" ht="12.75">
      <c r="A6" s="15" t="s">
        <v>1758</v>
      </c>
      <c r="B6" s="1773"/>
      <c r="C6" s="1773"/>
      <c r="D6" s="1774"/>
      <c r="E6" s="16">
        <f>H6+AC6+AT6</f>
        <v>101087.15</v>
      </c>
      <c r="F6" s="16" t="s">
        <v>1</v>
      </c>
      <c r="G6" s="16" t="s">
        <v>2</v>
      </c>
      <c r="H6" s="20">
        <f>SUMIF(I$12:AB$12,"总值",I6:AB6)</f>
        <v>86235.31</v>
      </c>
      <c r="I6" s="16">
        <f t="shared" ref="I6:AB6" si="2">ROUND($A$3*I5/$B$3,2)</f>
        <v>37810.54</v>
      </c>
      <c r="J6" s="16">
        <f t="shared" si="2"/>
        <v>0</v>
      </c>
      <c r="K6" s="16">
        <f t="shared" si="2"/>
        <v>39172.79</v>
      </c>
      <c r="L6" s="16">
        <f t="shared" si="2"/>
        <v>0</v>
      </c>
      <c r="M6" s="16">
        <f t="shared" si="2"/>
        <v>9251.98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14851.84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9444.43</v>
      </c>
      <c r="AM6" s="16">
        <f t="shared" si="3"/>
        <v>0</v>
      </c>
      <c r="AN6" s="16">
        <f t="shared" si="3"/>
        <v>55.68</v>
      </c>
      <c r="AO6" s="16">
        <f t="shared" si="3"/>
        <v>0</v>
      </c>
      <c r="AP6" s="16">
        <f t="shared" si="3"/>
        <v>0</v>
      </c>
      <c r="AQ6" s="16">
        <f t="shared" si="3"/>
        <v>0</v>
      </c>
      <c r="AR6" s="16">
        <f t="shared" si="3"/>
        <v>5351.73</v>
      </c>
      <c r="AS6" s="16">
        <f t="shared" si="3"/>
        <v>0</v>
      </c>
      <c r="AT6" s="20">
        <f>IF(C3="是",ROUND($A$3*AT5/$B$3,2),0)</f>
        <v>0</v>
      </c>
      <c r="AU6" s="1775"/>
      <c r="AV6" s="15" t="s">
        <v>1758</v>
      </c>
      <c r="AW6" s="1773"/>
      <c r="AX6" s="1773"/>
      <c r="AY6" s="21">
        <f>IF(AY3&gt;0,AY3,ROUND($A$3*AZ5/$B$3,2))</f>
        <v>101087.14</v>
      </c>
      <c r="AZ6" s="16" t="s">
        <v>3</v>
      </c>
      <c r="BA6" s="16">
        <f>ROUND($AY$6*BA5/$AZ$5,2)</f>
        <v>86235.31</v>
      </c>
      <c r="BB6" s="16">
        <f>ROUND($AY$6*BB5/$AZ$5,2)</f>
        <v>37810.54</v>
      </c>
      <c r="BC6" s="16">
        <f t="shared" ref="BC6:BH6" si="4">ROUND($AY$6*BC5/$AZ$5,2)</f>
        <v>39172.79</v>
      </c>
      <c r="BD6" s="16">
        <f t="shared" si="4"/>
        <v>9251.98</v>
      </c>
      <c r="BE6" s="16">
        <f t="shared" si="4"/>
        <v>0</v>
      </c>
      <c r="BF6" s="16">
        <f t="shared" si="4"/>
        <v>0</v>
      </c>
      <c r="BG6" s="16">
        <f t="shared" si="4"/>
        <v>0</v>
      </c>
      <c r="BH6" s="16">
        <f t="shared" si="4"/>
        <v>0</v>
      </c>
      <c r="BI6" s="16">
        <f t="shared" ref="BI6:BT6" si="5">ROUND($AY$6*BI5/$AZ$5,2)</f>
        <v>0</v>
      </c>
      <c r="BJ6" s="16">
        <f t="shared" si="5"/>
        <v>0</v>
      </c>
      <c r="BK6" s="16">
        <f t="shared" si="5"/>
        <v>0</v>
      </c>
      <c r="BL6" s="16">
        <f t="shared" si="5"/>
        <v>14851.83</v>
      </c>
      <c r="BM6" s="16">
        <f t="shared" si="5"/>
        <v>0</v>
      </c>
      <c r="BN6" s="16">
        <f t="shared" si="5"/>
        <v>0</v>
      </c>
      <c r="BO6" s="16">
        <f t="shared" si="5"/>
        <v>0</v>
      </c>
      <c r="BP6" s="16">
        <f t="shared" si="5"/>
        <v>0</v>
      </c>
      <c r="BQ6" s="16">
        <f t="shared" si="5"/>
        <v>9444.43</v>
      </c>
      <c r="BR6" s="16">
        <f t="shared" si="5"/>
        <v>55.68</v>
      </c>
      <c r="BS6" s="16">
        <f t="shared" si="5"/>
        <v>0</v>
      </c>
      <c r="BT6" s="22">
        <f t="shared" si="5"/>
        <v>5351.73</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3094</v>
      </c>
      <c r="J9" s="918"/>
      <c r="K9" s="1790" t="s">
        <v>3094</v>
      </c>
      <c r="L9" s="918"/>
      <c r="M9" s="1790" t="s">
        <v>3097</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t="s">
        <v>3098</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3095</v>
      </c>
      <c r="J11" s="1802"/>
      <c r="K11" s="1801" t="s">
        <v>3096</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t="str">
        <f>M10</f>
        <v>车库</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标准厂房</v>
      </c>
      <c r="BC12" s="1811" t="str">
        <f>K11</f>
        <v>办公楼</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42.75">
      <c r="A13" s="1182"/>
      <c r="B13" s="3045" t="s">
        <v>3073</v>
      </c>
      <c r="C13" s="3046" t="s">
        <v>3082</v>
      </c>
      <c r="D13" s="1812" t="s">
        <v>3062</v>
      </c>
      <c r="E13" s="16">
        <f>IF($C$3="是",ROUND($A$3*G13/$B$3,2),ROUND($A$3*(G13-AT13)/$B$3,2))</f>
        <v>9506.07</v>
      </c>
      <c r="F13" s="32"/>
      <c r="G13" s="33">
        <f>H13+AC13+AT13</f>
        <v>16655.87</v>
      </c>
      <c r="H13" s="20">
        <f>SUMIF(I$12:AB$12,"总值",I13:AB13)</f>
        <v>16655.87</v>
      </c>
      <c r="I13" s="3047">
        <v>16655.87</v>
      </c>
      <c r="J13" s="3047"/>
      <c r="K13" s="3047"/>
      <c r="L13" s="3047"/>
      <c r="M13" s="3047"/>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3049"/>
      <c r="AL13" s="3049"/>
      <c r="AM13" s="3049"/>
      <c r="AN13" s="3049"/>
      <c r="AO13" s="3049"/>
      <c r="AP13" s="3049"/>
      <c r="AQ13" s="3049"/>
      <c r="AR13" s="3049"/>
      <c r="AS13" s="3049"/>
      <c r="AT13" s="1815"/>
      <c r="AU13" s="1816"/>
      <c r="AV13" s="11">
        <f t="shared" ref="AV13:AX17" si="6">A13</f>
        <v>0</v>
      </c>
      <c r="AW13" s="11" t="str">
        <f t="shared" si="6"/>
        <v>《建设工程规划许可证》</v>
      </c>
      <c r="AX13" s="11" t="str">
        <f t="shared" si="6"/>
        <v>研发试验检测平台1#楼</v>
      </c>
      <c r="AY13" s="1535">
        <f>ROUND($AY$6*AZ13/$AZ$5,2)</f>
        <v>9506.07</v>
      </c>
      <c r="AZ13" s="16">
        <f>BA13+BL13</f>
        <v>16655.87</v>
      </c>
      <c r="BA13" s="16">
        <f>SUM(BB13:BK13)</f>
        <v>16655.87</v>
      </c>
      <c r="BB13" s="16">
        <f>IF($D13="是",I13-J13,0)</f>
        <v>16655.87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42.75">
      <c r="A14" s="1182"/>
      <c r="B14" s="3045" t="s">
        <v>3073</v>
      </c>
      <c r="C14" s="3046" t="s">
        <v>3083</v>
      </c>
      <c r="D14" s="1812" t="s">
        <v>3062</v>
      </c>
      <c r="E14" s="16">
        <f>IF($C$3="是",ROUND($A$3*G14/$B$3,2),ROUND($A$3*(G14-AT14)/$B$3,2))</f>
        <v>9491.23</v>
      </c>
      <c r="F14" s="32"/>
      <c r="G14" s="33">
        <f>H14+AC14+AT14</f>
        <v>16629.87</v>
      </c>
      <c r="H14" s="20">
        <f>SUMIF(I$12:AB$12,"总值",I14:AB14)</f>
        <v>16629.87</v>
      </c>
      <c r="I14" s="3047">
        <v>16629.87</v>
      </c>
      <c r="J14" s="3047"/>
      <c r="K14" s="3047"/>
      <c r="L14" s="3047"/>
      <c r="M14" s="3047"/>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3049"/>
      <c r="AL14" s="3049"/>
      <c r="AM14" s="3049"/>
      <c r="AN14" s="3049"/>
      <c r="AO14" s="3049"/>
      <c r="AP14" s="3049"/>
      <c r="AQ14" s="3049"/>
      <c r="AR14" s="3049"/>
      <c r="AS14" s="3049"/>
      <c r="AT14" s="1815"/>
      <c r="AU14" s="1816"/>
      <c r="AV14" s="11">
        <f t="shared" si="6"/>
        <v>0</v>
      </c>
      <c r="AW14" s="11" t="str">
        <f t="shared" si="6"/>
        <v>《建设工程规划许可证》</v>
      </c>
      <c r="AX14" s="11" t="str">
        <f t="shared" si="6"/>
        <v>研发试验检测平台2#楼</v>
      </c>
      <c r="AY14" s="1535">
        <f>ROUND($AY$6*AZ14/$AZ$5,2)</f>
        <v>9491.23</v>
      </c>
      <c r="AZ14" s="16">
        <f>BA14+BL14</f>
        <v>16629.87</v>
      </c>
      <c r="BA14" s="16">
        <f>SUM(BB14:BK14)</f>
        <v>16629.87</v>
      </c>
      <c r="BB14" s="16">
        <f>IF($D14="是",I14-J14,0)</f>
        <v>16629.87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42.75">
      <c r="A15" s="1182"/>
      <c r="B15" s="3045" t="s">
        <v>3073</v>
      </c>
      <c r="C15" s="3046" t="s">
        <v>3084</v>
      </c>
      <c r="D15" s="1812" t="s">
        <v>3062</v>
      </c>
      <c r="E15" s="16">
        <f>IF($C$3="是",ROUND($A$3*G15/$B$3,2),ROUND($A$3*(G15-AT15)/$B$3,2))</f>
        <v>9406.6200000000008</v>
      </c>
      <c r="F15" s="32"/>
      <c r="G15" s="33">
        <f>H15+AC15+AT15</f>
        <v>16481.63</v>
      </c>
      <c r="H15" s="20">
        <f>SUMIF(I$12:AB$12,"总值",I15:AB15)</f>
        <v>16481.63</v>
      </c>
      <c r="I15" s="3047">
        <v>16481.63</v>
      </c>
      <c r="J15" s="3047"/>
      <c r="K15" s="3047"/>
      <c r="L15" s="3047"/>
      <c r="M15" s="3047"/>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3049"/>
      <c r="AL15" s="3049"/>
      <c r="AM15" s="3049"/>
      <c r="AN15" s="3049"/>
      <c r="AO15" s="3049"/>
      <c r="AP15" s="3049"/>
      <c r="AQ15" s="3049"/>
      <c r="AR15" s="3049"/>
      <c r="AS15" s="3049"/>
      <c r="AT15" s="1815"/>
      <c r="AU15" s="1816"/>
      <c r="AV15" s="11">
        <f t="shared" si="6"/>
        <v>0</v>
      </c>
      <c r="AW15" s="11" t="str">
        <f t="shared" si="6"/>
        <v>《建设工程规划许可证》</v>
      </c>
      <c r="AX15" s="11" t="str">
        <f t="shared" si="6"/>
        <v>研发试验检测平台3#楼</v>
      </c>
      <c r="AY15" s="1535">
        <f>ROUND($AY$6*AZ15/$AZ$5,2)</f>
        <v>9406.6200000000008</v>
      </c>
      <c r="AZ15" s="16">
        <f>BA15+BL15</f>
        <v>16481.63</v>
      </c>
      <c r="BA15" s="16">
        <f>SUM(BB15:BK15)</f>
        <v>16481.63</v>
      </c>
      <c r="BB15" s="16">
        <f>IF($D15="是",I15-J15,0)</f>
        <v>16481.63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42.75">
      <c r="A16" s="1182"/>
      <c r="B16" s="3045" t="s">
        <v>3073</v>
      </c>
      <c r="C16" s="3046" t="s">
        <v>3085</v>
      </c>
      <c r="D16" s="1812" t="s">
        <v>3062</v>
      </c>
      <c r="E16" s="16">
        <f>IF($C$3="是",ROUND($A$3*G16/$B$3,2),ROUND($A$3*(G16-AT16)/$B$3,2))</f>
        <v>9406.6200000000008</v>
      </c>
      <c r="F16" s="32"/>
      <c r="G16" s="33">
        <f>H16+AC16+AT16</f>
        <v>16481.63</v>
      </c>
      <c r="H16" s="20">
        <f>SUMIF(I$12:AB$12,"总值",I16:AB16)</f>
        <v>16481.63</v>
      </c>
      <c r="I16" s="3047">
        <v>16481.63</v>
      </c>
      <c r="J16" s="3047"/>
      <c r="K16" s="3047"/>
      <c r="L16" s="3047"/>
      <c r="M16" s="3047"/>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3049"/>
      <c r="AL16" s="3049"/>
      <c r="AM16" s="3049"/>
      <c r="AN16" s="3049"/>
      <c r="AO16" s="3049"/>
      <c r="AP16" s="3049"/>
      <c r="AQ16" s="3049"/>
      <c r="AR16" s="3049"/>
      <c r="AS16" s="3049"/>
      <c r="AT16" s="1815"/>
      <c r="AU16" s="1816"/>
      <c r="AV16" s="11">
        <f t="shared" si="6"/>
        <v>0</v>
      </c>
      <c r="AW16" s="11" t="str">
        <f t="shared" si="6"/>
        <v>《建设工程规划许可证》</v>
      </c>
      <c r="AX16" s="11" t="str">
        <f t="shared" si="6"/>
        <v>研发试验检测平台4#楼</v>
      </c>
      <c r="AY16" s="1535">
        <f>ROUND($AY$6*AZ16/$AZ$5,2)</f>
        <v>9406.6200000000008</v>
      </c>
      <c r="AZ16" s="16">
        <f>BA16+BL16</f>
        <v>16481.63</v>
      </c>
      <c r="BA16" s="16">
        <f>SUM(BB16:BK16)</f>
        <v>16481.63</v>
      </c>
      <c r="BB16" s="16">
        <f>IF($D16="是",I16-J16,0)</f>
        <v>16481.63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42.75">
      <c r="A17" s="1182"/>
      <c r="B17" s="3045" t="s">
        <v>3073</v>
      </c>
      <c r="C17" s="3046" t="s">
        <v>3086</v>
      </c>
      <c r="D17" s="1812" t="s">
        <v>3062</v>
      </c>
      <c r="E17" s="16">
        <f>IF($C$3="是",ROUND($A$3*G17/$B$3,2),ROUND($A$3*(G17-AT17)/$B$3,2))</f>
        <v>9376.7000000000007</v>
      </c>
      <c r="F17" s="32"/>
      <c r="G17" s="33">
        <f>H17+AC17+AT17</f>
        <v>16429.2</v>
      </c>
      <c r="H17" s="20">
        <f>SUMIF(I$12:AB$12,"总值",I17:AB17)</f>
        <v>0</v>
      </c>
      <c r="I17" s="3047"/>
      <c r="J17" s="3047"/>
      <c r="K17" s="3047"/>
      <c r="L17" s="3047"/>
      <c r="M17" s="3047"/>
      <c r="N17" s="1813"/>
      <c r="O17" s="1813"/>
      <c r="P17" s="1813"/>
      <c r="Q17" s="1813"/>
      <c r="R17" s="1813"/>
      <c r="S17" s="1813"/>
      <c r="T17" s="1813"/>
      <c r="U17" s="1813"/>
      <c r="V17" s="1813"/>
      <c r="W17" s="1813"/>
      <c r="X17" s="1813"/>
      <c r="Y17" s="1813"/>
      <c r="Z17" s="1813"/>
      <c r="AA17" s="1813"/>
      <c r="AB17" s="1813"/>
      <c r="AC17" s="16">
        <f>SUMIF(AD$12:AS$12,"总值",AD17:AS17)</f>
        <v>16429.2</v>
      </c>
      <c r="AD17" s="1814"/>
      <c r="AE17" s="1814"/>
      <c r="AF17" s="1814"/>
      <c r="AG17" s="1814"/>
      <c r="AH17" s="1814"/>
      <c r="AI17" s="1814"/>
      <c r="AJ17" s="1814"/>
      <c r="AK17" s="3049"/>
      <c r="AL17" s="3049">
        <v>16429.2</v>
      </c>
      <c r="AM17" s="3049"/>
      <c r="AN17" s="3049"/>
      <c r="AO17" s="3049"/>
      <c r="AP17" s="3049"/>
      <c r="AQ17" s="3049"/>
      <c r="AR17" s="3049"/>
      <c r="AS17" s="3049"/>
      <c r="AT17" s="1815"/>
      <c r="AU17" s="1816"/>
      <c r="AV17" s="11">
        <f t="shared" si="6"/>
        <v>0</v>
      </c>
      <c r="AW17" s="11" t="str">
        <f t="shared" si="6"/>
        <v>《建设工程规划许可证》</v>
      </c>
      <c r="AX17" s="11" t="str">
        <f t="shared" si="6"/>
        <v>装卸平台、货车坡道</v>
      </c>
      <c r="AY17" s="1535">
        <f>ROUND($AY$6*AZ17/$AZ$5,2)</f>
        <v>9376.7000000000007</v>
      </c>
      <c r="AZ17" s="16">
        <f>BA17+BL17</f>
        <v>16429.2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16429.2</v>
      </c>
      <c r="BM17" s="16">
        <f>IF($D17="是",AD17-AE17,0)</f>
        <v>0</v>
      </c>
      <c r="BN17" s="16">
        <f>IF($D17="是",AF17-AG17,0)</f>
        <v>0</v>
      </c>
      <c r="BO17" s="16">
        <f>IF($D17="是",AH17-AI17,0)</f>
        <v>0</v>
      </c>
      <c r="BP17" s="16">
        <f>IF($D17="是",AJ17-AK17,0)</f>
        <v>0</v>
      </c>
      <c r="BQ17" s="16">
        <f>IF($D17="是",AL17-AM17,0)</f>
        <v>16429.2</v>
      </c>
      <c r="BR17" s="16">
        <f>IF($D17="是",AN17-AO17,0)</f>
        <v>0</v>
      </c>
      <c r="BS17" s="16">
        <f>IF($D17="是",AP17-AQ17,0)</f>
        <v>0</v>
      </c>
      <c r="BT17" s="22">
        <f>IF($D17="是",AR17-AS17,0)</f>
        <v>0</v>
      </c>
    </row>
    <row r="18" spans="1:72" ht="42.75">
      <c r="A18" s="9"/>
      <c r="B18" s="3045" t="s">
        <v>3073</v>
      </c>
      <c r="C18" s="3046" t="s">
        <v>3087</v>
      </c>
      <c r="D18" s="1812" t="s">
        <v>3062</v>
      </c>
      <c r="E18" s="35">
        <f t="shared" ref="E18:E112" si="7">IF($C$3="是",ROUND($A$3*G18/$B$3,2),ROUND($A$3*(G18-AT18)/$B$3,2))</f>
        <v>10519.49</v>
      </c>
      <c r="F18" s="36"/>
      <c r="G18" s="37">
        <f t="shared" ref="G18:G109" si="8">H18+AC18+AT18</f>
        <v>18431.52</v>
      </c>
      <c r="H18" s="38">
        <f t="shared" ref="H18:H109" si="9">SUMIF(I$12:AB$12,"总值",I18:AB18)</f>
        <v>16663.78</v>
      </c>
      <c r="I18" s="39"/>
      <c r="J18" s="39"/>
      <c r="K18" s="3046">
        <v>16663.78</v>
      </c>
      <c r="L18" s="39"/>
      <c r="M18" s="39"/>
      <c r="N18" s="39"/>
      <c r="O18" s="39"/>
      <c r="P18" s="39"/>
      <c r="Q18" s="39"/>
      <c r="R18" s="39"/>
      <c r="S18" s="39"/>
      <c r="T18" s="39"/>
      <c r="U18" s="39"/>
      <c r="V18" s="39"/>
      <c r="W18" s="39"/>
      <c r="X18" s="39"/>
      <c r="Y18" s="39"/>
      <c r="Z18" s="39"/>
      <c r="AA18" s="39"/>
      <c r="AB18" s="39"/>
      <c r="AC18" s="35">
        <f t="shared" ref="AC18:AC109" si="10">SUMIF(AD$12:AS$12,"总值",AD18:AS18)</f>
        <v>1767.74</v>
      </c>
      <c r="AD18" s="40"/>
      <c r="AE18" s="40"/>
      <c r="AF18" s="40"/>
      <c r="AG18" s="40"/>
      <c r="AH18" s="40"/>
      <c r="AI18" s="40"/>
      <c r="AJ18" s="40"/>
      <c r="AK18" s="40"/>
      <c r="AL18" s="40"/>
      <c r="AM18" s="40"/>
      <c r="AN18" s="40"/>
      <c r="AO18" s="40"/>
      <c r="AP18" s="40"/>
      <c r="AQ18" s="40"/>
      <c r="AR18" s="40">
        <v>1767.74</v>
      </c>
      <c r="AS18" s="40"/>
      <c r="AT18" s="41"/>
      <c r="AU18" s="1818"/>
      <c r="AV18" s="1529">
        <f t="shared" ref="AV18:AV112" si="11">A18</f>
        <v>0</v>
      </c>
      <c r="AW18" s="1529" t="str">
        <f t="shared" ref="AW18:AW112" si="12">B18</f>
        <v>《建设工程规划许可证》</v>
      </c>
      <c r="AX18" s="1529" t="str">
        <f t="shared" ref="AX18:AX112" si="13">C18</f>
        <v>高维实验楼</v>
      </c>
      <c r="AY18" s="42">
        <f t="shared" ref="AY18:AY109" si="14">ROUND($AY$6*AZ18/$AZ$5,2)</f>
        <v>10519.49</v>
      </c>
      <c r="AZ18" s="35">
        <f t="shared" ref="AZ18:AZ109" si="15">BA18+BL18</f>
        <v>18431.52</v>
      </c>
      <c r="BA18" s="35">
        <f t="shared" ref="BA18:BA109" si="16">SUM(BB18:BK18)</f>
        <v>16663.78</v>
      </c>
      <c r="BB18" s="35">
        <f t="shared" ref="BB18:BB109" si="17">IF($D18="是",I18-J18,0)</f>
        <v>0</v>
      </c>
      <c r="BC18" s="35">
        <f t="shared" ref="BC18:BC109" si="18">IF($D18="是",K18-L18,0)</f>
        <v>16663.78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1767.74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1767.74</v>
      </c>
    </row>
    <row r="19" spans="1:72" ht="42.75">
      <c r="A19" s="9"/>
      <c r="B19" s="3045" t="s">
        <v>3073</v>
      </c>
      <c r="C19" s="3046" t="s">
        <v>3088</v>
      </c>
      <c r="D19" s="1812" t="s">
        <v>3062</v>
      </c>
      <c r="E19" s="35">
        <f t="shared" si="7"/>
        <v>5729.68</v>
      </c>
      <c r="F19" s="36"/>
      <c r="G19" s="37">
        <f t="shared" si="8"/>
        <v>10039.14</v>
      </c>
      <c r="H19" s="38">
        <f t="shared" si="9"/>
        <v>7550.85</v>
      </c>
      <c r="I19" s="39"/>
      <c r="J19" s="39"/>
      <c r="K19" s="3046">
        <v>7550.85</v>
      </c>
      <c r="L19" s="39"/>
      <c r="M19" s="39"/>
      <c r="N19" s="39"/>
      <c r="O19" s="39"/>
      <c r="P19" s="39"/>
      <c r="Q19" s="39"/>
      <c r="R19" s="39"/>
      <c r="S19" s="39"/>
      <c r="T19" s="39"/>
      <c r="U19" s="39"/>
      <c r="V19" s="39"/>
      <c r="W19" s="39"/>
      <c r="X19" s="39"/>
      <c r="Y19" s="39"/>
      <c r="Z19" s="39"/>
      <c r="AA19" s="39"/>
      <c r="AB19" s="39"/>
      <c r="AC19" s="35">
        <f t="shared" si="10"/>
        <v>2488.29</v>
      </c>
      <c r="AD19" s="40"/>
      <c r="AE19" s="40"/>
      <c r="AF19" s="40"/>
      <c r="AG19" s="40"/>
      <c r="AH19" s="40"/>
      <c r="AI19" s="40"/>
      <c r="AJ19" s="40"/>
      <c r="AK19" s="40"/>
      <c r="AL19" s="40"/>
      <c r="AM19" s="40"/>
      <c r="AN19" s="40"/>
      <c r="AO19" s="40"/>
      <c r="AP19" s="40"/>
      <c r="AQ19" s="40"/>
      <c r="AR19" s="40">
        <v>2488.29</v>
      </c>
      <c r="AS19" s="40"/>
      <c r="AT19" s="41"/>
      <c r="AU19" s="1818"/>
      <c r="AV19" s="1529">
        <f t="shared" si="11"/>
        <v>0</v>
      </c>
      <c r="AW19" s="1529" t="str">
        <f t="shared" si="12"/>
        <v>《建设工程规划许可证》</v>
      </c>
      <c r="AX19" s="1529" t="str">
        <f t="shared" si="13"/>
        <v>云计算平台</v>
      </c>
      <c r="AY19" s="42">
        <f t="shared" si="14"/>
        <v>5729.68</v>
      </c>
      <c r="AZ19" s="35">
        <f t="shared" si="15"/>
        <v>10039.14</v>
      </c>
      <c r="BA19" s="35">
        <f t="shared" si="16"/>
        <v>7550.85</v>
      </c>
      <c r="BB19" s="35">
        <f t="shared" si="17"/>
        <v>0</v>
      </c>
      <c r="BC19" s="35">
        <f t="shared" si="18"/>
        <v>7550.85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2488.29</v>
      </c>
      <c r="BM19" s="35">
        <f t="shared" si="28"/>
        <v>0</v>
      </c>
      <c r="BN19" s="35">
        <f t="shared" si="29"/>
        <v>0</v>
      </c>
      <c r="BO19" s="35">
        <f t="shared" si="30"/>
        <v>0</v>
      </c>
      <c r="BP19" s="35">
        <f t="shared" si="31"/>
        <v>0</v>
      </c>
      <c r="BQ19" s="35">
        <f t="shared" si="32"/>
        <v>0</v>
      </c>
      <c r="BR19" s="35">
        <f t="shared" si="33"/>
        <v>0</v>
      </c>
      <c r="BS19" s="35">
        <f t="shared" si="34"/>
        <v>0</v>
      </c>
      <c r="BT19" s="43">
        <f t="shared" si="35"/>
        <v>2488.29</v>
      </c>
    </row>
    <row r="20" spans="1:72" ht="42.75">
      <c r="A20" s="9"/>
      <c r="B20" s="3045" t="s">
        <v>3073</v>
      </c>
      <c r="C20" s="3046" t="s">
        <v>3089</v>
      </c>
      <c r="D20" s="1812" t="s">
        <v>3062</v>
      </c>
      <c r="E20" s="35">
        <f t="shared" si="7"/>
        <v>17461.03</v>
      </c>
      <c r="F20" s="36"/>
      <c r="G20" s="37">
        <f t="shared" si="8"/>
        <v>30594</v>
      </c>
      <c r="H20" s="38">
        <f t="shared" si="9"/>
        <v>27495</v>
      </c>
      <c r="I20" s="39"/>
      <c r="J20" s="39"/>
      <c r="K20" s="3046">
        <v>27495</v>
      </c>
      <c r="L20" s="39"/>
      <c r="M20" s="39"/>
      <c r="N20" s="39"/>
      <c r="O20" s="39"/>
      <c r="P20" s="39"/>
      <c r="Q20" s="39"/>
      <c r="R20" s="39"/>
      <c r="S20" s="39"/>
      <c r="T20" s="39"/>
      <c r="U20" s="39"/>
      <c r="V20" s="39"/>
      <c r="W20" s="39"/>
      <c r="X20" s="39"/>
      <c r="Y20" s="39"/>
      <c r="Z20" s="39"/>
      <c r="AA20" s="39"/>
      <c r="AB20" s="39"/>
      <c r="AC20" s="35">
        <f t="shared" si="10"/>
        <v>3099</v>
      </c>
      <c r="AD20" s="40"/>
      <c r="AE20" s="40"/>
      <c r="AF20" s="40"/>
      <c r="AG20" s="40"/>
      <c r="AH20" s="40"/>
      <c r="AI20" s="40"/>
      <c r="AJ20" s="40"/>
      <c r="AK20" s="40"/>
      <c r="AL20" s="40"/>
      <c r="AM20" s="40"/>
      <c r="AN20" s="40"/>
      <c r="AO20" s="40"/>
      <c r="AP20" s="40"/>
      <c r="AQ20" s="40"/>
      <c r="AR20" s="40">
        <v>3099</v>
      </c>
      <c r="AS20" s="40"/>
      <c r="AT20" s="41"/>
      <c r="AU20" s="1818"/>
      <c r="AV20" s="1529">
        <f t="shared" si="11"/>
        <v>0</v>
      </c>
      <c r="AW20" s="1529" t="str">
        <f t="shared" si="12"/>
        <v>《建设工程规划许可证》</v>
      </c>
      <c r="AX20" s="1529" t="str">
        <f t="shared" si="13"/>
        <v>研发试制1#楼</v>
      </c>
      <c r="AY20" s="42">
        <f t="shared" si="14"/>
        <v>17461.03</v>
      </c>
      <c r="AZ20" s="35">
        <f t="shared" si="15"/>
        <v>30594</v>
      </c>
      <c r="BA20" s="35">
        <f t="shared" si="16"/>
        <v>27495</v>
      </c>
      <c r="BB20" s="35">
        <f t="shared" si="17"/>
        <v>0</v>
      </c>
      <c r="BC20" s="35">
        <f t="shared" si="18"/>
        <v>27495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3099</v>
      </c>
      <c r="BM20" s="35">
        <f t="shared" si="28"/>
        <v>0</v>
      </c>
      <c r="BN20" s="35">
        <f t="shared" si="29"/>
        <v>0</v>
      </c>
      <c r="BO20" s="35">
        <f t="shared" si="30"/>
        <v>0</v>
      </c>
      <c r="BP20" s="35">
        <f t="shared" si="31"/>
        <v>0</v>
      </c>
      <c r="BQ20" s="35">
        <f t="shared" si="32"/>
        <v>0</v>
      </c>
      <c r="BR20" s="35">
        <f t="shared" si="33"/>
        <v>0</v>
      </c>
      <c r="BS20" s="35">
        <f t="shared" si="34"/>
        <v>0</v>
      </c>
      <c r="BT20" s="43">
        <f t="shared" si="35"/>
        <v>3099</v>
      </c>
    </row>
    <row r="21" spans="1:72" ht="42.75">
      <c r="A21" s="9"/>
      <c r="B21" s="3045" t="s">
        <v>3073</v>
      </c>
      <c r="C21" s="3046" t="s">
        <v>3090</v>
      </c>
      <c r="D21" s="1812" t="s">
        <v>3062</v>
      </c>
      <c r="E21" s="35">
        <f t="shared" si="7"/>
        <v>10814.32</v>
      </c>
      <c r="F21" s="36"/>
      <c r="G21" s="37">
        <f t="shared" si="8"/>
        <v>18948.100000000002</v>
      </c>
      <c r="H21" s="38">
        <f t="shared" si="9"/>
        <v>16926.2</v>
      </c>
      <c r="I21" s="39"/>
      <c r="J21" s="39"/>
      <c r="K21" s="3046">
        <v>16926.2</v>
      </c>
      <c r="L21" s="39"/>
      <c r="M21" s="39"/>
      <c r="N21" s="39"/>
      <c r="O21" s="39"/>
      <c r="P21" s="39"/>
      <c r="Q21" s="39"/>
      <c r="R21" s="39"/>
      <c r="S21" s="39"/>
      <c r="T21" s="39"/>
      <c r="U21" s="39"/>
      <c r="V21" s="39"/>
      <c r="W21" s="39"/>
      <c r="X21" s="39"/>
      <c r="Y21" s="39"/>
      <c r="Z21" s="39"/>
      <c r="AA21" s="39"/>
      <c r="AB21" s="39"/>
      <c r="AC21" s="35">
        <f t="shared" si="10"/>
        <v>2021.9</v>
      </c>
      <c r="AD21" s="40"/>
      <c r="AE21" s="40"/>
      <c r="AF21" s="40"/>
      <c r="AG21" s="40"/>
      <c r="AH21" s="40"/>
      <c r="AI21" s="40"/>
      <c r="AJ21" s="40"/>
      <c r="AK21" s="40"/>
      <c r="AL21" s="40"/>
      <c r="AM21" s="40"/>
      <c r="AN21" s="40"/>
      <c r="AO21" s="40"/>
      <c r="AP21" s="40"/>
      <c r="AQ21" s="40"/>
      <c r="AR21" s="40">
        <v>2021.9</v>
      </c>
      <c r="AS21" s="40"/>
      <c r="AT21" s="41"/>
      <c r="AU21" s="1818"/>
      <c r="AV21" s="1529">
        <f t="shared" si="11"/>
        <v>0</v>
      </c>
      <c r="AW21" s="1529" t="str">
        <f t="shared" si="12"/>
        <v>《建设工程规划许可证》</v>
      </c>
      <c r="AX21" s="1529" t="str">
        <f t="shared" si="13"/>
        <v>研发试制2#楼</v>
      </c>
      <c r="AY21" s="42">
        <f t="shared" si="14"/>
        <v>10814.32</v>
      </c>
      <c r="AZ21" s="35">
        <f t="shared" si="15"/>
        <v>18948.100000000002</v>
      </c>
      <c r="BA21" s="35">
        <f t="shared" si="16"/>
        <v>16926.2</v>
      </c>
      <c r="BB21" s="35">
        <f t="shared" si="17"/>
        <v>0</v>
      </c>
      <c r="BC21" s="35">
        <f t="shared" si="18"/>
        <v>16926.2</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2021.9</v>
      </c>
      <c r="BM21" s="35">
        <f t="shared" si="28"/>
        <v>0</v>
      </c>
      <c r="BN21" s="35">
        <f t="shared" si="29"/>
        <v>0</v>
      </c>
      <c r="BO21" s="35">
        <f t="shared" si="30"/>
        <v>0</v>
      </c>
      <c r="BP21" s="35">
        <f t="shared" si="31"/>
        <v>0</v>
      </c>
      <c r="BQ21" s="35">
        <f t="shared" si="32"/>
        <v>0</v>
      </c>
      <c r="BR21" s="35">
        <f t="shared" si="33"/>
        <v>0</v>
      </c>
      <c r="BS21" s="35">
        <f t="shared" si="34"/>
        <v>0</v>
      </c>
      <c r="BT21" s="43">
        <f t="shared" si="35"/>
        <v>2021.9</v>
      </c>
    </row>
    <row r="22" spans="1:72" ht="42.75">
      <c r="A22" s="9"/>
      <c r="B22" s="3045" t="s">
        <v>3073</v>
      </c>
      <c r="C22" s="3046" t="s">
        <v>3091</v>
      </c>
      <c r="D22" s="1812" t="s">
        <v>3062</v>
      </c>
      <c r="E22" s="35">
        <f t="shared" si="7"/>
        <v>0</v>
      </c>
      <c r="F22" s="36"/>
      <c r="G22" s="37">
        <f t="shared" si="8"/>
        <v>95.86</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f>47.93+47.93</f>
        <v>95.86</v>
      </c>
      <c r="AU22" s="1818"/>
      <c r="AV22" s="1529">
        <f t="shared" si="11"/>
        <v>0</v>
      </c>
      <c r="AW22" s="1529" t="str">
        <f t="shared" si="12"/>
        <v>《建设工程规划许可证》</v>
      </c>
      <c r="AX22" s="1529" t="str">
        <f t="shared" si="13"/>
        <v>1#人防出入口</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2.75">
      <c r="A23" s="9"/>
      <c r="B23" s="3045" t="s">
        <v>3073</v>
      </c>
      <c r="C23" s="3046" t="s">
        <v>3092</v>
      </c>
      <c r="D23" s="1812" t="s">
        <v>3062</v>
      </c>
      <c r="E23" s="35">
        <f t="shared" si="7"/>
        <v>0</v>
      </c>
      <c r="F23" s="36"/>
      <c r="G23" s="37">
        <f t="shared" si="8"/>
        <v>63.52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f>31.76+31.76</f>
        <v>63.52</v>
      </c>
      <c r="AU23" s="1818"/>
      <c r="AV23" s="1529">
        <f t="shared" si="11"/>
        <v>0</v>
      </c>
      <c r="AW23" s="1529" t="str">
        <f t="shared" si="12"/>
        <v>《建设工程规划许可证》</v>
      </c>
      <c r="AX23" s="1529" t="str">
        <f t="shared" si="13"/>
        <v>2#人防出入口</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2.75">
      <c r="A24" s="9"/>
      <c r="B24" s="3045" t="s">
        <v>3073</v>
      </c>
      <c r="C24" s="3046" t="s">
        <v>3093</v>
      </c>
      <c r="D24" s="1812" t="s">
        <v>3062</v>
      </c>
      <c r="E24" s="35">
        <f t="shared" si="7"/>
        <v>12.78</v>
      </c>
      <c r="F24" s="36"/>
      <c r="G24" s="37">
        <f t="shared" si="8"/>
        <v>22.39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22.39</v>
      </c>
      <c r="AD24" s="40"/>
      <c r="AE24" s="40"/>
      <c r="AF24" s="40"/>
      <c r="AG24" s="40"/>
      <c r="AH24" s="40"/>
      <c r="AI24" s="40"/>
      <c r="AJ24" s="40"/>
      <c r="AK24" s="40"/>
      <c r="AL24" s="40"/>
      <c r="AM24" s="40"/>
      <c r="AN24" s="40">
        <v>22.39</v>
      </c>
      <c r="AO24" s="40"/>
      <c r="AP24" s="40"/>
      <c r="AQ24" s="40"/>
      <c r="AR24" s="40"/>
      <c r="AS24" s="40"/>
      <c r="AT24" s="41"/>
      <c r="AU24" s="1818"/>
      <c r="AV24" s="1529">
        <f t="shared" si="11"/>
        <v>0</v>
      </c>
      <c r="AW24" s="1529" t="str">
        <f t="shared" si="12"/>
        <v>《建设工程规划许可证》</v>
      </c>
      <c r="AX24" s="1529" t="str">
        <f t="shared" si="13"/>
        <v>1#汽车库人员出入口</v>
      </c>
      <c r="AY24" s="42">
        <f t="shared" si="14"/>
        <v>12.78</v>
      </c>
      <c r="AZ24" s="35">
        <f t="shared" si="15"/>
        <v>22.39</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22.39</v>
      </c>
      <c r="BM24" s="35">
        <f t="shared" si="28"/>
        <v>0</v>
      </c>
      <c r="BN24" s="35">
        <f t="shared" si="29"/>
        <v>0</v>
      </c>
      <c r="BO24" s="35">
        <f t="shared" si="30"/>
        <v>0</v>
      </c>
      <c r="BP24" s="35">
        <f t="shared" si="31"/>
        <v>0</v>
      </c>
      <c r="BQ24" s="35">
        <f t="shared" si="32"/>
        <v>0</v>
      </c>
      <c r="BR24" s="35">
        <f t="shared" si="33"/>
        <v>22.39</v>
      </c>
      <c r="BS24" s="35">
        <f t="shared" si="34"/>
        <v>0</v>
      </c>
      <c r="BT24" s="43">
        <f t="shared" si="35"/>
        <v>0</v>
      </c>
    </row>
    <row r="25" spans="1:72" ht="42.75">
      <c r="A25" s="9"/>
      <c r="B25" s="3045" t="s">
        <v>3073</v>
      </c>
      <c r="C25" s="3046" t="s">
        <v>3074</v>
      </c>
      <c r="D25" s="1812" t="s">
        <v>3062</v>
      </c>
      <c r="E25" s="35">
        <f t="shared" si="7"/>
        <v>13.45</v>
      </c>
      <c r="F25" s="36"/>
      <c r="G25" s="37">
        <f t="shared" si="8"/>
        <v>23.56</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23.56</v>
      </c>
      <c r="AD25" s="40"/>
      <c r="AE25" s="40"/>
      <c r="AF25" s="40"/>
      <c r="AG25" s="40"/>
      <c r="AH25" s="40"/>
      <c r="AI25" s="40"/>
      <c r="AJ25" s="40"/>
      <c r="AK25" s="40"/>
      <c r="AL25" s="40"/>
      <c r="AM25" s="40"/>
      <c r="AN25" s="40">
        <v>23.56</v>
      </c>
      <c r="AO25" s="40"/>
      <c r="AP25" s="40"/>
      <c r="AQ25" s="40"/>
      <c r="AR25" s="40"/>
      <c r="AS25" s="40"/>
      <c r="AT25" s="41"/>
      <c r="AU25" s="1818"/>
      <c r="AV25" s="1529">
        <f t="shared" si="11"/>
        <v>0</v>
      </c>
      <c r="AW25" s="1529" t="str">
        <f t="shared" si="12"/>
        <v>《建设工程规划许可证》</v>
      </c>
      <c r="AX25" s="1529" t="str">
        <f t="shared" si="13"/>
        <v>2#汽车库人员出入口</v>
      </c>
      <c r="AY25" s="42">
        <f t="shared" si="14"/>
        <v>13.45</v>
      </c>
      <c r="AZ25" s="35">
        <f t="shared" si="15"/>
        <v>23.56</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23.56</v>
      </c>
      <c r="BM25" s="35">
        <f t="shared" si="28"/>
        <v>0</v>
      </c>
      <c r="BN25" s="35">
        <f t="shared" si="29"/>
        <v>0</v>
      </c>
      <c r="BO25" s="35">
        <f t="shared" si="30"/>
        <v>0</v>
      </c>
      <c r="BP25" s="35">
        <f t="shared" si="31"/>
        <v>0</v>
      </c>
      <c r="BQ25" s="35">
        <f t="shared" si="32"/>
        <v>0</v>
      </c>
      <c r="BR25" s="35">
        <f t="shared" si="33"/>
        <v>23.56</v>
      </c>
      <c r="BS25" s="35">
        <f t="shared" si="34"/>
        <v>0</v>
      </c>
      <c r="BT25" s="43">
        <f t="shared" si="35"/>
        <v>0</v>
      </c>
    </row>
    <row r="26" spans="1:72" ht="42.75">
      <c r="A26" s="9"/>
      <c r="B26" s="3045" t="s">
        <v>3073</v>
      </c>
      <c r="C26" s="3046" t="s">
        <v>3075</v>
      </c>
      <c r="D26" s="1812" t="s">
        <v>3062</v>
      </c>
      <c r="E26" s="35">
        <f t="shared" si="7"/>
        <v>58.9</v>
      </c>
      <c r="F26" s="36"/>
      <c r="G26" s="37">
        <f t="shared" si="8"/>
        <v>103.2</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103.2</v>
      </c>
      <c r="AD26" s="40"/>
      <c r="AE26" s="40"/>
      <c r="AF26" s="40"/>
      <c r="AG26" s="40"/>
      <c r="AH26" s="40"/>
      <c r="AI26" s="40"/>
      <c r="AJ26" s="40"/>
      <c r="AK26" s="40"/>
      <c r="AL26" s="40">
        <v>51.6</v>
      </c>
      <c r="AM26" s="40"/>
      <c r="AN26" s="40">
        <v>51.6</v>
      </c>
      <c r="AO26" s="40"/>
      <c r="AP26" s="40"/>
      <c r="AQ26" s="40"/>
      <c r="AR26" s="40"/>
      <c r="AS26" s="40"/>
      <c r="AT26" s="41"/>
      <c r="AU26" s="1818"/>
      <c r="AV26" s="1529">
        <f t="shared" si="11"/>
        <v>0</v>
      </c>
      <c r="AW26" s="1529" t="str">
        <f t="shared" si="12"/>
        <v>《建设工程规划许可证》</v>
      </c>
      <c r="AX26" s="1529" t="str">
        <f t="shared" si="13"/>
        <v>3#汽车库人员出入口</v>
      </c>
      <c r="AY26" s="42">
        <f t="shared" si="14"/>
        <v>58.9</v>
      </c>
      <c r="AZ26" s="35">
        <f t="shared" si="15"/>
        <v>103.2</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103.2</v>
      </c>
      <c r="BM26" s="35">
        <f t="shared" si="28"/>
        <v>0</v>
      </c>
      <c r="BN26" s="35">
        <f t="shared" si="29"/>
        <v>0</v>
      </c>
      <c r="BO26" s="35">
        <f t="shared" si="30"/>
        <v>0</v>
      </c>
      <c r="BP26" s="35">
        <f t="shared" si="31"/>
        <v>0</v>
      </c>
      <c r="BQ26" s="35">
        <f t="shared" si="32"/>
        <v>51.6</v>
      </c>
      <c r="BR26" s="35">
        <f t="shared" si="33"/>
        <v>51.6</v>
      </c>
      <c r="BS26" s="35">
        <f t="shared" si="34"/>
        <v>0</v>
      </c>
      <c r="BT26" s="43">
        <f t="shared" si="35"/>
        <v>0</v>
      </c>
    </row>
    <row r="27" spans="1:72" ht="42.75">
      <c r="A27" s="9"/>
      <c r="B27" s="3045" t="s">
        <v>3073</v>
      </c>
      <c r="C27" s="3046" t="s">
        <v>3076</v>
      </c>
      <c r="D27" s="1812" t="s">
        <v>3062</v>
      </c>
      <c r="E27" s="35">
        <f t="shared" si="7"/>
        <v>9251.98</v>
      </c>
      <c r="F27" s="36"/>
      <c r="G27" s="37">
        <f t="shared" si="8"/>
        <v>25566.68</v>
      </c>
      <c r="H27" s="38">
        <f t="shared" si="9"/>
        <v>16210.670000000002</v>
      </c>
      <c r="I27" s="39"/>
      <c r="J27" s="39"/>
      <c r="K27" s="39"/>
      <c r="L27" s="39"/>
      <c r="M27" s="3048">
        <f>25566.68-AT27</f>
        <v>16210.670000000002</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f>9515.39-AT22-AT23</f>
        <v>9356.0099999999984</v>
      </c>
      <c r="AU27" s="1818"/>
      <c r="AV27" s="1529">
        <f t="shared" si="11"/>
        <v>0</v>
      </c>
      <c r="AW27" s="1529" t="str">
        <f t="shared" si="12"/>
        <v>《建设工程规划许可证》</v>
      </c>
      <c r="AX27" s="1529" t="str">
        <f t="shared" si="13"/>
        <v>地下汽车库</v>
      </c>
      <c r="AY27" s="42">
        <f t="shared" si="14"/>
        <v>9251.98</v>
      </c>
      <c r="AZ27" s="35">
        <f t="shared" si="15"/>
        <v>16210.670000000002</v>
      </c>
      <c r="BA27" s="35">
        <f t="shared" si="16"/>
        <v>16210.670000000002</v>
      </c>
      <c r="BB27" s="35">
        <f t="shared" si="17"/>
        <v>0</v>
      </c>
      <c r="BC27" s="35">
        <f t="shared" si="18"/>
        <v>0</v>
      </c>
      <c r="BD27" s="35">
        <f t="shared" si="19"/>
        <v>16210.670000000002</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045" t="s">
        <v>3073</v>
      </c>
      <c r="C28" s="3046" t="s">
        <v>3077</v>
      </c>
      <c r="D28" s="1812" t="s">
        <v>3062</v>
      </c>
      <c r="E28" s="35">
        <f t="shared" si="7"/>
        <v>3.89</v>
      </c>
      <c r="F28" s="36"/>
      <c r="G28" s="37">
        <f t="shared" si="8"/>
        <v>6.82</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6.82</v>
      </c>
      <c r="AD28" s="40"/>
      <c r="AE28" s="40"/>
      <c r="AF28" s="40"/>
      <c r="AG28" s="40"/>
      <c r="AH28" s="40"/>
      <c r="AI28" s="40"/>
      <c r="AJ28" s="40"/>
      <c r="AK28" s="40"/>
      <c r="AL28" s="40">
        <v>6.82</v>
      </c>
      <c r="AM28" s="40"/>
      <c r="AN28" s="40"/>
      <c r="AO28" s="40"/>
      <c r="AP28" s="40"/>
      <c r="AQ28" s="40"/>
      <c r="AR28" s="40"/>
      <c r="AS28" s="40"/>
      <c r="AT28" s="41"/>
      <c r="AU28" s="1818"/>
      <c r="AV28" s="1529">
        <f t="shared" si="11"/>
        <v>0</v>
      </c>
      <c r="AW28" s="1529" t="str">
        <f t="shared" si="12"/>
        <v>《建设工程规划许可证》</v>
      </c>
      <c r="AX28" s="1529" t="str">
        <f t="shared" si="13"/>
        <v>1#门卫</v>
      </c>
      <c r="AY28" s="42">
        <f t="shared" si="14"/>
        <v>3.89</v>
      </c>
      <c r="AZ28" s="35">
        <f t="shared" si="15"/>
        <v>6.82</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6.82</v>
      </c>
      <c r="BM28" s="35">
        <f t="shared" si="28"/>
        <v>0</v>
      </c>
      <c r="BN28" s="35">
        <f t="shared" si="29"/>
        <v>0</v>
      </c>
      <c r="BO28" s="35">
        <f t="shared" si="30"/>
        <v>0</v>
      </c>
      <c r="BP28" s="35">
        <f t="shared" si="31"/>
        <v>0</v>
      </c>
      <c r="BQ28" s="35">
        <f t="shared" si="32"/>
        <v>6.82</v>
      </c>
      <c r="BR28" s="35">
        <f t="shared" si="33"/>
        <v>0</v>
      </c>
      <c r="BS28" s="35">
        <f t="shared" si="34"/>
        <v>0</v>
      </c>
      <c r="BT28" s="43">
        <f t="shared" si="35"/>
        <v>0</v>
      </c>
    </row>
    <row r="29" spans="1:72" ht="42.75">
      <c r="A29" s="9"/>
      <c r="B29" s="3045" t="s">
        <v>3073</v>
      </c>
      <c r="C29" s="3046" t="s">
        <v>3078</v>
      </c>
      <c r="D29" s="1812" t="s">
        <v>3062</v>
      </c>
      <c r="E29" s="35">
        <f t="shared" si="7"/>
        <v>10.16</v>
      </c>
      <c r="F29" s="36"/>
      <c r="G29" s="37">
        <f t="shared" si="8"/>
        <v>17.809999999999999</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17.809999999999999</v>
      </c>
      <c r="AD29" s="40"/>
      <c r="AE29" s="40"/>
      <c r="AF29" s="40"/>
      <c r="AG29" s="40"/>
      <c r="AH29" s="40"/>
      <c r="AI29" s="40"/>
      <c r="AJ29" s="40"/>
      <c r="AK29" s="40"/>
      <c r="AL29" s="40">
        <v>17.809999999999999</v>
      </c>
      <c r="AM29" s="40"/>
      <c r="AN29" s="40"/>
      <c r="AO29" s="40"/>
      <c r="AP29" s="40"/>
      <c r="AQ29" s="40"/>
      <c r="AR29" s="40"/>
      <c r="AS29" s="40"/>
      <c r="AT29" s="41"/>
      <c r="AU29" s="1818"/>
      <c r="AV29" s="1529">
        <f t="shared" si="11"/>
        <v>0</v>
      </c>
      <c r="AW29" s="1529" t="str">
        <f t="shared" si="12"/>
        <v>《建设工程规划许可证》</v>
      </c>
      <c r="AX29" s="1529" t="str">
        <f t="shared" si="13"/>
        <v>2#门卫</v>
      </c>
      <c r="AY29" s="42">
        <f t="shared" si="14"/>
        <v>10.16</v>
      </c>
      <c r="AZ29" s="35">
        <f t="shared" si="15"/>
        <v>17.809999999999999</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17.809999999999999</v>
      </c>
      <c r="BM29" s="35">
        <f t="shared" si="28"/>
        <v>0</v>
      </c>
      <c r="BN29" s="35">
        <f t="shared" si="29"/>
        <v>0</v>
      </c>
      <c r="BO29" s="35">
        <f t="shared" si="30"/>
        <v>0</v>
      </c>
      <c r="BP29" s="35">
        <f t="shared" si="31"/>
        <v>0</v>
      </c>
      <c r="BQ29" s="35">
        <f t="shared" si="32"/>
        <v>17.809999999999999</v>
      </c>
      <c r="BR29" s="35">
        <f t="shared" si="33"/>
        <v>0</v>
      </c>
      <c r="BS29" s="35">
        <f t="shared" si="34"/>
        <v>0</v>
      </c>
      <c r="BT29" s="43">
        <f t="shared" si="35"/>
        <v>0</v>
      </c>
    </row>
    <row r="30" spans="1:72" ht="42.75">
      <c r="A30" s="9"/>
      <c r="B30" s="3045" t="s">
        <v>3073</v>
      </c>
      <c r="C30" s="3046" t="s">
        <v>3079</v>
      </c>
      <c r="D30" s="1812" t="s">
        <v>3062</v>
      </c>
      <c r="E30" s="35">
        <f t="shared" si="7"/>
        <v>10.16</v>
      </c>
      <c r="F30" s="36"/>
      <c r="G30" s="37">
        <f t="shared" si="8"/>
        <v>17.809999999999999</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17.809999999999999</v>
      </c>
      <c r="AD30" s="40"/>
      <c r="AE30" s="40"/>
      <c r="AF30" s="40"/>
      <c r="AG30" s="40"/>
      <c r="AH30" s="40"/>
      <c r="AI30" s="40"/>
      <c r="AJ30" s="40"/>
      <c r="AK30" s="40"/>
      <c r="AL30" s="40">
        <v>17.809999999999999</v>
      </c>
      <c r="AM30" s="40"/>
      <c r="AN30" s="40"/>
      <c r="AO30" s="40"/>
      <c r="AP30" s="40"/>
      <c r="AQ30" s="40"/>
      <c r="AR30" s="40"/>
      <c r="AS30" s="40"/>
      <c r="AT30" s="41"/>
      <c r="AU30" s="1818"/>
      <c r="AV30" s="1529">
        <f t="shared" si="11"/>
        <v>0</v>
      </c>
      <c r="AW30" s="1529" t="str">
        <f t="shared" si="12"/>
        <v>《建设工程规划许可证》</v>
      </c>
      <c r="AX30" s="1529" t="str">
        <f t="shared" si="13"/>
        <v>3#门卫</v>
      </c>
      <c r="AY30" s="42">
        <f t="shared" si="14"/>
        <v>10.16</v>
      </c>
      <c r="AZ30" s="35">
        <f t="shared" si="15"/>
        <v>17.809999999999999</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17.809999999999999</v>
      </c>
      <c r="BM30" s="35">
        <f t="shared" si="28"/>
        <v>0</v>
      </c>
      <c r="BN30" s="35">
        <f t="shared" si="29"/>
        <v>0</v>
      </c>
      <c r="BO30" s="35">
        <f t="shared" si="30"/>
        <v>0</v>
      </c>
      <c r="BP30" s="35">
        <f t="shared" si="31"/>
        <v>0</v>
      </c>
      <c r="BQ30" s="35">
        <f t="shared" si="32"/>
        <v>17.809999999999999</v>
      </c>
      <c r="BR30" s="35">
        <f t="shared" si="33"/>
        <v>0</v>
      </c>
      <c r="BS30" s="35">
        <f t="shared" si="34"/>
        <v>0</v>
      </c>
      <c r="BT30" s="43">
        <f t="shared" si="35"/>
        <v>0</v>
      </c>
    </row>
    <row r="31" spans="1:72" ht="42.75">
      <c r="A31" s="9"/>
      <c r="B31" s="3045" t="s">
        <v>3073</v>
      </c>
      <c r="C31" s="3046" t="s">
        <v>3080</v>
      </c>
      <c r="D31" s="1812" t="s">
        <v>3062</v>
      </c>
      <c r="E31" s="35">
        <f t="shared" si="7"/>
        <v>10.16</v>
      </c>
      <c r="F31" s="36"/>
      <c r="G31" s="37">
        <f t="shared" si="8"/>
        <v>17.809999999999999</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17.809999999999999</v>
      </c>
      <c r="AD31" s="40"/>
      <c r="AE31" s="40"/>
      <c r="AF31" s="40"/>
      <c r="AG31" s="40"/>
      <c r="AH31" s="40"/>
      <c r="AI31" s="40"/>
      <c r="AJ31" s="40"/>
      <c r="AK31" s="40"/>
      <c r="AL31" s="40">
        <v>17.809999999999999</v>
      </c>
      <c r="AM31" s="40"/>
      <c r="AN31" s="40"/>
      <c r="AO31" s="40"/>
      <c r="AP31" s="40"/>
      <c r="AQ31" s="40"/>
      <c r="AR31" s="40"/>
      <c r="AS31" s="40"/>
      <c r="AT31" s="41"/>
      <c r="AU31" s="1818"/>
      <c r="AV31" s="1529">
        <f t="shared" si="11"/>
        <v>0</v>
      </c>
      <c r="AW31" s="1529" t="str">
        <f t="shared" si="12"/>
        <v>《建设工程规划许可证》</v>
      </c>
      <c r="AX31" s="1529" t="str">
        <f t="shared" si="13"/>
        <v>4#门卫</v>
      </c>
      <c r="AY31" s="42">
        <f t="shared" si="14"/>
        <v>10.16</v>
      </c>
      <c r="AZ31" s="35">
        <f t="shared" si="15"/>
        <v>17.809999999999999</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17.809999999999999</v>
      </c>
      <c r="BM31" s="35">
        <f t="shared" si="28"/>
        <v>0</v>
      </c>
      <c r="BN31" s="35">
        <f t="shared" si="29"/>
        <v>0</v>
      </c>
      <c r="BO31" s="35">
        <f t="shared" si="30"/>
        <v>0</v>
      </c>
      <c r="BP31" s="35">
        <f t="shared" si="31"/>
        <v>0</v>
      </c>
      <c r="BQ31" s="35">
        <f t="shared" si="32"/>
        <v>17.809999999999999</v>
      </c>
      <c r="BR31" s="35">
        <f t="shared" si="33"/>
        <v>0</v>
      </c>
      <c r="BS31" s="35">
        <f t="shared" si="34"/>
        <v>0</v>
      </c>
      <c r="BT31" s="43">
        <f t="shared" si="35"/>
        <v>0</v>
      </c>
    </row>
    <row r="32" spans="1:72" ht="42.75">
      <c r="A32" s="9"/>
      <c r="B32" s="3045" t="s">
        <v>3073</v>
      </c>
      <c r="C32" s="3046" t="s">
        <v>3081</v>
      </c>
      <c r="D32" s="1812" t="s">
        <v>3062</v>
      </c>
      <c r="E32" s="35">
        <f t="shared" si="7"/>
        <v>3.89</v>
      </c>
      <c r="F32" s="36"/>
      <c r="G32" s="37">
        <f t="shared" si="8"/>
        <v>6.82</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6.82</v>
      </c>
      <c r="AD32" s="40"/>
      <c r="AE32" s="40"/>
      <c r="AF32" s="40"/>
      <c r="AG32" s="40"/>
      <c r="AH32" s="40"/>
      <c r="AI32" s="40"/>
      <c r="AJ32" s="40"/>
      <c r="AK32" s="40"/>
      <c r="AL32" s="40">
        <v>6.82</v>
      </c>
      <c r="AM32" s="40"/>
      <c r="AN32" s="40"/>
      <c r="AO32" s="40"/>
      <c r="AP32" s="40"/>
      <c r="AQ32" s="40"/>
      <c r="AR32" s="40"/>
      <c r="AS32" s="40"/>
      <c r="AT32" s="41"/>
      <c r="AU32" s="1818"/>
      <c r="AV32" s="1529">
        <f t="shared" si="11"/>
        <v>0</v>
      </c>
      <c r="AW32" s="1529" t="str">
        <f t="shared" si="12"/>
        <v>《建设工程规划许可证》</v>
      </c>
      <c r="AX32" s="1529" t="str">
        <f t="shared" si="13"/>
        <v>5#门卫</v>
      </c>
      <c r="AY32" s="42">
        <f t="shared" si="14"/>
        <v>3.89</v>
      </c>
      <c r="AZ32" s="35">
        <f t="shared" si="15"/>
        <v>6.82</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6.82</v>
      </c>
      <c r="BM32" s="35">
        <f t="shared" si="28"/>
        <v>0</v>
      </c>
      <c r="BN32" s="35">
        <f t="shared" si="29"/>
        <v>0</v>
      </c>
      <c r="BO32" s="35">
        <f t="shared" si="30"/>
        <v>0</v>
      </c>
      <c r="BP32" s="35">
        <f t="shared" si="31"/>
        <v>0</v>
      </c>
      <c r="BQ32" s="35">
        <f t="shared" si="32"/>
        <v>6.82</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H28" sqref="H2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90" t="s">
        <v>1817</v>
      </c>
      <c r="B2" s="3190"/>
      <c r="C2" s="3190"/>
      <c r="D2" s="904" t="s">
        <v>1793</v>
      </c>
      <c r="E2" s="1826" t="s">
        <v>1794</v>
      </c>
      <c r="F2" s="2888"/>
      <c r="G2" s="2879"/>
      <c r="H2" s="2880"/>
      <c r="I2" s="2550" t="s">
        <v>1818</v>
      </c>
      <c r="J2" s="2888"/>
      <c r="K2" s="2888"/>
      <c r="L2" s="2888"/>
      <c r="M2" s="2888"/>
      <c r="N2" s="2890"/>
      <c r="O2" s="2888"/>
      <c r="P2" s="2888"/>
    </row>
    <row r="3" spans="1:16" ht="15.75" thickBot="1">
      <c r="A3" s="3191" t="s">
        <v>1791</v>
      </c>
      <c r="B3" s="3191"/>
      <c r="C3" s="3191"/>
      <c r="D3" s="46">
        <f>'数据-基础表'!AY6</f>
        <v>101087.14</v>
      </c>
      <c r="E3" s="46">
        <f>'数据-基础表'!AZ5</f>
        <v>177117.85000000003</v>
      </c>
      <c r="F3" s="2888"/>
      <c r="G3" s="1307"/>
      <c r="H3" s="1157" t="s">
        <v>1792</v>
      </c>
      <c r="I3" s="964">
        <f>ROUND('数据-基础表'!B3/'数据-基础表'!A3,2)</f>
        <v>1.75</v>
      </c>
      <c r="J3" s="2888"/>
      <c r="K3" s="2888"/>
      <c r="L3" s="2888"/>
      <c r="M3" s="2888"/>
      <c r="N3" s="2890"/>
      <c r="O3" s="2888"/>
      <c r="P3" s="2888"/>
    </row>
    <row r="4" spans="1:16" ht="15">
      <c r="A4" s="3192"/>
      <c r="B4" s="3193"/>
      <c r="C4" s="3194"/>
      <c r="D4" s="1828" t="s">
        <v>1793</v>
      </c>
      <c r="E4" s="1829" t="s">
        <v>1794</v>
      </c>
      <c r="F4" s="2888"/>
      <c r="G4" s="2881" t="s">
        <v>1819</v>
      </c>
      <c r="H4" s="1157" t="s">
        <v>1799</v>
      </c>
      <c r="I4" s="964">
        <f>ROUND(SUMIF('数据-基础表'!I9:AS9,"地上",'数据-基础表'!I5:AS5)/'数据-基础表'!A3,2)</f>
        <v>1.5</v>
      </c>
      <c r="J4" s="2888"/>
      <c r="K4" s="2888"/>
      <c r="L4" s="2888"/>
      <c r="M4" s="2888"/>
      <c r="N4" s="2890"/>
      <c r="O4" s="2888"/>
      <c r="P4" s="2888"/>
    </row>
    <row r="5" spans="1:16">
      <c r="A5" s="47" t="s">
        <v>1795</v>
      </c>
      <c r="B5" s="3195" t="s">
        <v>1796</v>
      </c>
      <c r="C5" s="3195"/>
      <c r="D5" s="48">
        <f>ROUND($D$3*E5/$E$3,2)</f>
        <v>0</v>
      </c>
      <c r="E5" s="49">
        <f>SUMIF('数据-基础表'!$11:$11,"住宅",'数据-基础表'!$5:$5)</f>
        <v>0</v>
      </c>
      <c r="F5" s="2888"/>
      <c r="G5" s="1307"/>
      <c r="H5" s="1157" t="s">
        <v>1792</v>
      </c>
      <c r="I5" s="964">
        <f>ROUND(E31/D31,2)</f>
        <v>1.75</v>
      </c>
      <c r="J5" s="2888"/>
      <c r="K5" s="2888"/>
      <c r="L5" s="2888"/>
      <c r="M5" s="2888"/>
      <c r="N5" s="2888"/>
      <c r="O5" s="2888"/>
      <c r="P5" s="2888"/>
    </row>
    <row r="6" spans="1:16" ht="15" thickBot="1">
      <c r="A6" s="1831"/>
      <c r="B6" s="3195" t="s">
        <v>1797</v>
      </c>
      <c r="C6" s="3195"/>
      <c r="D6" s="48">
        <f>ROUND($D$3*E6/$E$3,2)</f>
        <v>101087.14</v>
      </c>
      <c r="E6" s="49">
        <f>E3-E5</f>
        <v>177117.85000000003</v>
      </c>
      <c r="F6" s="2888"/>
      <c r="G6" s="2882" t="s">
        <v>1798</v>
      </c>
      <c r="H6" s="1308" t="s">
        <v>1799</v>
      </c>
      <c r="I6" s="2883">
        <f>ROUND(F31/D31,2)</f>
        <v>1.5</v>
      </c>
      <c r="J6" s="2888"/>
      <c r="K6" s="2888"/>
      <c r="L6" s="2888"/>
      <c r="M6" s="2888"/>
      <c r="N6" s="2888"/>
      <c r="O6" s="2888"/>
      <c r="P6" s="2888"/>
    </row>
    <row r="7" spans="1:16" ht="15.75" thickBot="1">
      <c r="A7" s="3187"/>
      <c r="B7" s="3188"/>
      <c r="C7" s="3189"/>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76983.33</v>
      </c>
      <c r="E8" s="51">
        <f>SUMIF('数据-基础表'!BB10:BK10,"地上",'数据-基础表'!BB5:BK5)</f>
        <v>134884.83000000002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9251.98</v>
      </c>
      <c r="E13" s="51">
        <f>SUMPRODUCT(('数据-基础表'!BB10:BK10="地下")*('数据-基础表'!BB11:BK11="车库")*('数据-基础表'!BB5:BK5))</f>
        <v>16210.670000000002</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86235.31</v>
      </c>
      <c r="E16" s="53">
        <f>SUM(E8:E15)</f>
        <v>151095.50000000003</v>
      </c>
      <c r="F16" s="2888"/>
      <c r="G16" s="2889"/>
      <c r="H16" s="1835" t="s">
        <v>1821</v>
      </c>
      <c r="I16" s="1836"/>
      <c r="J16" s="1301"/>
      <c r="K16" s="3184" t="s">
        <v>1821</v>
      </c>
      <c r="L16" s="3185"/>
      <c r="M16" s="3185"/>
      <c r="N16" s="3185"/>
      <c r="O16" s="3185"/>
      <c r="P16" s="3186"/>
    </row>
    <row r="17" spans="1:19" ht="15">
      <c r="A17" s="1837" t="s">
        <v>1822</v>
      </c>
      <c r="B17" s="1838" t="s">
        <v>1823</v>
      </c>
      <c r="C17" s="1839" t="s">
        <v>1824</v>
      </c>
      <c r="D17" s="1840" t="s">
        <v>1812</v>
      </c>
      <c r="E17" s="1841" t="s">
        <v>1813</v>
      </c>
      <c r="F17" s="1842"/>
      <c r="G17" s="1843"/>
      <c r="H17" s="1844" t="s">
        <v>1825</v>
      </c>
      <c r="I17" s="1845" t="s">
        <v>1810</v>
      </c>
      <c r="J17" s="1301"/>
      <c r="K17" s="3181" t="s">
        <v>1826</v>
      </c>
      <c r="L17" s="3182"/>
      <c r="M17" s="3183"/>
      <c r="N17" s="3181" t="s">
        <v>1827</v>
      </c>
      <c r="O17" s="3182"/>
      <c r="P17" s="318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2" t="s">
        <v>3099</v>
      </c>
      <c r="D19" s="48">
        <f>ROUND($D$3*E19/$E$3,2)</f>
        <v>86235.31</v>
      </c>
      <c r="E19" s="56">
        <f t="shared" ref="E19:E26" si="1">SUM(F19:G19)</f>
        <v>151095.50000000003</v>
      </c>
      <c r="F19" s="3050">
        <f>16655.87+16629.87+16481.63+16481.63+16663.78+7550.85+27495+16926.2</f>
        <v>134884.83000000002</v>
      </c>
      <c r="G19" s="3051">
        <f>'[2]数据-基础表'!M5</f>
        <v>16210.670000000002</v>
      </c>
      <c r="H19" s="679">
        <f>ROUND($D$3*I19/$E$3,2)</f>
        <v>14851.83</v>
      </c>
      <c r="I19" s="51">
        <f t="shared" ref="I19:I26" si="2">IF($I$17="自定义",P19,M19)</f>
        <v>26022.35</v>
      </c>
      <c r="J19" s="1301"/>
      <c r="K19" s="1300">
        <f t="shared" ref="K19:K26" si="3">ROUND(E$28*E19/E$27,2)</f>
        <v>26022.35</v>
      </c>
      <c r="L19" s="1157">
        <f t="shared" ref="L19:L26" si="4">ROUND(IF(COUNTIF(C19,"*住宅*")&gt;0,E$29*E19/E$32,0),2)</f>
        <v>0</v>
      </c>
      <c r="M19" s="1312">
        <f>K19+L19</f>
        <v>26022.35</v>
      </c>
      <c r="N19" s="1856"/>
      <c r="O19" s="1857"/>
      <c r="P19" s="1312">
        <f>N19+O19</f>
        <v>0</v>
      </c>
      <c r="R19" s="1157">
        <f t="shared" ref="R19:S26" si="5">D19+H19</f>
        <v>101087.14</v>
      </c>
      <c r="S19" s="1158">
        <f t="shared" si="5"/>
        <v>177117.85000000003</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86235.31</v>
      </c>
      <c r="E27" s="1303">
        <f>IF(SUM(E19:E26)='数据-基础表'!BA5,SUM(E19:E26),IF(F27="地上面积有误","面积有误","地下面积有误"))</f>
        <v>151095.50000000003</v>
      </c>
      <c r="F27" s="1302">
        <f>IF(SUM(F19:F26)=E8,SUM(F19:F26),"地上面积有误")</f>
        <v>134884.83000000002</v>
      </c>
      <c r="G27" s="1304">
        <f>SUM(G19:G26)</f>
        <v>16210.670000000002</v>
      </c>
      <c r="H27" s="1305">
        <f>SUM(H19:H26)</f>
        <v>14851.83</v>
      </c>
      <c r="I27" s="1306">
        <f>SUM(I19:I26)</f>
        <v>26022.35</v>
      </c>
      <c r="J27" s="1301"/>
      <c r="K27" s="1309">
        <f>SUM(K19:K26)</f>
        <v>26022.35</v>
      </c>
      <c r="L27" s="1310">
        <f>SUM(L19:L26)</f>
        <v>0</v>
      </c>
      <c r="M27" s="1313">
        <f>SUM(M19:M26)</f>
        <v>26022.35</v>
      </c>
      <c r="N27" s="1309">
        <f t="shared" ref="N27:O27" si="10">SUM(N19:N26)</f>
        <v>0</v>
      </c>
      <c r="O27" s="1310">
        <f t="shared" si="10"/>
        <v>0</v>
      </c>
      <c r="P27" s="1311">
        <f>SUM(P19:P26)</f>
        <v>0</v>
      </c>
      <c r="R27" s="1159">
        <f>IF(SUM(R19:R26)=$D$3,SUM(R19:R26),SUM(R19:R26)&amp;"误差"&amp;ROUND(SUM(R19:R26)-$D$3,2))</f>
        <v>101087.14</v>
      </c>
      <c r="S27" s="1157">
        <f>IF(SUM(S19:S26)=$E$3,SUM(S19:S26),SUM(S19:S26)&amp;"误差"&amp;ROUND(SUM(S19:S26)-E3,2))</f>
        <v>177117.85000000003</v>
      </c>
    </row>
    <row r="28" spans="1:19">
      <c r="A28" s="1858"/>
      <c r="B28" s="50" t="s">
        <v>1841</v>
      </c>
      <c r="C28" s="1169" t="s">
        <v>1842</v>
      </c>
      <c r="D28" s="48">
        <f>ROUND($D$3*E28/$E$3,2)</f>
        <v>14851.83</v>
      </c>
      <c r="E28" s="56">
        <f>SUM(F28:G28)</f>
        <v>26022.350000000002</v>
      </c>
      <c r="F28" s="60">
        <f>'数据-基础表'!BQ5+'数据-基础表'!BS5</f>
        <v>16547.870000000003</v>
      </c>
      <c r="G28" s="61">
        <f>'数据-基础表'!BR5+'数据-基础表'!BT5</f>
        <v>9474.48</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14851.83</v>
      </c>
      <c r="E30" s="1302">
        <f>SUM(E28:E29)</f>
        <v>26022.350000000002</v>
      </c>
      <c r="F30" s="1302">
        <f>SUM(F28:F29)</f>
        <v>16547.870000000003</v>
      </c>
      <c r="G30" s="1304">
        <f>SUM(G28:G29)</f>
        <v>9474.48</v>
      </c>
      <c r="H30" s="2888"/>
      <c r="I30" s="2888"/>
      <c r="J30" s="2888"/>
      <c r="K30" s="2888"/>
      <c r="L30" s="2888"/>
      <c r="M30" s="2888"/>
      <c r="N30" s="2888"/>
      <c r="O30" s="2888"/>
      <c r="P30" s="2888"/>
    </row>
    <row r="31" spans="1:19" ht="15.75" thickBot="1">
      <c r="A31" s="1864"/>
      <c r="B31" s="1865"/>
      <c r="C31" s="944" t="s">
        <v>1844</v>
      </c>
      <c r="D31" s="685">
        <f>D27+D30</f>
        <v>101087.14</v>
      </c>
      <c r="E31" s="685">
        <f>E27+E30</f>
        <v>177117.85000000003</v>
      </c>
      <c r="F31" s="686">
        <f>F27+F30</f>
        <v>151432.70000000001</v>
      </c>
      <c r="G31" s="687">
        <f>G27+G30</f>
        <v>25685.15</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44074</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1867</v>
      </c>
      <c r="O5" s="1890" t="s">
        <v>1868</v>
      </c>
      <c r="P5" s="1893" t="s">
        <v>1869</v>
      </c>
      <c r="Q5" s="65" t="s">
        <v>1870</v>
      </c>
      <c r="R5" s="1894" t="s">
        <v>1871</v>
      </c>
      <c r="S5" s="1895" t="s">
        <v>1872</v>
      </c>
      <c r="T5" s="1896" t="s">
        <v>1873</v>
      </c>
      <c r="U5" s="1177" t="s">
        <v>1874</v>
      </c>
      <c r="V5" s="1178" t="s">
        <v>1875</v>
      </c>
      <c r="W5" s="1178" t="s">
        <v>1876</v>
      </c>
      <c r="X5" s="67"/>
      <c r="Y5" s="66" t="s">
        <v>1877</v>
      </c>
      <c r="Z5" s="1897" t="s">
        <v>1874</v>
      </c>
      <c r="AA5" s="1178" t="s">
        <v>1875</v>
      </c>
      <c r="AB5" s="1178" t="s">
        <v>1876</v>
      </c>
      <c r="AC5" s="67"/>
      <c r="AD5" s="67" t="s">
        <v>1877</v>
      </c>
      <c r="AE5" s="1177" t="s">
        <v>1878</v>
      </c>
      <c r="AF5" s="1178" t="s">
        <v>1879</v>
      </c>
      <c r="AG5" s="66" t="s">
        <v>1880</v>
      </c>
      <c r="AH5" s="1177" t="s">
        <v>1881</v>
      </c>
      <c r="AI5" s="1897" t="s">
        <v>1882</v>
      </c>
      <c r="AJ5" s="1897" t="s">
        <v>1883</v>
      </c>
      <c r="AK5" s="1178" t="s">
        <v>1884</v>
      </c>
      <c r="AL5" s="1178" t="s">
        <v>1885</v>
      </c>
      <c r="AM5" s="66" t="s">
        <v>1886</v>
      </c>
      <c r="AN5" s="1898" t="s">
        <v>1887</v>
      </c>
      <c r="AO5" s="1749" t="s">
        <v>1888</v>
      </c>
      <c r="AP5" s="1159" t="s">
        <v>1889</v>
      </c>
      <c r="AQ5" s="1899" t="s">
        <v>1890</v>
      </c>
      <c r="AR5" s="1899" t="s">
        <v>1891</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60573</v>
      </c>
      <c r="F6" s="68">
        <f>SUMIF(项目基本情况!D$12:I$12,C6,项目基本情况!D$15:I$15)</f>
        <v>45.2</v>
      </c>
      <c r="G6" s="69">
        <f>IF(ISERROR(ROUND(POWER(1+H6,D6-F6)*(POWER(1+H6,F6)-1)/(POWER(1+H6,D6)-1),3)),0,ROUND(POWER(1+H6,D6-F6)*(POWER(1+H6,F6)-1)/(POWER(1+H6,D6)-1),3))</f>
        <v>0.97099999999999997</v>
      </c>
      <c r="H6" s="741">
        <v>4.4999999999999998E-2</v>
      </c>
      <c r="I6" s="741">
        <v>0.05</v>
      </c>
      <c r="J6" s="70">
        <v>0.08</v>
      </c>
      <c r="K6" s="1161">
        <f>SUMIF('数据-汇总表'!C$19:C$33,A6,'数据-汇总表'!E$19:E$33)</f>
        <v>151095.50000000003</v>
      </c>
      <c r="L6" s="742">
        <v>2500</v>
      </c>
      <c r="M6" s="71">
        <f t="shared" ref="M6:M14" si="0">ROUND(K6*L6/10000,0)</f>
        <v>37774</v>
      </c>
      <c r="N6" s="740">
        <v>0.98</v>
      </c>
      <c r="O6" s="71">
        <f>IF($N$5="成新度","——",ROUND(M6*N6,0))</f>
        <v>37019</v>
      </c>
      <c r="P6" s="72">
        <f>IF($N$5="成新度","——",M6-O6)</f>
        <v>755</v>
      </c>
      <c r="Q6" s="743">
        <v>0.1</v>
      </c>
      <c r="R6" s="73">
        <f ca="1">SUMIF('数据-汇总表'!C$19:C$33,A6,'数据-汇总表'!R$19:R$27)</f>
        <v>101087.14</v>
      </c>
      <c r="S6" s="54">
        <f>IF('数据-汇总表'!$I$17="按面积比例",SUMIF('数据-汇总表'!C$19:C$33,A6,'数据-汇总表'!K$19:K$33),SUMIF('数据-汇总表'!C$19:C$33,A6,'数据-汇总表'!N$19:N$33))</f>
        <v>26022.35</v>
      </c>
      <c r="T6" s="1334">
        <f>ROUND($L$14*S6/10000,0)</f>
        <v>10149</v>
      </c>
      <c r="U6" s="74">
        <v>1.4</v>
      </c>
      <c r="V6" s="75">
        <v>0.02</v>
      </c>
      <c r="W6" s="75">
        <v>0.1</v>
      </c>
      <c r="X6" s="1171"/>
      <c r="Y6" s="76">
        <v>1</v>
      </c>
      <c r="Z6" s="77"/>
      <c r="AA6" s="70"/>
      <c r="AB6" s="70"/>
      <c r="AC6" s="1171"/>
      <c r="AD6" s="78"/>
      <c r="AE6" s="1172">
        <f ca="1">IF(AN6="",0,SUMIF(INDIRECT("'"&amp;AN6&amp;"'"&amp;"!E:E"),$AE$5,INDIRECT("'"&amp;AN6&amp;"'"&amp;"!F:F")))</f>
        <v>45.18</v>
      </c>
      <c r="AF6" s="1534"/>
      <c r="AG6" s="143">
        <f>IF(AF6="",0,AE6-AF6)</f>
        <v>0</v>
      </c>
      <c r="AH6" s="79"/>
      <c r="AI6" s="81">
        <v>365</v>
      </c>
      <c r="AJ6" s="82"/>
      <c r="AK6" s="83">
        <v>0.02</v>
      </c>
      <c r="AL6" s="84">
        <v>1.5E-3</v>
      </c>
      <c r="AM6" s="85">
        <v>1.4999999999999999E-2</v>
      </c>
      <c r="AN6" s="1903" t="s">
        <v>3101</v>
      </c>
      <c r="AO6" s="55">
        <f ca="1">SUMIF(INDIRECT("'"&amp;AN6&amp;"'"&amp;"!A:A"),"总价",INDIRECT("'"&amp;AN6&amp;"'"&amp;"!B:B"))</f>
        <v>103113</v>
      </c>
      <c r="AP6" s="1904">
        <f>IF(C6="住宅",K6*L6,0)</f>
        <v>0</v>
      </c>
      <c r="AQ6" s="55">
        <f>ROUND($L$14*$N$14*S6/10000,0)</f>
        <v>9946</v>
      </c>
      <c r="AR6" s="55">
        <f>ROUND($L$14*(1-$N$14)*S6/10000,0)</f>
        <v>203</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1892</v>
      </c>
      <c r="B14" s="1901" t="s">
        <v>1893</v>
      </c>
      <c r="C14" s="1906" t="s">
        <v>1892</v>
      </c>
      <c r="D14" s="967"/>
      <c r="E14" s="966"/>
      <c r="F14" s="68"/>
      <c r="G14" s="69"/>
      <c r="H14" s="1160"/>
      <c r="I14" s="1160"/>
      <c r="J14" s="1160"/>
      <c r="K14" s="1161">
        <f>SUMIF('数据-汇总表'!C$19:C$33,A14,'数据-汇总表'!E$19:E$33)</f>
        <v>26022.350000000002</v>
      </c>
      <c r="L14" s="87">
        <v>3900</v>
      </c>
      <c r="M14" s="71">
        <f t="shared" si="0"/>
        <v>10149</v>
      </c>
      <c r="N14" s="88">
        <v>0.98</v>
      </c>
      <c r="O14" s="71">
        <f t="shared" si="3"/>
        <v>9946</v>
      </c>
      <c r="P14" s="72">
        <f t="shared" si="4"/>
        <v>203</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1894</v>
      </c>
      <c r="B15" s="1901" t="s">
        <v>1893</v>
      </c>
      <c r="C15" s="1906"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1896</v>
      </c>
      <c r="B16" s="93"/>
      <c r="C16" s="942"/>
      <c r="D16" s="1908"/>
      <c r="E16" s="93"/>
      <c r="F16" s="93"/>
      <c r="G16" s="94">
        <f>ROUND(SUMPRODUCT(G6:G13,K6:K13)/SUMPRODUCT((G6:G13&gt;0)*(K6:K13)),3)</f>
        <v>0.97099999999999997</v>
      </c>
      <c r="H16" s="95">
        <f>ROUND(SUMPRODUCT(H6:H13,K6:K13)/SUMPRODUCT((H6:H13&gt;0)*(K6:K13)),3)</f>
        <v>4.4999999999999998E-2</v>
      </c>
      <c r="I16" s="96"/>
      <c r="J16" s="96"/>
      <c r="K16" s="97">
        <f>SUM(K6:K15)</f>
        <v>177117.85000000003</v>
      </c>
      <c r="L16" s="98">
        <f>ROUND(M16*10000/SUM(K6:K14),0)</f>
        <v>2706</v>
      </c>
      <c r="M16" s="98">
        <f>SUM(M6:M14)</f>
        <v>47923</v>
      </c>
      <c r="N16" s="99">
        <f>ROUND(SUMPRODUCT(M6:M14,N6:N14)/M16,3)</f>
        <v>0.98</v>
      </c>
      <c r="O16" s="98">
        <f>SUM(O6:O14)</f>
        <v>46965</v>
      </c>
      <c r="P16" s="98">
        <f>SUM(P6:P14)</f>
        <v>958</v>
      </c>
      <c r="Q16" s="100">
        <f>ROUND(SUMPRODUCT(Q6:Q13,K6:K13)/SUMPRODUCT((Q6:Q13&gt;0)*(K6:K13)),2)</f>
        <v>0.1</v>
      </c>
      <c r="R16" s="1165">
        <f ca="1">SUM(R6:R13)</f>
        <v>101087.14</v>
      </c>
      <c r="S16" s="101">
        <f>SUM(S6:S13)</f>
        <v>26022.35</v>
      </c>
      <c r="T16" s="102">
        <f>IF(SUMIF(T6:T13,"&lt;9E307")=M14,SUMIF(T6:T13,"&lt;9E307"),"有误，请检查")</f>
        <v>10149</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1897</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1898</v>
      </c>
      <c r="B19" s="108"/>
      <c r="C19" s="3032" t="s">
        <v>3050</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1899</v>
      </c>
      <c r="B20" s="109">
        <v>2</v>
      </c>
      <c r="C20" s="3033" t="s">
        <v>3048</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1900</v>
      </c>
      <c r="B21" s="109">
        <v>1.98</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1901</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1902</v>
      </c>
      <c r="B23" s="110">
        <f>B19+B21</f>
        <v>1.98</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1903</v>
      </c>
      <c r="B24" s="111">
        <f>B20-B21</f>
        <v>2.0000000000000018E-2</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1904</v>
      </c>
      <c r="B26" s="1914" t="s">
        <v>1905</v>
      </c>
      <c r="C26" s="2908" t="s">
        <v>1906</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1907</v>
      </c>
      <c r="B27" s="112"/>
      <c r="C27" s="3034" t="s">
        <v>3052</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1908</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1909</v>
      </c>
      <c r="B29" s="117"/>
      <c r="C29" s="3035" t="s">
        <v>3038</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1910</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1911</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1912</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1913</v>
      </c>
      <c r="B33" s="682">
        <v>0.03</v>
      </c>
      <c r="C33" s="3036" t="s">
        <v>3039</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1914</v>
      </c>
      <c r="B34" s="118">
        <v>0</v>
      </c>
      <c r="C34" s="3036" t="s">
        <v>3040</v>
      </c>
      <c r="D34" s="2915" t="s">
        <v>3049</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1915</v>
      </c>
      <c r="B35" s="115">
        <v>200</v>
      </c>
      <c r="C35" s="3036" t="s">
        <v>3041</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1916</v>
      </c>
      <c r="B36" s="119">
        <v>1.4999999999999999E-2</v>
      </c>
      <c r="C36" s="3036" t="s">
        <v>3042</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1917</v>
      </c>
      <c r="B37" s="120">
        <v>0.01</v>
      </c>
      <c r="C37" s="3036" t="s">
        <v>3043</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1918</v>
      </c>
      <c r="B38" s="118">
        <v>0.01</v>
      </c>
      <c r="C38" s="3036" t="s">
        <v>3043</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1919</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1920</v>
      </c>
      <c r="B40" s="1210">
        <f ca="1">存贷款利率!G1</f>
        <v>4.7500000000000001E-2</v>
      </c>
      <c r="C40" s="3036" t="s">
        <v>3044</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1921</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1922</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1923</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1924</v>
      </c>
      <c r="B44" s="124">
        <v>0.05</v>
      </c>
      <c r="C44" s="3036" t="s">
        <v>3053</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1925</v>
      </c>
      <c r="B45" s="122">
        <v>0.03</v>
      </c>
      <c r="C45" s="3035" t="s">
        <v>3045</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1926</v>
      </c>
      <c r="B46" s="122">
        <v>0.02</v>
      </c>
      <c r="C46" s="3035" t="s">
        <v>3046</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1927</v>
      </c>
      <c r="B47" s="125">
        <v>0</v>
      </c>
      <c r="C47" s="3038" t="s">
        <v>3054</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1928</v>
      </c>
      <c r="B48" s="126">
        <v>0.03</v>
      </c>
      <c r="C48" s="3035" t="s">
        <v>3045</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1929</v>
      </c>
      <c r="B49" s="122">
        <v>5.0000000000000001E-4</v>
      </c>
      <c r="C49" s="3035" t="s">
        <v>3047</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1930</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1931</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1932</v>
      </c>
      <c r="B52" s="129">
        <f>SUMIF(A54:A63,B53,B54:B63)</f>
        <v>3</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1933</v>
      </c>
      <c r="B53" s="1926" t="s">
        <v>523</v>
      </c>
      <c r="C53" s="2890" t="s">
        <v>1934</v>
      </c>
      <c r="D53" s="3037" t="s">
        <v>3051</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1935</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1936</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1937</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1938</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1939</v>
      </c>
      <c r="B58" s="8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1940</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1941</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1942</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1943</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1944</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96" t="s">
        <v>3030</v>
      </c>
      <c r="B1" s="3197"/>
      <c r="C1" s="3197"/>
      <c r="D1" s="3197"/>
      <c r="E1" s="3197"/>
      <c r="F1" s="3197"/>
      <c r="G1" s="319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2998</v>
      </c>
      <c r="C3" s="2692" t="s">
        <v>3029</v>
      </c>
      <c r="D3" s="2693"/>
      <c r="E3" s="2670" t="s">
        <v>3028</v>
      </c>
      <c r="F3" s="2694" t="s">
        <v>2999</v>
      </c>
      <c r="G3" s="2695" t="s">
        <v>3140</v>
      </c>
      <c r="H3" s="907"/>
      <c r="I3" s="907"/>
      <c r="J3" s="907"/>
      <c r="K3" s="907"/>
      <c r="L3" s="907"/>
      <c r="M3" s="907"/>
      <c r="N3" s="907"/>
      <c r="O3" s="907"/>
      <c r="P3" s="907"/>
      <c r="Q3" s="907"/>
      <c r="R3" s="907"/>
    </row>
    <row r="4" spans="1:29" ht="36.75">
      <c r="A4" s="2670"/>
      <c r="B4" s="329" t="s">
        <v>3000</v>
      </c>
      <c r="C4" s="2696" t="s">
        <v>3001</v>
      </c>
      <c r="D4" s="2693"/>
      <c r="E4" s="2697"/>
      <c r="F4" s="1559" t="s">
        <v>3002</v>
      </c>
      <c r="G4" s="2698" t="s">
        <v>3141</v>
      </c>
      <c r="H4" s="907"/>
      <c r="I4" s="907"/>
      <c r="J4" s="907"/>
      <c r="K4" s="907"/>
      <c r="L4" s="907"/>
      <c r="M4" s="907"/>
      <c r="N4" s="907"/>
      <c r="O4" s="907"/>
      <c r="P4" s="907"/>
      <c r="Q4" s="907"/>
      <c r="R4" s="907"/>
    </row>
    <row r="5" spans="1:29" ht="36.75">
      <c r="A5" s="2670"/>
      <c r="B5" s="329" t="s">
        <v>3004</v>
      </c>
      <c r="C5" s="2696" t="s">
        <v>3005</v>
      </c>
      <c r="D5" s="2693"/>
      <c r="E5" s="2697"/>
      <c r="F5" s="329" t="s">
        <v>3006</v>
      </c>
      <c r="G5" s="2698" t="s">
        <v>3141</v>
      </c>
      <c r="H5" s="907"/>
      <c r="I5" s="907"/>
      <c r="J5" s="907"/>
      <c r="K5" s="907"/>
      <c r="L5" s="907"/>
      <c r="M5" s="907"/>
      <c r="N5" s="907"/>
      <c r="O5" s="907"/>
      <c r="P5" s="907"/>
      <c r="Q5" s="907"/>
      <c r="R5" s="907"/>
    </row>
    <row r="6" spans="1:29" ht="36">
      <c r="A6" s="2670"/>
      <c r="B6" s="329" t="s">
        <v>3008</v>
      </c>
      <c r="C6" s="2698" t="s">
        <v>3003</v>
      </c>
      <c r="D6" s="2693"/>
      <c r="E6" s="2697"/>
      <c r="F6" s="329" t="s">
        <v>3009</v>
      </c>
      <c r="G6" s="2698" t="s">
        <v>3141</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3142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3031</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2998</v>
      </c>
      <c r="C15" s="2726" t="str">
        <f>C3</f>
        <v>估价对象周边居住用地比例、居住小区规模和社区发展完善程度，综合评价居住社区成熟度一般</v>
      </c>
      <c r="D15" s="2693"/>
      <c r="E15" s="2673" t="s">
        <v>3018</v>
      </c>
      <c r="F15" s="2725" t="s">
        <v>3019</v>
      </c>
      <c r="G15" s="2727" t="str">
        <f>G3</f>
        <v xml:space="preserve">  </v>
      </c>
    </row>
    <row r="16" spans="1:29" ht="38.25">
      <c r="A16" s="2674"/>
      <c r="B16" s="2728" t="s">
        <v>3000</v>
      </c>
      <c r="C16" s="2729" t="str">
        <f>C4</f>
        <v>估价对象位于XX商圈，周边商业氛围成熟，人流量大，商业繁华度好</v>
      </c>
      <c r="D16" s="2693"/>
      <c r="E16" s="2675"/>
      <c r="F16" s="2730" t="s">
        <v>3002</v>
      </c>
      <c r="G16" s="2731" t="str">
        <f>G4</f>
        <v xml:space="preserve">  </v>
      </c>
    </row>
    <row r="17" spans="1:18" ht="38.25">
      <c r="A17" s="2674"/>
      <c r="B17" s="2728" t="s">
        <v>3004</v>
      </c>
      <c r="C17" s="2729" t="str">
        <f>C5</f>
        <v>估价对象位于XX商圈，周边办公楼项目较多，入驻率高，办公集聚程度较好</v>
      </c>
      <c r="D17" s="2699"/>
      <c r="E17" s="2675"/>
      <c r="F17" s="2730" t="s">
        <v>3020</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 xml:space="preserve"> </v>
      </c>
    </row>
    <row r="19" spans="1:18">
      <c r="A19" s="2674"/>
      <c r="B19" s="2730" t="s">
        <v>3021</v>
      </c>
      <c r="C19" s="2732"/>
      <c r="D19" s="2693"/>
      <c r="E19" s="2675"/>
      <c r="F19" s="329" t="s">
        <v>3006</v>
      </c>
      <c r="G19" s="2731" t="str">
        <f>G5</f>
        <v xml:space="preserve">  </v>
      </c>
    </row>
    <row r="20" spans="1:18" ht="25.5">
      <c r="A20" s="2674"/>
      <c r="B20" s="2730" t="s">
        <v>3022</v>
      </c>
      <c r="C20" s="2729" t="str">
        <f>C9</f>
        <v>区域自然环境：；人文环境；综合评价环境状况一般</v>
      </c>
      <c r="D20" s="2699"/>
      <c r="E20" s="2675"/>
      <c r="F20" s="329" t="s">
        <v>3009</v>
      </c>
      <c r="G20" s="2731" t="str">
        <f>G6</f>
        <v xml:space="preserve">  </v>
      </c>
    </row>
    <row r="21" spans="1:18" ht="25.5">
      <c r="A21" s="2674"/>
      <c r="B21" s="329" t="s">
        <v>3006</v>
      </c>
      <c r="C21" s="2731" t="str">
        <f>C7</f>
        <v>估价对象所在区域公共配套设施齐备情况</v>
      </c>
      <c r="D21" s="2693"/>
      <c r="E21" s="2675"/>
      <c r="F21" s="2730" t="s">
        <v>3023</v>
      </c>
      <c r="G21" s="2733"/>
    </row>
    <row r="22" spans="1:18" ht="13.5" customHeight="1">
      <c r="A22" s="2674"/>
      <c r="B22" s="329" t="s">
        <v>3009</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177117.85000000003</v>
      </c>
      <c r="C1" s="2917"/>
      <c r="D1" s="2917"/>
      <c r="E1" s="2917"/>
      <c r="F1" s="2917"/>
      <c r="G1" s="2918"/>
      <c r="H1" s="2919"/>
      <c r="I1" s="2919"/>
      <c r="J1" s="2919"/>
      <c r="K1" s="2919"/>
    </row>
    <row r="2" spans="1:11" ht="16.5">
      <c r="A2" s="2740" t="s">
        <v>1319</v>
      </c>
      <c r="B2" s="2740">
        <f>SUM(C14:C23)</f>
        <v>101087.14</v>
      </c>
      <c r="C2" s="2917"/>
      <c r="D2" s="2917"/>
      <c r="E2" s="2917"/>
      <c r="F2" s="2917"/>
      <c r="G2" s="2918"/>
      <c r="H2" s="2919"/>
      <c r="I2" s="2919"/>
      <c r="J2" s="2919"/>
      <c r="K2" s="2919"/>
    </row>
    <row r="3" spans="1:11" ht="16.5">
      <c r="A3" s="2740" t="s">
        <v>1328</v>
      </c>
      <c r="B3" s="2742">
        <f>项目基本情况!D3</f>
        <v>44074</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91808</v>
      </c>
      <c r="C5" s="2740">
        <f ca="1">ROUND(B5*10000/$B$1,0)</f>
        <v>5183</v>
      </c>
      <c r="D5" s="2740">
        <f ca="1">ROUND(B5*10000/$B$2,0)</f>
        <v>9082</v>
      </c>
      <c r="E5" s="2917"/>
      <c r="F5" s="2918"/>
      <c r="G5" s="2918"/>
      <c r="H5" s="2919"/>
      <c r="I5" s="2919"/>
      <c r="J5" s="2919"/>
      <c r="K5" s="2919"/>
    </row>
    <row r="6" spans="1:11" ht="16.5">
      <c r="A6" s="2740" t="s">
        <v>1322</v>
      </c>
      <c r="B6" s="2740">
        <f ca="1">SUM(G14:G23)</f>
        <v>91808</v>
      </c>
      <c r="C6" s="2740">
        <f ca="1">ROUND(B6*10000/$B$1,0)</f>
        <v>5183</v>
      </c>
      <c r="D6" s="2740">
        <f ca="1">ROUND(B6*10000/$B$2,0)</f>
        <v>9082</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177117.85000000003</v>
      </c>
      <c r="C14" s="2746">
        <f>结果表!C118</f>
        <v>101087.14</v>
      </c>
      <c r="D14" s="2746">
        <f ca="1">结果表!H118</f>
        <v>91808</v>
      </c>
      <c r="E14" s="2746">
        <f ca="1">ROUND(D14*10000/B14,0)</f>
        <v>5183</v>
      </c>
      <c r="F14" s="2746">
        <f ca="1">ROUND(D14*10000/C14,0)</f>
        <v>9082</v>
      </c>
      <c r="G14" s="2746">
        <f ca="1">结果表!D122</f>
        <v>91808</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1950</v>
      </c>
      <c r="B1" s="1935"/>
      <c r="C1" s="1936"/>
      <c r="D1" s="1935"/>
      <c r="E1" s="1935"/>
      <c r="F1" s="1937" t="s">
        <v>1951</v>
      </c>
      <c r="G1" s="1748"/>
      <c r="H1" s="1938" t="str">
        <f>IF(G1="现房","——","估价对象范围")</f>
        <v>估价对象范围</v>
      </c>
      <c r="I1" s="1939"/>
    </row>
    <row r="2" spans="1:12" ht="21.75" customHeight="1" thickBot="1">
      <c r="A2" s="3232" t="str">
        <f>项目基本情况!S2</f>
        <v>北京市房地产</v>
      </c>
      <c r="B2" s="3233"/>
      <c r="C2" s="3233"/>
      <c r="D2" s="3233"/>
      <c r="E2" s="3233"/>
      <c r="F2" s="3233"/>
      <c r="G2" s="3233"/>
      <c r="H2" s="3233"/>
      <c r="I2" s="3234"/>
    </row>
    <row r="3" spans="1:12" ht="12.75">
      <c r="A3" s="3236" t="s">
        <v>1952</v>
      </c>
      <c r="B3" s="3237"/>
      <c r="C3" s="3237"/>
      <c r="D3" s="3237"/>
      <c r="E3" s="3237"/>
      <c r="F3" s="3237"/>
      <c r="G3" s="3237"/>
      <c r="H3" s="3237"/>
      <c r="I3" s="3237"/>
    </row>
    <row r="4" spans="1:12" ht="14.25">
      <c r="A4" s="1942" t="s">
        <v>1953</v>
      </c>
      <c r="B4" s="1943" t="s">
        <v>1954</v>
      </c>
      <c r="C4" s="1944" t="s">
        <v>3100</v>
      </c>
      <c r="D4" s="1944" t="s">
        <v>3108</v>
      </c>
      <c r="E4" s="3238" t="s">
        <v>1955</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12" t="s">
        <v>1956</v>
      </c>
      <c r="B5" s="3199">
        <v>25</v>
      </c>
      <c r="C5" s="3215"/>
      <c r="D5" s="3235"/>
      <c r="E5" s="136" t="s">
        <v>1957</v>
      </c>
      <c r="F5" s="1945"/>
      <c r="G5" s="1945"/>
      <c r="H5" s="1945"/>
      <c r="I5" s="1559"/>
    </row>
    <row r="6" spans="1:12" ht="12.75">
      <c r="A6" s="3212"/>
      <c r="B6" s="3199"/>
      <c r="C6" s="3216"/>
      <c r="D6" s="3235"/>
      <c r="E6" s="136" t="s">
        <v>1958</v>
      </c>
      <c r="F6" s="1945"/>
      <c r="G6" s="1945"/>
      <c r="H6" s="1945"/>
      <c r="I6" s="1559"/>
    </row>
    <row r="7" spans="1:12" ht="12.75">
      <c r="A7" s="3212"/>
      <c r="B7" s="3199"/>
      <c r="C7" s="3217"/>
      <c r="D7" s="3235"/>
      <c r="E7" s="136" t="s">
        <v>1959</v>
      </c>
      <c r="F7" s="1945"/>
      <c r="G7" s="1945"/>
      <c r="H7" s="1945"/>
      <c r="I7" s="1559"/>
    </row>
    <row r="8" spans="1:12" ht="12.75">
      <c r="A8" s="3212" t="s">
        <v>1960</v>
      </c>
      <c r="B8" s="3199">
        <v>15</v>
      </c>
      <c r="C8" s="3215"/>
      <c r="D8" s="3235"/>
      <c r="E8" s="136" t="s">
        <v>1961</v>
      </c>
      <c r="F8" s="1945"/>
      <c r="G8" s="1945"/>
      <c r="H8" s="1945"/>
      <c r="I8" s="1559"/>
    </row>
    <row r="9" spans="1:12" ht="12.75">
      <c r="A9" s="3212"/>
      <c r="B9" s="3199"/>
      <c r="C9" s="3217"/>
      <c r="D9" s="3235"/>
      <c r="E9" s="136" t="s">
        <v>1962</v>
      </c>
      <c r="F9" s="1945"/>
      <c r="G9" s="1945"/>
      <c r="H9" s="1945"/>
      <c r="I9" s="1559"/>
    </row>
    <row r="10" spans="1:12" ht="12.75">
      <c r="A10" s="3212" t="s">
        <v>1963</v>
      </c>
      <c r="B10" s="3199">
        <v>15</v>
      </c>
      <c r="C10" s="3215"/>
      <c r="D10" s="3235"/>
      <c r="E10" s="136" t="s">
        <v>1964</v>
      </c>
      <c r="F10" s="1945"/>
      <c r="G10" s="1945"/>
      <c r="H10" s="1945"/>
      <c r="I10" s="1559"/>
    </row>
    <row r="11" spans="1:12" ht="12.75">
      <c r="A11" s="3212"/>
      <c r="B11" s="3199"/>
      <c r="C11" s="3217"/>
      <c r="D11" s="3235"/>
      <c r="E11" s="136" t="s">
        <v>1965</v>
      </c>
      <c r="F11" s="1945"/>
      <c r="G11" s="1945"/>
      <c r="H11" s="1945"/>
      <c r="I11" s="1559"/>
    </row>
    <row r="12" spans="1:12" ht="12.75">
      <c r="A12" s="3212" t="s">
        <v>1966</v>
      </c>
      <c r="B12" s="3199">
        <v>15</v>
      </c>
      <c r="C12" s="3215"/>
      <c r="D12" s="3235"/>
      <c r="E12" s="136" t="s">
        <v>1967</v>
      </c>
      <c r="F12" s="1945"/>
      <c r="G12" s="1945"/>
      <c r="H12" s="1945"/>
      <c r="I12" s="1559"/>
    </row>
    <row r="13" spans="1:12" ht="12.75">
      <c r="A13" s="3212"/>
      <c r="B13" s="3199"/>
      <c r="C13" s="3217"/>
      <c r="D13" s="3235"/>
      <c r="E13" s="136" t="s">
        <v>1968</v>
      </c>
      <c r="F13" s="1945"/>
      <c r="G13" s="1945"/>
      <c r="H13" s="1945"/>
      <c r="I13" s="1559"/>
    </row>
    <row r="14" spans="1:12" ht="12.75">
      <c r="A14" s="3212" t="s">
        <v>1969</v>
      </c>
      <c r="B14" s="3199">
        <v>30</v>
      </c>
      <c r="C14" s="3215">
        <v>5</v>
      </c>
      <c r="D14" s="3235">
        <v>5</v>
      </c>
      <c r="E14" s="136" t="s">
        <v>1970</v>
      </c>
      <c r="F14" s="1945"/>
      <c r="G14" s="1945"/>
      <c r="H14" s="1945"/>
      <c r="I14" s="1559"/>
    </row>
    <row r="15" spans="1:12" ht="12.75">
      <c r="A15" s="3212"/>
      <c r="B15" s="3199"/>
      <c r="C15" s="3216"/>
      <c r="D15" s="3235"/>
      <c r="E15" s="136" t="s">
        <v>1971</v>
      </c>
      <c r="F15" s="1945"/>
      <c r="G15" s="1945"/>
      <c r="H15" s="1945"/>
      <c r="I15" s="1559"/>
    </row>
    <row r="16" spans="1:12" ht="12.75">
      <c r="A16" s="3212"/>
      <c r="B16" s="3199"/>
      <c r="C16" s="3217"/>
      <c r="D16" s="3235"/>
      <c r="E16" s="136" t="s">
        <v>1972</v>
      </c>
      <c r="F16" s="1945"/>
      <c r="G16" s="1945"/>
      <c r="H16" s="1945"/>
      <c r="I16" s="1559"/>
    </row>
    <row r="17" spans="1:36" ht="15">
      <c r="A17" s="1946" t="s">
        <v>1973</v>
      </c>
      <c r="B17" s="60"/>
      <c r="C17" s="137">
        <f>SUM(C5:C16)</f>
        <v>5</v>
      </c>
      <c r="D17" s="137">
        <f>SUM(D5:D16)</f>
        <v>5</v>
      </c>
      <c r="E17" s="134"/>
      <c r="F17" s="134"/>
      <c r="G17" s="134"/>
      <c r="H17" s="134"/>
      <c r="I17" s="134"/>
      <c r="K17" s="308"/>
      <c r="L17" s="308" t="s">
        <v>1974</v>
      </c>
      <c r="M17" s="308" t="s">
        <v>1975</v>
      </c>
    </row>
    <row r="18" spans="1:36" ht="31.9" customHeight="1" thickBot="1">
      <c r="A18" s="1947" t="s">
        <v>1976</v>
      </c>
      <c r="B18" s="1948"/>
      <c r="C18" s="138">
        <f>ROUND(C17/SUM(C17:D17),2)</f>
        <v>0.5</v>
      </c>
      <c r="D18" s="138">
        <f>1-C18</f>
        <v>0.5</v>
      </c>
      <c r="E18" s="3222" t="s">
        <v>2873</v>
      </c>
      <c r="F18" s="3223"/>
      <c r="G18" s="3223"/>
      <c r="H18" s="3223"/>
      <c r="I18" s="3223"/>
      <c r="K18" s="308" t="s">
        <v>1977</v>
      </c>
      <c r="L18" s="308">
        <f>IF(C1="",'数据-汇总表'!E3,SUMIF(项目类型,C1,'数据-汇总表'!E17:E26)+SUMIF(项目类型,C1,'数据-汇总表'!I17:I26))</f>
        <v>177117.85000000003</v>
      </c>
      <c r="M18" s="308">
        <f>IF(C1="",'数据-汇总表'!E3,SUMIF(项目类型,C1,'数据-汇总表'!E17:E26))</f>
        <v>177117.85000000003</v>
      </c>
    </row>
    <row r="19" spans="1:36" ht="15">
      <c r="A19" s="1949" t="s">
        <v>1978</v>
      </c>
      <c r="B19" s="1950" t="s">
        <v>1979</v>
      </c>
      <c r="C19" s="139">
        <f ca="1">SUMIF(INDIRECT("'"&amp;C4&amp;"'"&amp;"!A:A"),结果表!B19,INDIRECT("'"&amp;C4&amp;"'"&amp;"!B:B"))</f>
        <v>93837</v>
      </c>
      <c r="D19" s="140">
        <f ca="1">SUMIF(INDIRECT("'"&amp;D4&amp;"'"&amp;"!A:A"),结果表!B19,INDIRECT("'"&amp;D4&amp;"'"&amp;"!B:B"))</f>
        <v>89778</v>
      </c>
      <c r="E19" s="1949" t="s">
        <v>1980</v>
      </c>
      <c r="F19" s="1950" t="s">
        <v>1979</v>
      </c>
      <c r="G19" s="141">
        <f ca="1">ROUND(C19*$C$18+D19*$D$18,0)</f>
        <v>91808</v>
      </c>
      <c r="H19" s="1951" t="s">
        <v>1981</v>
      </c>
      <c r="I19" s="134"/>
      <c r="K19" s="308" t="s">
        <v>1982</v>
      </c>
      <c r="L19" s="308">
        <f>IF(C1="",'数据-汇总表'!D3,SUMIF(项目类型,C1,'数据-汇总表'!D17:D26)+SUMIF(项目类型,C1,'数据-汇总表'!H17:H27))</f>
        <v>101087.14</v>
      </c>
      <c r="M19" s="308">
        <f>IF(C1="",'数据-汇总表'!D3,SUMIF(项目类型,C1,'数据-汇总表'!D17:D26))</f>
        <v>101087.14</v>
      </c>
    </row>
    <row r="20" spans="1:36" ht="15">
      <c r="A20" s="1952"/>
      <c r="B20" s="1157" t="s">
        <v>1983</v>
      </c>
      <c r="C20" s="142">
        <f ca="1">SUMIF(INDIRECT("'"&amp;C4&amp;"'"&amp;"!A:A"),结果表!B20,INDIRECT("'"&amp;C4&amp;"'"&amp;"!B:B"))</f>
        <v>5298</v>
      </c>
      <c r="D20" s="143">
        <f ca="1">SUMIF(INDIRECT("'"&amp;D4&amp;"'"&amp;"!A:A"),结果表!B20,INDIRECT("'"&amp;D4&amp;"'"&amp;"!B:B"))</f>
        <v>5069</v>
      </c>
      <c r="E20" s="1952"/>
      <c r="F20" s="1157" t="s">
        <v>1983</v>
      </c>
      <c r="G20" s="144">
        <f ca="1">ROUND(C20*$C$18+D20*$D$18,0)</f>
        <v>5184</v>
      </c>
      <c r="H20" s="917" t="s">
        <v>1984</v>
      </c>
      <c r="I20" s="134"/>
    </row>
    <row r="21" spans="1:36" ht="15" customHeight="1" thickBot="1">
      <c r="A21" s="937"/>
      <c r="B21" s="1953" t="s">
        <v>1985</v>
      </c>
      <c r="C21" s="728">
        <f ca="1">ROUND(C19*10000/L19,0)</f>
        <v>9283</v>
      </c>
      <c r="D21" s="729">
        <f ca="1">ROUND(D19*10000/L19,0)</f>
        <v>8881</v>
      </c>
      <c r="E21" s="937"/>
      <c r="F21" s="1953" t="s">
        <v>1985</v>
      </c>
      <c r="G21" s="145">
        <f ca="1">ROUND(G19*10000/L19,0)</f>
        <v>9082</v>
      </c>
      <c r="H21" s="1954" t="s">
        <v>1984</v>
      </c>
      <c r="I21" s="134"/>
    </row>
    <row r="22" spans="1:36" ht="15" thickBot="1">
      <c r="A22" s="1876" t="s">
        <v>1986</v>
      </c>
      <c r="B22" s="1955"/>
      <c r="C22" s="1956"/>
      <c r="D22" s="730">
        <f ca="1">IF(C19&lt;D19,D19/C19-1,C19/D19-1)</f>
        <v>4.5211521753659056E-2</v>
      </c>
      <c r="E22" s="134"/>
      <c r="F22" s="134" t="s">
        <v>3238</v>
      </c>
      <c r="G22" s="134"/>
      <c r="H22" s="134"/>
      <c r="I22" s="134"/>
    </row>
    <row r="23" spans="1:36" ht="13.5" thickBot="1">
      <c r="A23" s="1935"/>
      <c r="B23" s="1935"/>
      <c r="C23" s="1935"/>
      <c r="D23" s="1935"/>
      <c r="E23" s="134"/>
      <c r="F23" s="134" t="s">
        <v>3232</v>
      </c>
      <c r="G23" s="134">
        <v>86127</v>
      </c>
      <c r="H23" s="134" t="s">
        <v>3233</v>
      </c>
      <c r="I23" s="134"/>
    </row>
    <row r="24" spans="1:36" ht="14.25">
      <c r="A24" s="3206" t="s">
        <v>1987</v>
      </c>
      <c r="B24" s="1950" t="s">
        <v>1979</v>
      </c>
      <c r="C24" s="141">
        <f>IF(B30=0,0,D30)</f>
        <v>0</v>
      </c>
      <c r="D24" s="1957"/>
      <c r="E24" s="134"/>
      <c r="F24" s="134" t="s">
        <v>3234</v>
      </c>
      <c r="G24" s="134">
        <v>4863</v>
      </c>
      <c r="H24" s="134" t="s">
        <v>3235</v>
      </c>
      <c r="I24" s="134"/>
    </row>
    <row r="25" spans="1:36" ht="14.25">
      <c r="A25" s="3207"/>
      <c r="B25" s="1157" t="s">
        <v>1983</v>
      </c>
      <c r="C25" s="146">
        <f>IF(B30=0,0,C30)</f>
        <v>0</v>
      </c>
      <c r="D25" s="1958"/>
      <c r="E25" s="134"/>
      <c r="F25" s="134" t="s">
        <v>3236</v>
      </c>
      <c r="G25" s="134">
        <v>8520</v>
      </c>
      <c r="H25" s="134" t="s">
        <v>3235</v>
      </c>
      <c r="I25" s="134"/>
    </row>
    <row r="26" spans="1:36" ht="13.5" customHeight="1">
      <c r="A26" s="1959" t="s">
        <v>1988</v>
      </c>
      <c r="B26" s="147" t="s">
        <v>1989</v>
      </c>
      <c r="C26" s="147" t="s">
        <v>1990</v>
      </c>
      <c r="D26" s="148" t="s">
        <v>1991</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1992</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1993</v>
      </c>
      <c r="B32" s="1962"/>
      <c r="C32" s="149">
        <f ca="1">IF(D32="总价",G19-C24,G20-C25)</f>
        <v>91808</v>
      </c>
      <c r="D32" s="1963" t="s">
        <v>3232</v>
      </c>
      <c r="E32" s="134"/>
      <c r="F32" s="134"/>
      <c r="G32" s="134"/>
      <c r="H32" s="134"/>
      <c r="I32" s="134"/>
    </row>
    <row r="33" spans="1:15" ht="15">
      <c r="A33" s="894" t="s">
        <v>1994</v>
      </c>
      <c r="B33" s="1964"/>
      <c r="C33" s="1965" t="s">
        <v>3237</v>
      </c>
      <c r="D33" s="1966" t="s">
        <v>3100</v>
      </c>
      <c r="E33" s="1967" t="s">
        <v>1995</v>
      </c>
      <c r="F33" s="1968" t="str">
        <f>IF(D32="楼面单价","取值（单价）","取值（总价）")</f>
        <v>取值（总价）</v>
      </c>
      <c r="G33" s="134"/>
      <c r="H33" s="134"/>
      <c r="I33" s="134"/>
    </row>
    <row r="34" spans="1:15" ht="15">
      <c r="A34" s="1969"/>
      <c r="B34" s="1970" t="s">
        <v>1996</v>
      </c>
      <c r="C34" s="153">
        <f ca="1">IF(C33="自定义",F34,C32-C35)</f>
        <v>28185</v>
      </c>
      <c r="D34" s="970">
        <f ca="1">IF(C33="自定义",ROUND(C34/C32,3),IF(C33="收益比率",SUMIF(INDIRECT("'"&amp;D33&amp;"'"&amp;"!b:b"),"土地收益比率",INDIRECT("'"&amp;D33&amp;"'"&amp;"!c:c")),SUMIF(INDIRECT("'"&amp;D33&amp;"'"&amp;"!b:b"),"土地成本比率",INDIRECT("'"&amp;D33&amp;"'"&amp;"!c:c"))))</f>
        <v>0.30700000000000005</v>
      </c>
      <c r="E34" s="1971" t="s">
        <v>1997</v>
      </c>
      <c r="F34" s="1500"/>
      <c r="G34" s="134"/>
      <c r="H34" s="134"/>
      <c r="I34" s="134"/>
    </row>
    <row r="35" spans="1:15" ht="15.75" thickBot="1">
      <c r="A35" s="1972"/>
      <c r="B35" s="1973" t="s">
        <v>1998</v>
      </c>
      <c r="C35" s="1332">
        <f ca="1">IF(C33="自定义",F35,ROUND(C32*D35,0))</f>
        <v>63623</v>
      </c>
      <c r="D35" s="1333">
        <f ca="1">IF(C33="自定义",ROUND(C35/C32,3),IF(C33="收益比率",SUMIF(INDIRECT("'"&amp;D33&amp;"'"&amp;"!b:b"),"建筑物收益比率",INDIRECT("'"&amp;D33&amp;"'"&amp;"!c:c")),SUMIF(INDIRECT("'"&amp;D33&amp;"'"&amp;"!b:b"),"建筑物成本比率",INDIRECT("'"&amp;D33&amp;"'"&amp;"!c:c"))))</f>
        <v>0.69299999999999995</v>
      </c>
      <c r="E35" s="1974" t="s">
        <v>1999</v>
      </c>
      <c r="F35" s="159"/>
      <c r="G35" s="134"/>
      <c r="H35" s="134"/>
      <c r="I35" s="134"/>
    </row>
    <row r="36" spans="1:15" ht="15.75" thickBot="1">
      <c r="A36" s="3226" t="s">
        <v>2000</v>
      </c>
      <c r="B36" s="1975" t="s">
        <v>2001</v>
      </c>
      <c r="C36" s="150"/>
      <c r="D36" s="1976"/>
      <c r="E36" s="1977"/>
      <c r="F36" s="1978"/>
      <c r="G36" s="134"/>
      <c r="H36" s="134"/>
      <c r="I36" s="134"/>
    </row>
    <row r="37" spans="1:15" ht="15.75" thickBot="1">
      <c r="A37" s="3227"/>
      <c r="B37" s="1862" t="s">
        <v>2002</v>
      </c>
      <c r="C37" s="152"/>
      <c r="D37" s="1301"/>
      <c r="E37" s="1301"/>
      <c r="F37" s="1978"/>
      <c r="G37" s="134"/>
      <c r="H37" s="134"/>
      <c r="I37" s="134"/>
    </row>
    <row r="38" spans="1:15" ht="15.75" thickBot="1">
      <c r="A38" s="3228"/>
      <c r="B38" s="1979" t="s">
        <v>2003</v>
      </c>
      <c r="C38" s="683"/>
      <c r="D38" s="1980" t="s">
        <v>2004</v>
      </c>
      <c r="E38" s="1301"/>
      <c r="F38" s="1978"/>
      <c r="G38" s="134"/>
      <c r="H38" s="134"/>
      <c r="I38" s="134"/>
    </row>
    <row r="39" spans="1:15" ht="15">
      <c r="A39" s="1952" t="s">
        <v>2005</v>
      </c>
      <c r="B39" s="1981" t="s">
        <v>2006</v>
      </c>
      <c r="C39" s="1982" t="s">
        <v>2007</v>
      </c>
      <c r="D39" s="1982" t="s">
        <v>2008</v>
      </c>
      <c r="E39" s="1983" t="s">
        <v>2009</v>
      </c>
      <c r="F39" s="1978"/>
      <c r="G39" s="134"/>
      <c r="H39" s="134"/>
      <c r="I39" s="134"/>
    </row>
    <row r="40" spans="1:15" ht="14.25">
      <c r="A40" s="1984" t="s">
        <v>2010</v>
      </c>
      <c r="B40" s="154"/>
      <c r="C40" s="155"/>
      <c r="D40" s="155"/>
      <c r="E40" s="156"/>
      <c r="F40" s="1978"/>
      <c r="G40" s="134"/>
      <c r="H40" s="134"/>
      <c r="I40" s="134"/>
    </row>
    <row r="41" spans="1:15" ht="14.25">
      <c r="A41" s="1984" t="s">
        <v>2011</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03" t="s">
        <v>2014</v>
      </c>
      <c r="B45" s="3204"/>
      <c r="C45" s="3205"/>
      <c r="D45" s="160">
        <f ca="1">ROUND(H101*F45,0)</f>
        <v>91808</v>
      </c>
      <c r="E45" s="161" t="s">
        <v>2015</v>
      </c>
      <c r="F45" s="162">
        <v>1</v>
      </c>
      <c r="G45" s="163" t="s">
        <v>2016</v>
      </c>
      <c r="H45" s="134"/>
      <c r="I45" s="134"/>
      <c r="J45" s="3284" t="s">
        <v>2017</v>
      </c>
      <c r="K45" s="3284"/>
      <c r="L45" s="3284"/>
      <c r="M45" s="3284"/>
      <c r="N45" s="3284"/>
      <c r="O45" s="3284"/>
    </row>
    <row r="46" spans="1:15" ht="14.25" customHeight="1">
      <c r="A46" s="3200" t="s">
        <v>2018</v>
      </c>
      <c r="B46" s="3201"/>
      <c r="C46" s="3201"/>
      <c r="D46" s="3201"/>
      <c r="E46" s="3201"/>
      <c r="F46" s="3201"/>
      <c r="G46" s="3202"/>
      <c r="H46" s="1994"/>
      <c r="I46" s="164"/>
      <c r="J46" s="2751">
        <v>1</v>
      </c>
      <c r="K46" s="3265" t="s">
        <v>2019</v>
      </c>
      <c r="L46" s="3265"/>
      <c r="M46" s="3285"/>
      <c r="N46" s="3285"/>
      <c r="O46" s="3285"/>
    </row>
    <row r="47" spans="1:15" ht="12" customHeight="1">
      <c r="A47" s="165" t="s">
        <v>2020</v>
      </c>
      <c r="B47" s="166"/>
      <c r="C47" s="167"/>
      <c r="D47" s="1247" t="s">
        <v>2021</v>
      </c>
      <c r="E47" s="308" t="s">
        <v>2022</v>
      </c>
      <c r="F47" s="168" t="s">
        <v>2023</v>
      </c>
      <c r="G47" s="2774" t="s">
        <v>2024</v>
      </c>
      <c r="H47" s="2775"/>
      <c r="I47" s="164"/>
      <c r="J47" s="2751">
        <v>2</v>
      </c>
      <c r="K47" s="3265" t="s">
        <v>2025</v>
      </c>
      <c r="L47" s="3265"/>
      <c r="M47" s="3286">
        <f>'数据-取费表'!B2</f>
        <v>44074</v>
      </c>
      <c r="N47" s="3286"/>
      <c r="O47" s="3286"/>
    </row>
    <row r="48" spans="1:15" ht="25.5">
      <c r="A48" s="3231" t="s">
        <v>2026</v>
      </c>
      <c r="B48" s="3214"/>
      <c r="C48" s="3214"/>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2027</v>
      </c>
      <c r="H48" s="2778"/>
      <c r="I48" s="1994"/>
      <c r="J48" s="2751">
        <v>3</v>
      </c>
      <c r="K48" s="3265" t="s">
        <v>2028</v>
      </c>
      <c r="L48" s="3265"/>
      <c r="M48" s="3287">
        <f ca="1">H101</f>
        <v>91808</v>
      </c>
      <c r="N48" s="3287"/>
      <c r="O48" s="3287"/>
    </row>
    <row r="49" spans="1:35" ht="25.5" customHeight="1">
      <c r="A49" s="2558" t="s">
        <v>2029</v>
      </c>
      <c r="B49" s="3198" t="s">
        <v>2030</v>
      </c>
      <c r="C49" s="3198"/>
      <c r="D49" s="1777">
        <v>0</v>
      </c>
      <c r="E49" s="330" t="s">
        <v>2031</v>
      </c>
      <c r="F49" s="2652" t="s">
        <v>34</v>
      </c>
      <c r="G49" s="3271"/>
      <c r="H49" s="2530" t="s">
        <v>2876</v>
      </c>
      <c r="I49" s="2531"/>
      <c r="J49" s="2751">
        <v>4</v>
      </c>
      <c r="K49" s="3265" t="str">
        <f>IF(项目基本情况!E8="房地产抵押价值","房地产抵押价值","抵押担保权已注销时的房地产抵押价值")</f>
        <v>房地产抵押价值</v>
      </c>
      <c r="L49" s="3265"/>
      <c r="M49" s="3287">
        <f ca="1">IF(项目基本情况!E8="房地产抵押价值",H107,H109)</f>
        <v>91808</v>
      </c>
      <c r="N49" s="3287"/>
      <c r="O49" s="3287"/>
    </row>
    <row r="50" spans="1:35" ht="25.5" customHeight="1">
      <c r="A50" s="2779"/>
      <c r="B50" s="3198" t="s">
        <v>2032</v>
      </c>
      <c r="C50" s="3198"/>
      <c r="D50" s="2780"/>
      <c r="E50" s="338"/>
      <c r="F50" s="2652"/>
      <c r="G50" s="3272"/>
      <c r="H50" s="2532" t="s">
        <v>2877</v>
      </c>
      <c r="I50" s="2531"/>
      <c r="J50" s="3284" t="s">
        <v>2033</v>
      </c>
      <c r="K50" s="3284"/>
      <c r="L50" s="3284"/>
      <c r="M50" s="3284"/>
      <c r="N50" s="3284"/>
      <c r="O50" s="3284"/>
    </row>
    <row r="51" spans="1:35" ht="20.45" customHeight="1">
      <c r="A51" s="2781"/>
      <c r="B51" s="3198" t="s">
        <v>2034</v>
      </c>
      <c r="C51" s="3198"/>
      <c r="D51" s="1247"/>
      <c r="E51" s="333"/>
      <c r="F51" s="2652"/>
      <c r="G51" s="3273"/>
      <c r="H51" s="2532" t="s">
        <v>2878</v>
      </c>
      <c r="I51" s="2531"/>
      <c r="J51" s="2752" t="s">
        <v>2035</v>
      </c>
      <c r="K51" s="3265" t="s">
        <v>2036</v>
      </c>
      <c r="L51" s="3265"/>
      <c r="M51" s="2752" t="s">
        <v>2037</v>
      </c>
      <c r="N51" s="2752" t="s">
        <v>2038</v>
      </c>
      <c r="O51" s="2752" t="s">
        <v>2039</v>
      </c>
    </row>
    <row r="52" spans="1:35" ht="24" customHeight="1">
      <c r="A52" s="2560" t="s">
        <v>2040</v>
      </c>
      <c r="B52" s="3198" t="s">
        <v>2041</v>
      </c>
      <c r="C52" s="3198"/>
      <c r="D52" s="1247">
        <f ca="1">ROUND(D45*'数据-取费表'!B41/(1+'数据-取费表'!C42),0)</f>
        <v>4809</v>
      </c>
      <c r="E52" s="2559" t="s">
        <v>2042</v>
      </c>
      <c r="F52" s="2782">
        <f>'数据-取费表'!B41</f>
        <v>5.5000000000000007E-2</v>
      </c>
      <c r="G52" s="2783"/>
      <c r="H52" s="2772"/>
      <c r="I52" s="1995"/>
      <c r="J52" s="2751">
        <v>1</v>
      </c>
      <c r="K52" s="3266" t="s">
        <v>2043</v>
      </c>
      <c r="L52" s="3266"/>
      <c r="M52" s="2753" t="b">
        <f>D48</f>
        <v>0</v>
      </c>
      <c r="N52" s="2751" t="str">
        <f>E48</f>
        <v>销售额×税（费）率</v>
      </c>
      <c r="O52" s="2754">
        <f>F48</f>
        <v>5.5000000000000007E-2</v>
      </c>
    </row>
    <row r="53" spans="1:35" ht="12" customHeight="1">
      <c r="A53" s="2560" t="s">
        <v>2044</v>
      </c>
      <c r="B53" s="3224" t="s">
        <v>3035</v>
      </c>
      <c r="C53" s="3225"/>
      <c r="D53" s="1247">
        <f ca="1">ROUND(D45*'数据-取费表'!B41/(1+'数据-取费表'!C42),0)</f>
        <v>4809</v>
      </c>
      <c r="E53" s="2559" t="s">
        <v>2042</v>
      </c>
      <c r="F53" s="2782">
        <f>'数据-取费表'!B41</f>
        <v>5.5000000000000007E-2</v>
      </c>
      <c r="G53" s="2783"/>
      <c r="H53" s="2772"/>
      <c r="I53" s="1995"/>
      <c r="J53" s="2751">
        <v>2</v>
      </c>
      <c r="K53" s="3266" t="s">
        <v>2045</v>
      </c>
      <c r="L53" s="3266"/>
      <c r="M53" s="2753">
        <f t="shared" ref="M53:O54" ca="1" si="0">D55</f>
        <v>46</v>
      </c>
      <c r="N53" s="2751" t="str">
        <f t="shared" si="0"/>
        <v>销售额×税（费）率</v>
      </c>
      <c r="O53" s="2754" t="str">
        <f t="shared" si="0"/>
        <v>免征</v>
      </c>
    </row>
    <row r="54" spans="1:35" ht="12" customHeight="1">
      <c r="A54" s="2560" t="s">
        <v>2046</v>
      </c>
      <c r="B54" s="3224" t="s">
        <v>3036</v>
      </c>
      <c r="C54" s="3225"/>
      <c r="D54" s="1247">
        <f ca="1">C68</f>
        <v>4809</v>
      </c>
      <c r="E54" s="333" t="s">
        <v>2047</v>
      </c>
      <c r="F54" s="2782">
        <f>'数据-取费表'!B41</f>
        <v>5.5000000000000007E-2</v>
      </c>
      <c r="G54" s="2783"/>
      <c r="H54" s="2784"/>
      <c r="I54" s="1995"/>
      <c r="J54" s="2751">
        <v>3</v>
      </c>
      <c r="K54" s="3266" t="s">
        <v>2048</v>
      </c>
      <c r="L54" s="3266"/>
      <c r="M54" s="2753">
        <f t="shared" ca="1" si="0"/>
        <v>52046</v>
      </c>
      <c r="N54" s="2751" t="str">
        <f t="shared" si="0"/>
        <v>增值额×税（费）率</v>
      </c>
      <c r="O54" s="2755" t="str">
        <f t="shared" si="0"/>
        <v>免征</v>
      </c>
    </row>
    <row r="55" spans="1:35" ht="24" customHeight="1">
      <c r="A55" s="3213" t="s">
        <v>2049</v>
      </c>
      <c r="B55" s="3214"/>
      <c r="C55" s="3214"/>
      <c r="D55" s="2549">
        <f ca="1">IF(H55="个人住宅",0,ROUND(D45*I55,0))</f>
        <v>46</v>
      </c>
      <c r="E55" s="2559" t="s">
        <v>2050</v>
      </c>
      <c r="F55" s="2782" t="str">
        <f>IF(H55="正常",I55,"免征")</f>
        <v>免征</v>
      </c>
      <c r="G55" s="2783"/>
      <c r="H55" s="2778"/>
      <c r="I55" s="170">
        <f>'数据-取费表'!B49</f>
        <v>5.0000000000000001E-4</v>
      </c>
      <c r="J55" s="2751">
        <f>IF(H59="非个人房产","",4)</f>
        <v>4</v>
      </c>
      <c r="K55" s="3266" t="str">
        <f>IF(H59="非个人房产","——","个人所得税")</f>
        <v>个人所得税</v>
      </c>
      <c r="L55" s="3266"/>
      <c r="M55" s="2756">
        <f ca="1">D59</f>
        <v>874</v>
      </c>
      <c r="N55" s="2230" t="str">
        <f>E59</f>
        <v>差额计税</v>
      </c>
      <c r="O55" s="2757">
        <f>F59</f>
        <v>0.01</v>
      </c>
    </row>
    <row r="56" spans="1:35" ht="24.75">
      <c r="A56" s="3213" t="s">
        <v>2051</v>
      </c>
      <c r="B56" s="3214"/>
      <c r="C56" s="3214"/>
      <c r="D56" s="2549">
        <f ca="1">IF(H56="个人住宅",D57,D58)</f>
        <v>52046</v>
      </c>
      <c r="E56" s="2559" t="s">
        <v>2052</v>
      </c>
      <c r="F56" s="2782" t="str">
        <f>IF(H56="正常",F58,"免征")</f>
        <v>免征</v>
      </c>
      <c r="G56" s="2785" t="s">
        <v>2053</v>
      </c>
      <c r="H56" s="2786"/>
      <c r="I56" s="1996"/>
      <c r="J56" s="2751" t="str">
        <f>IF(项目基本情况!K6="上海银行",IF(J55="",4,J55+1),"")</f>
        <v/>
      </c>
      <c r="K56" s="3289" t="str">
        <f>IF(项目基本情况!K6="上海银行","其他处置费用","")</f>
        <v/>
      </c>
      <c r="L56" s="3290"/>
      <c r="M56" s="2753" t="str">
        <f>IF(项目基本情况!K6="上海银行",M69,"")</f>
        <v/>
      </c>
      <c r="N56" s="3289" t="str">
        <f>IF(项目基本情况!K6="上海银行","包含处置中涉及的律师、诉讼、拍卖、评估等费用","")</f>
        <v/>
      </c>
      <c r="O56" s="3292"/>
    </row>
    <row r="57" spans="1:35" ht="12.75">
      <c r="A57" s="2560" t="s">
        <v>2029</v>
      </c>
      <c r="B57" s="3224" t="s">
        <v>2054</v>
      </c>
      <c r="C57" s="3225"/>
      <c r="D57" s="1777">
        <v>0</v>
      </c>
      <c r="E57" s="330" t="s">
        <v>2031</v>
      </c>
      <c r="F57" s="308"/>
      <c r="G57" s="2783"/>
      <c r="H57" s="2787"/>
      <c r="I57" s="1996"/>
      <c r="J57" s="3266">
        <f>IF(AND(J55="",J56=""),4,IF(项目基本情况!K6="上海银行",结果表!J56+1,结果表!J55+1))</f>
        <v>5</v>
      </c>
      <c r="K57" s="3266" t="s">
        <v>2055</v>
      </c>
      <c r="L57" s="2758" t="s">
        <v>2056</v>
      </c>
      <c r="M57" s="2759"/>
      <c r="N57" s="2760">
        <f ca="1">SUMIF(M52:M56,"&lt;9e307")</f>
        <v>52966</v>
      </c>
      <c r="O57" s="2761"/>
      <c r="P57" s="2921">
        <f ca="1">N57/M49</f>
        <v>0.57692140118508195</v>
      </c>
    </row>
    <row r="58" spans="1:35" ht="24.75">
      <c r="A58" s="2560" t="s">
        <v>2040</v>
      </c>
      <c r="B58" s="3224" t="s">
        <v>2057</v>
      </c>
      <c r="C58" s="3198"/>
      <c r="D58" s="2549">
        <f ca="1">IF(H58="转让取得",C81,C97)</f>
        <v>52046</v>
      </c>
      <c r="E58" s="2559" t="s">
        <v>2052</v>
      </c>
      <c r="F58" s="308" t="s">
        <v>34</v>
      </c>
      <c r="G58" s="2783"/>
      <c r="H58" s="2786"/>
      <c r="I58" s="1996"/>
      <c r="J58" s="3266"/>
      <c r="K58" s="3266"/>
      <c r="L58" s="2758" t="s">
        <v>2058</v>
      </c>
      <c r="M58" s="2762"/>
      <c r="N58" s="2763" t="str">
        <f ca="1">NUMBERSTRING(INT(N57*10000),2)&amp;"元整"</f>
        <v>伍亿贰仟玖佰陆拾陆万元整</v>
      </c>
      <c r="O58" s="2764"/>
    </row>
    <row r="59" spans="1:35" ht="24.75" thickBot="1">
      <c r="A59" s="3269" t="s">
        <v>2059</v>
      </c>
      <c r="B59" s="3270"/>
      <c r="C59" s="3270"/>
      <c r="D59" s="2788">
        <f ca="1">IF(H59="非个人房产","——",IF(H59="个人住宅（满五唯一有凭证）",0,IF(H59="个人其他（无凭证）",ROUND(D45*F59,0),ROUND(C67*F59,0))))</f>
        <v>874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2053</v>
      </c>
      <c r="H59" s="2534"/>
      <c r="I59" s="2533" t="s">
        <v>2879</v>
      </c>
      <c r="J59" s="3267">
        <f>J57+1</f>
        <v>6</v>
      </c>
      <c r="K59" s="3266" t="s">
        <v>2060</v>
      </c>
      <c r="L59" s="2751" t="s">
        <v>2056</v>
      </c>
      <c r="M59" s="2765"/>
      <c r="N59" s="2766">
        <f ca="1">M49-N57</f>
        <v>38842</v>
      </c>
      <c r="O59" s="2767"/>
    </row>
    <row r="60" spans="1:35" ht="12" customHeight="1">
      <c r="A60" s="1997"/>
      <c r="B60" s="1935"/>
      <c r="C60" s="1935"/>
      <c r="D60" s="1935"/>
      <c r="E60" s="1765"/>
      <c r="F60" s="1996"/>
      <c r="G60" s="1996"/>
      <c r="H60" s="1998"/>
      <c r="I60" s="134"/>
      <c r="J60" s="3268"/>
      <c r="K60" s="3266"/>
      <c r="L60" s="2758" t="s">
        <v>2058</v>
      </c>
      <c r="M60" s="2762"/>
      <c r="N60" s="2763" t="str">
        <f ca="1">NUMBERSTRING(INT(N59*10000),2)&amp;"元整"</f>
        <v>叁亿捌仟捌佰肆拾贰万元整</v>
      </c>
      <c r="O60" s="2764"/>
    </row>
    <row r="61" spans="1:35" ht="13.5" thickBot="1">
      <c r="A61" s="3211" t="s">
        <v>2061</v>
      </c>
      <c r="B61" s="3211"/>
      <c r="C61" s="3211"/>
      <c r="D61" s="3211"/>
      <c r="E61" s="3211"/>
      <c r="F61" s="1996"/>
      <c r="G61" s="1996"/>
      <c r="H61" s="1998"/>
      <c r="I61" s="134"/>
      <c r="J61" s="2751">
        <f>J59+1</f>
        <v>7</v>
      </c>
      <c r="K61" s="3266" t="s">
        <v>2062</v>
      </c>
      <c r="L61" s="3266"/>
      <c r="M61" s="2768"/>
      <c r="N61" s="2769">
        <f ca="1">ROUND(N59*10000/'数据-汇总表'!E3,0)</f>
        <v>2193</v>
      </c>
      <c r="O61" s="2770"/>
    </row>
    <row r="62" spans="1:35" ht="12.75">
      <c r="A62" s="3229" t="s">
        <v>2063</v>
      </c>
      <c r="B62" s="3230"/>
      <c r="C62" s="2211"/>
      <c r="D62" s="2211" t="s">
        <v>2064</v>
      </c>
      <c r="E62" s="171" t="s">
        <v>2065</v>
      </c>
      <c r="F62" s="1996"/>
      <c r="G62" s="1996"/>
      <c r="H62" s="1998"/>
      <c r="I62" s="134"/>
    </row>
    <row r="63" spans="1:35" ht="12.75">
      <c r="A63" s="178" t="s">
        <v>775</v>
      </c>
      <c r="B63" s="172" t="s">
        <v>2066</v>
      </c>
      <c r="C63" s="2792">
        <f ca="1">ROUND((C64+C65)/(1+'数据-取费表'!C42),0)</f>
        <v>87436</v>
      </c>
      <c r="D63" s="172"/>
      <c r="E63" s="173"/>
      <c r="F63" s="1996"/>
      <c r="G63" s="1996"/>
      <c r="H63" s="1998"/>
      <c r="I63" s="134"/>
      <c r="J63" s="3291" t="s">
        <v>2067</v>
      </c>
      <c r="K63" s="1503" t="s">
        <v>2068</v>
      </c>
      <c r="L63" s="1503">
        <f ca="1">IF(M49&gt;10000,M49*0.5%,IF(AND(M49&gt;1000,M49&lt;=10000),M49*1%,IF(AND(M49&gt;100,M49&lt;=1000),M49*3%,IF(AND(M49&gt;10,M49&lt;=100),M49*5%,M49*8%))))</f>
        <v>459.04</v>
      </c>
      <c r="M63" s="308">
        <f ca="1">ROUND(L63,1)</f>
        <v>459</v>
      </c>
      <c r="N63" s="2771"/>
      <c r="Z63" s="1940"/>
      <c r="AI63" s="1941"/>
    </row>
    <row r="64" spans="1:35" ht="14.25" customHeight="1">
      <c r="A64" s="174" t="s">
        <v>770</v>
      </c>
      <c r="B64" s="175" t="s">
        <v>2069</v>
      </c>
      <c r="C64" s="2793">
        <f ca="1">D45</f>
        <v>91808</v>
      </c>
      <c r="D64" s="175" t="s">
        <v>32</v>
      </c>
      <c r="E64" s="177"/>
      <c r="F64" s="1996"/>
      <c r="G64" s="1996"/>
      <c r="H64" s="1998"/>
      <c r="I64" s="134"/>
      <c r="J64" s="3291"/>
      <c r="K64" s="1503" t="s">
        <v>2070</v>
      </c>
      <c r="L64" s="1503">
        <f ca="1">IF(M49&gt;2000,M49*0.5%,IF(AND(M49&gt;1000,M49&lt;=2000),M49*0.6%,IF(AND(M49&gt;500,M49&lt;=1000),M49*0.7%,IF(AND(M49&gt;200,M49&lt;=500),M49*0.8%,IF(AND(M49&gt;100,M49&lt;=200),M49*0.9%,IF(AND(M49&gt;50,M49&lt;=100),M49*1%,IF(AND(M49&gt;20,M49&lt;=50),M49*1.5%,IF(AND(M49&gt;10,M49&lt;=20),M49*2%,IF(AND(M49&gt;1,M49&lt;=10),M49*2.5%)))))))))</f>
        <v>459.04</v>
      </c>
      <c r="M64" s="308">
        <f t="shared" ref="M64:M65" ca="1" si="1">ROUND(L64,1)</f>
        <v>459</v>
      </c>
      <c r="N64" s="2772" t="s">
        <v>2071</v>
      </c>
      <c r="Z64" s="1940"/>
      <c r="AI64" s="1941"/>
    </row>
    <row r="65" spans="1:35" ht="14.25" customHeight="1">
      <c r="A65" s="174" t="s">
        <v>771</v>
      </c>
      <c r="B65" s="175" t="s">
        <v>2072</v>
      </c>
      <c r="C65" s="2794"/>
      <c r="D65" s="175"/>
      <c r="E65" s="177"/>
      <c r="F65" s="1996"/>
      <c r="G65" s="1996"/>
      <c r="H65" s="1998"/>
      <c r="I65" s="134"/>
      <c r="J65" s="3291"/>
      <c r="K65" s="1503" t="s">
        <v>2073</v>
      </c>
      <c r="L65" s="1503">
        <f ca="1">IF(M49&gt;1000,M49*0.1%,IF(AND(M49&gt;500,M49&lt;=1000),M49*0.5%,IF(AND(M49&gt;50,M49&lt;=500),M49*1%,IF(AND(M49&gt;1,M49&lt;=50),M49*1.5%))))</f>
        <v>91.808000000000007</v>
      </c>
      <c r="M65" s="308">
        <f t="shared" ca="1" si="1"/>
        <v>91.8</v>
      </c>
      <c r="N65" s="2772" t="s">
        <v>2071</v>
      </c>
      <c r="Z65" s="1940"/>
      <c r="AI65" s="1941"/>
    </row>
    <row r="66" spans="1:35" ht="14.25" customHeight="1">
      <c r="A66" s="178" t="s">
        <v>772</v>
      </c>
      <c r="B66" s="179" t="s">
        <v>2074</v>
      </c>
      <c r="C66" s="2795"/>
      <c r="D66" s="179" t="s">
        <v>32</v>
      </c>
      <c r="E66" s="1511" t="s">
        <v>1337</v>
      </c>
      <c r="F66" s="1996"/>
      <c r="G66" s="1996"/>
      <c r="H66" s="1998"/>
      <c r="I66" s="134"/>
      <c r="J66" s="3291"/>
      <c r="K66" s="1503" t="s">
        <v>2075</v>
      </c>
      <c r="L66" s="1503">
        <f ca="1">M49*0.5%</f>
        <v>459.04</v>
      </c>
      <c r="M66" s="308">
        <f ca="1">IF(L66&gt;0.5,0.5,ROUND(L66,0))</f>
        <v>0.5</v>
      </c>
      <c r="N66" s="2772" t="s">
        <v>2076</v>
      </c>
      <c r="Z66" s="1940"/>
      <c r="AI66" s="1941"/>
    </row>
    <row r="67" spans="1:35" ht="14.25" customHeight="1">
      <c r="A67" s="178" t="s">
        <v>773</v>
      </c>
      <c r="B67" s="179" t="s">
        <v>2077</v>
      </c>
      <c r="C67" s="2796">
        <f ca="1">C63-C66</f>
        <v>87436</v>
      </c>
      <c r="D67" s="175" t="s">
        <v>32</v>
      </c>
      <c r="E67" s="177"/>
      <c r="F67" s="1996"/>
      <c r="G67" s="1996"/>
      <c r="H67" s="1998"/>
      <c r="I67" s="134"/>
      <c r="J67" s="3291"/>
      <c r="K67" s="1503" t="s">
        <v>2078</v>
      </c>
      <c r="L67" s="1503">
        <f ca="1">IF(M49&gt;=10000,(8.25+(M49-10000)*0.01%),IF(AND(M49&gt;=8000,M49&lt;10000),(7.85+(M49-8000)*0.02%),IF(AND(M49&gt;=5000,M49&lt;8000),(6.65+(M49-5000)*0.04%),IF(AND(M49&gt;=2000,M49&lt;5000),(4.25+(PM49-2000)*0.08%),IF(AND(M49&gt;=1000,M49&lt;2000),(2.75+(M49-1000)*0.15%),IF(AND(M49&gt;=100,M49&lt;1000),(0.5+(M49-100)*0.25%),IF(AND(M49&gt;0,M49&lt;100),M49*0.5%)))))))</f>
        <v>16.430799999999998</v>
      </c>
      <c r="M67" s="308">
        <f ca="1">ROUND(L67*0.9,1)</f>
        <v>14.8</v>
      </c>
      <c r="N67" s="2771"/>
      <c r="Z67" s="1940"/>
      <c r="AI67" s="1941"/>
    </row>
    <row r="68" spans="1:35" ht="14.25" customHeight="1" thickBot="1">
      <c r="A68" s="181" t="s">
        <v>774</v>
      </c>
      <c r="B68" s="182" t="s">
        <v>2079</v>
      </c>
      <c r="C68" s="2797">
        <f ca="1">IF(C67&lt;=0,0,ROUND(C67*D68,0))</f>
        <v>4809</v>
      </c>
      <c r="D68" s="2798">
        <f>'数据-取费表'!B41</f>
        <v>5.5000000000000007E-2</v>
      </c>
      <c r="E68" s="184"/>
      <c r="F68" s="1996"/>
      <c r="G68" s="1996"/>
      <c r="H68" s="1998"/>
      <c r="I68" s="134"/>
      <c r="J68" s="3291"/>
      <c r="K68" s="1503" t="s">
        <v>2080</v>
      </c>
      <c r="L68" s="1503">
        <f ca="1">IF(M49&gt;10000,M49*0.5%,IF(AND(M49&gt;5000,M49&lt;=10000),M49*1%,IF(AND(M49&gt;1000,M49&lt;=5000),M49*2%,IF(AND(M49&gt;200,M49&lt;=1000),M49*3%,M49*5%))))</f>
        <v>459.04</v>
      </c>
      <c r="M68" s="308">
        <f ca="1">ROUND(L68,1)</f>
        <v>459</v>
      </c>
      <c r="N68" s="2771"/>
      <c r="Z68" s="1940"/>
      <c r="AI68" s="1941"/>
    </row>
    <row r="69" spans="1:35" s="1960" customFormat="1" ht="16.5" customHeight="1">
      <c r="A69" s="1999"/>
      <c r="B69" s="2000"/>
      <c r="C69" s="2001"/>
      <c r="D69" s="2002"/>
      <c r="E69" s="2003"/>
      <c r="F69" s="1765"/>
      <c r="G69" s="1765"/>
      <c r="H69" s="1764"/>
      <c r="I69" s="1935"/>
      <c r="J69" s="3291"/>
      <c r="K69" s="1503" t="s">
        <v>2081</v>
      </c>
      <c r="L69" s="1503"/>
      <c r="M69" s="308">
        <f ca="1">ROUND(SUM(M63:M68),0)</f>
        <v>1484</v>
      </c>
      <c r="N69" s="2773">
        <f ca="1">M69/M49</f>
        <v>1.6164168699895433E-2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50" t="s">
        <v>2082</v>
      </c>
      <c r="B70" s="3251"/>
      <c r="C70" s="3251"/>
      <c r="D70" s="3251"/>
      <c r="E70" s="3251"/>
      <c r="F70" s="3251"/>
      <c r="G70" s="3251"/>
      <c r="H70" s="3251"/>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9" t="s">
        <v>2063</v>
      </c>
      <c r="B71" s="3230"/>
      <c r="C71" s="2211"/>
      <c r="D71" s="2211" t="s">
        <v>2064</v>
      </c>
      <c r="E71" s="185" t="s">
        <v>2065</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2083</v>
      </c>
      <c r="C72" s="2796">
        <f ca="1">ROUND(D45/(1+'数据-取费表'!C42),0)</f>
        <v>87436</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2084</v>
      </c>
      <c r="C73" s="2796">
        <f ca="1">C74+C78</f>
        <v>437</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2085</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2086</v>
      </c>
      <c r="C75" s="2799"/>
      <c r="D75" s="175" t="s">
        <v>32</v>
      </c>
      <c r="E75" s="190" t="s">
        <v>2087</v>
      </c>
      <c r="F75" s="2800"/>
      <c r="G75" s="190" t="s">
        <v>2088</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2089</v>
      </c>
      <c r="C76" s="175">
        <f>IF(F75="购房发票",ROUND(C75*H75*D76,0),0)</f>
        <v>0</v>
      </c>
      <c r="D76" s="2802">
        <v>0.05</v>
      </c>
      <c r="E76" s="3224" t="s">
        <v>2090</v>
      </c>
      <c r="F76" s="3198"/>
      <c r="G76" s="3198"/>
      <c r="H76" s="3249"/>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2091</v>
      </c>
      <c r="C77" s="175">
        <f>ROUND(IF(G77="个人住宅",0,IF(G77="2016年5月1日前购买",C75*D77,C75*D77/(1+'数据-取费表'!C42))),0)</f>
        <v>0</v>
      </c>
      <c r="D77" s="2803">
        <f>'数据-取费表'!B48+'数据-取费表'!B49</f>
        <v>3.0499999999999999E-2</v>
      </c>
      <c r="E77" s="2549" t="s">
        <v>2092</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2093</v>
      </c>
      <c r="C78" s="2804">
        <f ca="1">ROUND(D45*D78/(1+'数据-取费表'!C42),0)</f>
        <v>437</v>
      </c>
      <c r="D78" s="2805">
        <f>'数据-取费表'!B43</f>
        <v>5.000000000000001E-3</v>
      </c>
      <c r="E78" s="3208" t="s">
        <v>2094</v>
      </c>
      <c r="F78" s="3209"/>
      <c r="G78" s="3209"/>
      <c r="H78" s="321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2095</v>
      </c>
      <c r="C79" s="2796">
        <f ca="1">C72-C73</f>
        <v>86999</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2096</v>
      </c>
      <c r="C80" s="2806">
        <f ca="1">IF(C79&lt;=0,0,C79/C73)</f>
        <v>199.08237986270024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2097</v>
      </c>
      <c r="C81" s="2807">
        <f ca="1">ROUND(IF(C79&lt;=0,0,IF(C80&gt;=200%,C79*60%-C73*35%,IF(C80&gt;=100%,C79*50%-C73*15%,IF(C80&gt;=50%,C79*40%-C73*5%,IF(C80&lt;50%,C79*30%,0))))),0)</f>
        <v>52046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50" t="s">
        <v>2098</v>
      </c>
      <c r="B83" s="3251"/>
      <c r="C83" s="3251"/>
      <c r="D83" s="3251"/>
      <c r="E83" s="3251"/>
      <c r="F83" s="3251"/>
      <c r="G83" s="3251"/>
      <c r="H83" s="3251"/>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9" t="s">
        <v>2063</v>
      </c>
      <c r="B84" s="3230"/>
      <c r="C84" s="2211"/>
      <c r="D84" s="2211" t="s">
        <v>2064</v>
      </c>
      <c r="E84" s="185" t="s">
        <v>2065</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2083</v>
      </c>
      <c r="C85" s="2796">
        <f ca="1">ROUND(D45/(1+'数据-取费表'!C42),0)</f>
        <v>87436</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2084</v>
      </c>
      <c r="C86" s="2796">
        <f ca="1">IF(H88="仅含出让金",C87+C90+C91+C92+C93+C94,C87+C91+C92+C93+C94)</f>
        <v>437</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2099</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2100</v>
      </c>
      <c r="C88" s="2810"/>
      <c r="D88" s="2805"/>
      <c r="E88" s="199" t="s">
        <v>2101</v>
      </c>
      <c r="F88" s="2552"/>
      <c r="G88" s="200" t="s">
        <v>2102</v>
      </c>
      <c r="H88" s="2012"/>
      <c r="I88" s="2009"/>
      <c r="J88" s="2749" t="s">
        <v>3032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2091</v>
      </c>
      <c r="C89" s="2804">
        <f>ROUND(C88*D89,0)</f>
        <v>0</v>
      </c>
      <c r="D89" s="2805">
        <f>'数据-取费表'!B48+'数据-取费表'!B49</f>
        <v>3.0499999999999999E-2</v>
      </c>
      <c r="E89" s="199" t="s">
        <v>2103</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2104</v>
      </c>
      <c r="C90" s="2810"/>
      <c r="D90" s="2805"/>
      <c r="E90" s="199" t="str">
        <f>IF(H88="-","土地取得成本中已包含该笔费用"," ")</f>
        <v xml:space="preserve"> </v>
      </c>
      <c r="F90" s="2552"/>
      <c r="G90" s="3293" t="s">
        <v>2870</v>
      </c>
      <c r="H90" s="3294"/>
      <c r="I90" s="2009"/>
      <c r="J90" s="2749" t="s">
        <v>3033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2105</v>
      </c>
      <c r="B91" s="175" t="s">
        <v>2106</v>
      </c>
      <c r="C91" s="2804">
        <f>IF(H91="——",成本法!C33,I91)</f>
        <v>0</v>
      </c>
      <c r="D91" s="2805"/>
      <c r="E91" s="3208" t="s">
        <v>2107</v>
      </c>
      <c r="F91" s="3209"/>
      <c r="G91" s="3209"/>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2108</v>
      </c>
      <c r="B92" s="175" t="s">
        <v>2109</v>
      </c>
      <c r="C92" s="2804">
        <f>ROUND((C87+C90+C91)*D92,0)</f>
        <v>0</v>
      </c>
      <c r="D92" s="2811"/>
      <c r="E92" s="3208" t="s">
        <v>2110</v>
      </c>
      <c r="F92" s="3209"/>
      <c r="G92" s="3209"/>
      <c r="H92" s="3218"/>
      <c r="I92" s="2009"/>
      <c r="J92" s="2750" t="s">
        <v>3034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2111</v>
      </c>
      <c r="B93" s="175" t="s">
        <v>2093</v>
      </c>
      <c r="C93" s="2804">
        <f ca="1">ROUND(D45*D93/(1+'数据-取费表'!C42),0)</f>
        <v>437</v>
      </c>
      <c r="D93" s="2805">
        <f>'数据-取费表'!B43</f>
        <v>5.000000000000001E-3</v>
      </c>
      <c r="E93" s="3208" t="s">
        <v>2094</v>
      </c>
      <c r="F93" s="3209"/>
      <c r="G93" s="3209"/>
      <c r="H93" s="321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2112</v>
      </c>
      <c r="B94" s="175" t="s">
        <v>2113</v>
      </c>
      <c r="C94" s="2810">
        <f>ROUND((C87+C90+C91)*D94,0)</f>
        <v>0</v>
      </c>
      <c r="D94" s="2805">
        <v>0.2</v>
      </c>
      <c r="E94" s="3219" t="s">
        <v>2114</v>
      </c>
      <c r="F94" s="3220"/>
      <c r="G94" s="3220"/>
      <c r="H94" s="322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2095</v>
      </c>
      <c r="C95" s="2796">
        <f ca="1">ROUND(C85-C86,0)</f>
        <v>86999</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2096</v>
      </c>
      <c r="C96" s="2806">
        <f ca="1">IF(C95&lt;=0,0,C95/C86)</f>
        <v>199.08237986270024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2097</v>
      </c>
      <c r="C97" s="2807">
        <f ca="1">ROUND(IF(C95&lt;=0,0,IF(C96&gt;=200%,C95*60%-C86*35%,IF(C96&gt;=100%,C95*50%-C86*15%,IF(C96&gt;=50%,C95*40%-C86*5%,IF(C96&lt;50%,C95*30%,0))))),0)</f>
        <v>52046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2115</v>
      </c>
      <c r="B99" s="1935"/>
      <c r="C99" s="1935"/>
      <c r="D99" s="1935"/>
      <c r="E99" s="1765"/>
      <c r="F99" s="1765"/>
      <c r="G99" s="1765"/>
      <c r="H99" s="1764"/>
      <c r="I99" s="134"/>
    </row>
    <row r="100" spans="1:35" ht="18.75" customHeight="1">
      <c r="A100" s="3192" t="s">
        <v>2116</v>
      </c>
      <c r="B100" s="3193"/>
      <c r="C100" s="3193"/>
      <c r="D100" s="3210"/>
      <c r="E100" s="3193" t="s">
        <v>2117</v>
      </c>
      <c r="F100" s="3193"/>
      <c r="G100" s="3193"/>
      <c r="H100" s="3210"/>
      <c r="I100" s="134"/>
    </row>
    <row r="101" spans="1:35" ht="18.75" customHeight="1">
      <c r="A101" s="3274" t="s">
        <v>2118</v>
      </c>
      <c r="B101" s="3275"/>
      <c r="C101" s="2813" t="str">
        <f>C4</f>
        <v>成本法</v>
      </c>
      <c r="D101" s="2814" t="str">
        <f>D4</f>
        <v>假设开发法</v>
      </c>
      <c r="E101" s="3288" t="s">
        <v>2119</v>
      </c>
      <c r="F101" s="3242"/>
      <c r="G101" s="2015" t="s">
        <v>2120</v>
      </c>
      <c r="H101" s="2823">
        <f ca="1">H118</f>
        <v>91808</v>
      </c>
      <c r="I101" s="134"/>
    </row>
    <row r="102" spans="1:35" ht="18.75" customHeight="1">
      <c r="A102" s="3244" t="s">
        <v>2121</v>
      </c>
      <c r="B102" s="2812" t="s">
        <v>2120</v>
      </c>
      <c r="C102" s="2813">
        <f ca="1">C19</f>
        <v>93837</v>
      </c>
      <c r="D102" s="2814">
        <f ca="1">D19</f>
        <v>89778</v>
      </c>
      <c r="E102" s="3288"/>
      <c r="F102" s="3242"/>
      <c r="G102" s="2015" t="s">
        <v>2122</v>
      </c>
      <c r="H102" s="2783">
        <f ca="1">I118</f>
        <v>5183</v>
      </c>
      <c r="I102" s="134"/>
    </row>
    <row r="103" spans="1:35" ht="42.75" customHeight="1">
      <c r="A103" s="3244"/>
      <c r="B103" s="2812" t="s">
        <v>2122</v>
      </c>
      <c r="C103" s="2815">
        <f ca="1">C20</f>
        <v>5298</v>
      </c>
      <c r="D103" s="2816">
        <f ca="1">D20</f>
        <v>5069</v>
      </c>
      <c r="E103" s="3282" t="s">
        <v>2123</v>
      </c>
      <c r="F103" s="3283"/>
      <c r="G103" s="2016" t="s">
        <v>2124</v>
      </c>
      <c r="H103" s="2823">
        <f>IF(D36="正常操作",H104+H105+H106,H105+H106)</f>
        <v>0</v>
      </c>
      <c r="I103" s="134"/>
    </row>
    <row r="104" spans="1:35" ht="18.75" customHeight="1">
      <c r="A104" s="3244" t="s">
        <v>2125</v>
      </c>
      <c r="B104" s="2817" t="s">
        <v>2120</v>
      </c>
      <c r="C104" s="2818">
        <f ca="1">H118</f>
        <v>91808</v>
      </c>
      <c r="D104" s="2819"/>
      <c r="E104" s="1862" t="s">
        <v>2126</v>
      </c>
      <c r="F104" s="1853"/>
      <c r="G104" s="2016" t="s">
        <v>2124</v>
      </c>
      <c r="H104" s="2824">
        <f>IF(D36="同一抵押权人同一抵押物续贷",C36&amp;"（续贷，未扣减，详见特别提示）",C36)</f>
        <v>0</v>
      </c>
      <c r="I104" s="134"/>
    </row>
    <row r="105" spans="1:35" ht="18.75" customHeight="1" thickBot="1">
      <c r="A105" s="3245"/>
      <c r="B105" s="2820" t="s">
        <v>2122</v>
      </c>
      <c r="C105" s="2821">
        <f ca="1">I118</f>
        <v>5183</v>
      </c>
      <c r="D105" s="2822"/>
      <c r="E105" s="1862" t="s">
        <v>2127</v>
      </c>
      <c r="F105" s="1853"/>
      <c r="G105" s="2016" t="s">
        <v>2124</v>
      </c>
      <c r="H105" s="2825">
        <f>C37</f>
        <v>0</v>
      </c>
      <c r="I105" s="134"/>
    </row>
    <row r="106" spans="1:35" ht="18.75" customHeight="1">
      <c r="A106" s="1935" t="s">
        <v>2128</v>
      </c>
      <c r="B106" s="1935"/>
      <c r="C106" s="1935"/>
      <c r="D106" s="1935"/>
      <c r="E106" s="2017" t="s">
        <v>2129</v>
      </c>
      <c r="F106" s="1853"/>
      <c r="G106" s="2016" t="s">
        <v>2124</v>
      </c>
      <c r="H106" s="2825">
        <f>C38</f>
        <v>0</v>
      </c>
      <c r="I106" s="134"/>
    </row>
    <row r="107" spans="1:35" ht="18.75" customHeight="1">
      <c r="A107" s="134"/>
      <c r="B107" s="134"/>
      <c r="C107" s="134"/>
      <c r="D107" s="134"/>
      <c r="E107" s="3241" t="str">
        <f>IF(项目基本情况!E8="已注销","——","3.房地产抵押价值")</f>
        <v>3.房地产抵押价值</v>
      </c>
      <c r="F107" s="3242"/>
      <c r="G107" s="2015" t="s">
        <v>2120</v>
      </c>
      <c r="H107" s="2823">
        <f ca="1">IF(E107="——","——",H101-H103)</f>
        <v>91808</v>
      </c>
      <c r="I107" s="134"/>
    </row>
    <row r="108" spans="1:35" ht="18.75" customHeight="1">
      <c r="A108" s="134"/>
      <c r="B108" s="134"/>
      <c r="C108" s="134"/>
      <c r="D108" s="134"/>
      <c r="E108" s="3241"/>
      <c r="F108" s="3242"/>
      <c r="G108" s="2015" t="s">
        <v>2122</v>
      </c>
      <c r="H108" s="2783">
        <f ca="1">ROUND(H107*10000/'数据-汇总表'!E3,0)</f>
        <v>5183</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42"/>
      <c r="G109" s="2015" t="s">
        <v>2120</v>
      </c>
      <c r="H109" s="2826" t="str">
        <f>IF(E109="——","——",H101-H105-H106)</f>
        <v>——</v>
      </c>
      <c r="I109" s="134"/>
    </row>
    <row r="110" spans="1:35" ht="18.75" customHeight="1">
      <c r="A110" s="134"/>
      <c r="B110" s="134"/>
      <c r="C110" s="134"/>
      <c r="D110" s="134"/>
      <c r="E110" s="3241"/>
      <c r="F110" s="3242"/>
      <c r="G110" s="2015" t="s">
        <v>2122</v>
      </c>
      <c r="H110" s="2783" t="str">
        <f>IF(H109="——","——",ROUND(H109*10000/'数据-汇总表'!E3,0))</f>
        <v>——</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43"/>
      <c r="G111" s="2015" t="s">
        <v>2120</v>
      </c>
      <c r="H111" s="2823" t="str">
        <f>IF(E111="——","——",N59)</f>
        <v>——</v>
      </c>
      <c r="I111" s="134"/>
    </row>
    <row r="112" spans="1:35" ht="18.75" customHeight="1" thickBot="1">
      <c r="A112" s="134"/>
      <c r="B112" s="134"/>
      <c r="C112" s="134"/>
      <c r="D112" s="134"/>
      <c r="E112" s="3277"/>
      <c r="F112" s="3278"/>
      <c r="G112" s="2018" t="s">
        <v>2122</v>
      </c>
      <c r="H112" s="2827" t="str">
        <f>IF(E111="——","——",N61)</f>
        <v>——</v>
      </c>
      <c r="I112" s="134"/>
    </row>
    <row r="113" spans="1:27" ht="18.75" customHeight="1">
      <c r="A113" s="134"/>
      <c r="B113" s="134"/>
      <c r="C113" s="134"/>
      <c r="D113" s="134"/>
      <c r="E113" s="3246" t="s">
        <v>2128</v>
      </c>
      <c r="F113" s="3246"/>
      <c r="G113" s="3246"/>
      <c r="H113" s="3246"/>
      <c r="I113" s="134"/>
    </row>
    <row r="114" spans="1:27" ht="3.75" customHeight="1">
      <c r="A114" s="1935"/>
      <c r="B114" s="1935"/>
      <c r="C114" s="1935"/>
      <c r="D114" s="1935"/>
      <c r="E114" s="1997"/>
      <c r="F114" s="1997"/>
      <c r="G114" s="1997"/>
      <c r="H114" s="1997"/>
      <c r="I114" s="1935"/>
    </row>
    <row r="115" spans="1:27" ht="18.75" customHeight="1">
      <c r="A115" s="3259" t="s">
        <v>2130</v>
      </c>
      <c r="B115" s="3260"/>
      <c r="C115" s="3260"/>
      <c r="D115" s="3260"/>
      <c r="E115" s="3260"/>
      <c r="F115" s="3260"/>
      <c r="G115" s="3260"/>
      <c r="H115" s="3260"/>
      <c r="I115" s="3261"/>
    </row>
    <row r="116" spans="1:27" ht="27" customHeight="1">
      <c r="A116" s="3212" t="s">
        <v>2131</v>
      </c>
      <c r="B116" s="3247" t="s">
        <v>2132</v>
      </c>
      <c r="C116" s="3247" t="s">
        <v>2133</v>
      </c>
      <c r="D116" s="3263" t="s">
        <v>2134</v>
      </c>
      <c r="E116" s="3264"/>
      <c r="F116" s="3255" t="s">
        <v>2135</v>
      </c>
      <c r="G116" s="3255"/>
      <c r="H116" s="3212" t="s">
        <v>2136</v>
      </c>
      <c r="I116" s="3212"/>
    </row>
    <row r="117" spans="1:27" ht="18.75" customHeight="1">
      <c r="A117" s="3212"/>
      <c r="B117" s="3248"/>
      <c r="C117" s="3248"/>
      <c r="D117" s="2554" t="s">
        <v>2137</v>
      </c>
      <c r="E117" s="2554" t="s">
        <v>2138</v>
      </c>
      <c r="F117" s="2554" t="s">
        <v>2137</v>
      </c>
      <c r="G117" s="2554" t="s">
        <v>2139</v>
      </c>
      <c r="H117" s="2554" t="s">
        <v>2137</v>
      </c>
      <c r="I117" s="2554" t="s">
        <v>2139</v>
      </c>
    </row>
    <row r="118" spans="1:27" ht="24.75" customHeight="1">
      <c r="A118" s="2828" t="str">
        <f>项目基本情况!S2</f>
        <v>北京市房地产</v>
      </c>
      <c r="B118" s="2554">
        <f>M18</f>
        <v>177117.85000000003</v>
      </c>
      <c r="C118" s="2554">
        <f>M19</f>
        <v>101087.14</v>
      </c>
      <c r="D118" s="2554">
        <f ca="1">ROUND(IF(D32="总价",C34,E118*B118/10000),0)</f>
        <v>28185</v>
      </c>
      <c r="E118" s="2554">
        <f ca="1">ROUND(IF(C33="自定义",IF(D32="楼面单价",C34,D118*10000/B118),I118-G118),0)</f>
        <v>1591</v>
      </c>
      <c r="F118" s="2554">
        <f ca="1">ROUND(IF(D32="总价",C35,G118*B118/10000),0)</f>
        <v>63623</v>
      </c>
      <c r="G118" s="2554">
        <f ca="1">ROUND(IF(D32="楼面单价",C35,F118*10000/B118),0)</f>
        <v>3592</v>
      </c>
      <c r="H118" s="2554">
        <f ca="1">ROUND(IF(D32="总价",C32,I118*B118/10000),0)</f>
        <v>91808</v>
      </c>
      <c r="I118" s="2554">
        <f ca="1">ROUND(IF(D32="楼面单价",C32,H118*10000/B118),0)</f>
        <v>5183</v>
      </c>
    </row>
    <row r="119" spans="1:27" ht="18.75" customHeight="1">
      <c r="A119" s="3212" t="s">
        <v>2140</v>
      </c>
      <c r="B119" s="3212"/>
      <c r="C119" s="3212"/>
      <c r="D119" s="3252" t="str">
        <f ca="1">NUMBERSTRING(INT(D118*10000),2)&amp;"元整"</f>
        <v>贰亿捌仟壹佰捌拾伍万元整</v>
      </c>
      <c r="E119" s="3254"/>
      <c r="F119" s="3252" t="str">
        <f ca="1">NUMBERSTRING(INT(F118*10000),2)&amp;"元整"</f>
        <v>陆亿叁仟陆佰贰拾叁万元整</v>
      </c>
      <c r="G119" s="3254"/>
      <c r="H119" s="3252" t="str">
        <f ca="1">NUMBERSTRING(INT(H118*10000),2)&amp;"元整"</f>
        <v>玖亿壹仟捌佰零捌万元整</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6" t="s">
        <v>2140</v>
      </c>
      <c r="B121" s="3257"/>
      <c r="C121" s="3258"/>
      <c r="D121" s="3252" t="str">
        <f>IF(D120=0,"零元整",NUMBERSTRING(INT(D120*10000),2)&amp;"元整")</f>
        <v>零元整</v>
      </c>
      <c r="E121" s="3253"/>
      <c r="F121" s="3253"/>
      <c r="G121" s="3253"/>
      <c r="H121" s="3253"/>
      <c r="I121" s="3254"/>
      <c r="AA121" s="734"/>
    </row>
    <row r="122" spans="1:27" ht="18.75" customHeight="1">
      <c r="A122" s="3243" t="str">
        <f>IF(项目基本情况!B9="房地产市场价值","",MID(E107,3,LEN(E107)-2))</f>
        <v>房地产抵押价值</v>
      </c>
      <c r="B122" s="3243"/>
      <c r="C122" s="3243"/>
      <c r="D122" s="3279">
        <f ca="1">H107</f>
        <v>91808</v>
      </c>
      <c r="E122" s="3280"/>
      <c r="F122" s="3280"/>
      <c r="G122" s="3280"/>
      <c r="H122" s="3280"/>
      <c r="I122" s="3281"/>
      <c r="AA122" s="734"/>
    </row>
    <row r="123" spans="1:27" ht="18.75" customHeight="1">
      <c r="A123" s="3212" t="s">
        <v>2140</v>
      </c>
      <c r="B123" s="3212"/>
      <c r="C123" s="3212"/>
      <c r="D123" s="3252" t="str">
        <f ca="1">NUMBERSTRING(INT(D122*10000),2)&amp;"元整"</f>
        <v>玖亿壹仟捌佰零捌万元整</v>
      </c>
      <c r="E123" s="3253"/>
      <c r="F123" s="3253"/>
      <c r="G123" s="3253"/>
      <c r="H123" s="3253"/>
      <c r="I123" s="3254"/>
      <c r="AA123" s="734"/>
    </row>
    <row r="124" spans="1:27" ht="18.75" customHeight="1">
      <c r="A124" s="3243" t="str">
        <f>IF(项目基本情况!B9="房地产市场价值","",MID(E109,3,LEN(E109)-2))</f>
        <v/>
      </c>
      <c r="B124" s="3243"/>
      <c r="C124" s="3243"/>
      <c r="D124" s="3279" t="str">
        <f>H109</f>
        <v>——</v>
      </c>
      <c r="E124" s="3280"/>
      <c r="F124" s="3280"/>
      <c r="G124" s="3280"/>
      <c r="H124" s="3280"/>
      <c r="I124" s="3281"/>
      <c r="AA124" s="734"/>
    </row>
    <row r="125" spans="1:27" ht="18.75" customHeight="1">
      <c r="A125" s="3212" t="s">
        <v>2140</v>
      </c>
      <c r="B125" s="3212"/>
      <c r="C125" s="3212"/>
      <c r="D125" s="3252" t="e">
        <f>NUMBERSTRING(INT(D124*10000),2)&amp;"元整"</f>
        <v>#VALUE!</v>
      </c>
      <c r="E125" s="3253"/>
      <c r="F125" s="3253"/>
      <c r="G125" s="3253"/>
      <c r="H125" s="3253"/>
      <c r="I125" s="3254"/>
      <c r="AA125" s="734"/>
    </row>
    <row r="126" spans="1:27" ht="18.75" customHeight="1">
      <c r="A126" s="3243" t="str">
        <f>IF(项目基本情况!B9="房地产市场价值","",MID(E111,3,LEN(E111)-2))</f>
        <v/>
      </c>
      <c r="B126" s="3243"/>
      <c r="C126" s="3243"/>
      <c r="D126" s="3279" t="str">
        <f>H111</f>
        <v>——</v>
      </c>
      <c r="E126" s="3280"/>
      <c r="F126" s="3280"/>
      <c r="G126" s="3280"/>
      <c r="H126" s="3280"/>
      <c r="I126" s="3281"/>
      <c r="AA126" s="734"/>
    </row>
    <row r="127" spans="1:27" ht="18.75" customHeight="1">
      <c r="A127" s="3212" t="s">
        <v>2140</v>
      </c>
      <c r="B127" s="3212"/>
      <c r="C127" s="3212"/>
      <c r="D127" s="3252" t="e">
        <f>NUMBERSTRING(INT(D126*10000),2)&amp;"元整"</f>
        <v>#VALUE!</v>
      </c>
      <c r="E127" s="3253"/>
      <c r="F127" s="3253"/>
      <c r="G127" s="3253"/>
      <c r="H127" s="3253"/>
      <c r="I127" s="3254"/>
      <c r="AA127" s="734"/>
    </row>
    <row r="128" spans="1:27" ht="21.75" customHeight="1">
      <c r="A128" s="3262" t="s">
        <v>2141</v>
      </c>
      <c r="B128" s="3262"/>
      <c r="C128" s="3262"/>
      <c r="D128" s="3262"/>
      <c r="E128" s="3262"/>
      <c r="F128" s="3262"/>
      <c r="G128" s="3262"/>
      <c r="H128" s="3262"/>
      <c r="I128" s="3262"/>
      <c r="AA128" s="734"/>
    </row>
    <row r="129" spans="1:35" ht="21.75" customHeight="1">
      <c r="A129" s="2019" t="s">
        <v>2142</v>
      </c>
      <c r="B129" s="2020"/>
      <c r="C129" s="2021" t="s">
        <v>2143</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2144</v>
      </c>
      <c r="G135" s="2036"/>
      <c r="H135" s="2036"/>
      <c r="I135" s="2037" t="s">
        <v>2145</v>
      </c>
    </row>
    <row r="136" spans="1:35" ht="21.75" customHeight="1">
      <c r="A136" s="734"/>
      <c r="B136" s="2038"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2147</v>
      </c>
    </row>
    <row r="139" spans="1:35" ht="21.75" customHeight="1">
      <c r="A139" s="734"/>
      <c r="B139" s="2038" t="s">
        <v>2148</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2147</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6"/>
      <c r="C1" s="204"/>
      <c r="D1" s="204"/>
      <c r="E1" s="204"/>
      <c r="F1" s="204"/>
      <c r="G1" s="1288">
        <f>MATCH(B1,'数据-取费表'!A6:A16,0)+5</f>
        <v>7</v>
      </c>
    </row>
    <row r="2" spans="1:9" s="206" customFormat="1" ht="18" customHeight="1">
      <c r="A2" s="207" t="s">
        <v>2150</v>
      </c>
      <c r="B2" s="208">
        <f ca="1">IF(D2="——",C52,C52-E2)</f>
        <v>93837</v>
      </c>
      <c r="C2" s="205" t="s">
        <v>2151</v>
      </c>
      <c r="D2" s="2041" t="s">
        <v>70</v>
      </c>
      <c r="E2" s="1331" t="e">
        <f ca="1">SUMIF(INDIRECT("'"&amp;G2&amp;"'"&amp;"!A:A"),"承租人权益价值",INDIRECT("'"&amp;G2&amp;"'"&amp;"!c:c"))</f>
        <v>#REF!</v>
      </c>
      <c r="F2" s="2042" t="s">
        <v>2151</v>
      </c>
      <c r="G2" s="2043"/>
    </row>
    <row r="3" spans="1:9" s="206" customFormat="1" ht="18" customHeight="1" thickBot="1">
      <c r="A3" s="209" t="s">
        <v>2152</v>
      </c>
      <c r="B3" s="210">
        <f ca="1">ROUND(B2*10000/(IF(B1="",'数据-汇总表'!E3,INDIRECT("'数据-取费表'!k"&amp;$G$1))),0)</f>
        <v>5298</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C6+C7+C8</f>
        <v>22344</v>
      </c>
      <c r="D5" s="217" t="s">
        <v>2157</v>
      </c>
      <c r="E5" s="218" t="s">
        <v>2158</v>
      </c>
      <c r="F5" s="218" t="s">
        <v>2159</v>
      </c>
      <c r="G5" s="219"/>
    </row>
    <row r="6" spans="1:9" s="220" customFormat="1" ht="13.5" customHeight="1">
      <c r="A6" s="886" t="s">
        <v>2160</v>
      </c>
      <c r="B6" s="221" t="s">
        <v>2161</v>
      </c>
      <c r="C6" s="222">
        <f>'土地比较法-工业'!B2</f>
        <v>21683</v>
      </c>
      <c r="D6" s="223"/>
      <c r="E6" s="224"/>
      <c r="F6" s="224"/>
      <c r="G6" s="225"/>
    </row>
    <row r="7" spans="1:9" s="220" customFormat="1" ht="13.5" customHeight="1">
      <c r="A7" s="886" t="s">
        <v>2162</v>
      </c>
      <c r="B7" s="221" t="s">
        <v>2163</v>
      </c>
      <c r="C7" s="226">
        <f>ROUND(C6*F7,0)</f>
        <v>661</v>
      </c>
      <c r="D7" s="226"/>
      <c r="E7" s="224"/>
      <c r="F7" s="227">
        <f>IF(项目基本情况!B8="出让",0,'数据-取费表'!B48+'数据-取费表'!B49)</f>
        <v>3.0499999999999999E-2</v>
      </c>
      <c r="G7" s="225"/>
    </row>
    <row r="8" spans="1:9" s="229" customFormat="1">
      <c r="A8" s="886" t="s">
        <v>2164</v>
      </c>
      <c r="B8" s="221" t="s">
        <v>2165</v>
      </c>
      <c r="C8" s="226">
        <f>IF(G8="已包含在土地购买价格中","0",IF(B1="",'数据-取费表'!B29,IF(G9="全部缴纳",C9+C10,H9)))</f>
        <v>0</v>
      </c>
      <c r="D8" s="228"/>
      <c r="E8" s="226"/>
      <c r="F8" s="227"/>
      <c r="G8" s="2044" t="s">
        <v>3109</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5" t="s">
        <v>3110</v>
      </c>
      <c r="H9" s="1299"/>
      <c r="I9" s="2046" t="s">
        <v>2167</v>
      </c>
    </row>
    <row r="10" spans="1:9" s="220" customFormat="1" ht="13.5" customHeight="1">
      <c r="A10" s="887" t="s">
        <v>801</v>
      </c>
      <c r="B10" s="230" t="s">
        <v>2168</v>
      </c>
      <c r="C10" s="231">
        <f ca="1">ROUND(D10*E10/10000,0)</f>
        <v>3542</v>
      </c>
      <c r="D10" s="954">
        <f ca="1">IF(B1="",'数据-汇总表'!E6,IF(INDIRECT("'数据-取费表'!c"&amp;$G$1)="住宅",INDIRECT("'数据-取费表'!s"&amp;$G$1),INDIRECT("'数据-取费表'!k"&amp;$G$1)+INDIRECT("'数据-取费表'!s"&amp;$G$1)))</f>
        <v>177117.85000000003</v>
      </c>
      <c r="E10" s="231">
        <f>'数据-取费表'!B28</f>
        <v>200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177117.85000000003</v>
      </c>
      <c r="E19" s="217">
        <f>'数据-取费表'!B31</f>
        <v>200</v>
      </c>
      <c r="F19" s="237"/>
      <c r="G19" s="2044" t="s">
        <v>3111</v>
      </c>
    </row>
    <row r="20" spans="1:7" s="220" customFormat="1" ht="13.5" customHeight="1">
      <c r="A20" s="261" t="s">
        <v>2181</v>
      </c>
      <c r="B20" s="216" t="s">
        <v>2182</v>
      </c>
      <c r="C20" s="238">
        <f>ROUND((C5+C19)*F20,0)</f>
        <v>223</v>
      </c>
      <c r="D20" s="238"/>
      <c r="E20" s="238"/>
      <c r="F20" s="239">
        <f>'数据-取费表'!B37</f>
        <v>0.01</v>
      </c>
      <c r="G20" s="240" t="s">
        <v>2183</v>
      </c>
    </row>
    <row r="21" spans="1:7" s="220" customFormat="1" ht="13.5" customHeight="1">
      <c r="A21" s="261" t="s">
        <v>2184</v>
      </c>
      <c r="B21" s="216" t="s">
        <v>2185</v>
      </c>
      <c r="C21" s="241">
        <f>F21</f>
        <v>0.01</v>
      </c>
      <c r="D21" s="242" t="s">
        <v>2186</v>
      </c>
      <c r="E21" s="238"/>
      <c r="F21" s="239">
        <f>'数据-取费表'!B38</f>
        <v>0.01</v>
      </c>
      <c r="G21" s="240" t="s">
        <v>2187</v>
      </c>
    </row>
    <row r="22" spans="1:7" s="220" customFormat="1" ht="13.5" customHeight="1">
      <c r="A22" s="261" t="s">
        <v>2188</v>
      </c>
      <c r="B22" s="216" t="s">
        <v>2189</v>
      </c>
      <c r="C22" s="1264">
        <f ca="1">ROUND(SUM(C23:C25),0)</f>
        <v>2160</v>
      </c>
      <c r="D22" s="241">
        <f ca="1">C26</f>
        <v>5.0000000000000001E-4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2150</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v>
      </c>
      <c r="D25" s="244"/>
      <c r="E25" s="247"/>
      <c r="F25" s="245"/>
      <c r="G25" s="248" t="s">
        <v>2198</v>
      </c>
    </row>
    <row r="26" spans="1:7" s="220" customFormat="1">
      <c r="A26" s="888" t="s">
        <v>795</v>
      </c>
      <c r="B26" s="221" t="s">
        <v>2199</v>
      </c>
      <c r="C26" s="244">
        <f ca="1">ROUND(IF('数据-取费表'!B22&lt;=1,F21*F22*'数据-取费表'!B23/2,F21*(POWER((1+F22),'数据-取费表'!B23/2)-1)),4)</f>
        <v>5.0000000000000001E-4</v>
      </c>
      <c r="D26" s="244"/>
      <c r="E26" s="247"/>
      <c r="F26" s="245"/>
      <c r="G26" s="249"/>
    </row>
    <row r="27" spans="1:7" s="220" customFormat="1" ht="24.75">
      <c r="A27" s="261" t="s">
        <v>2200</v>
      </c>
      <c r="B27" s="250" t="s">
        <v>2201</v>
      </c>
      <c r="C27" s="251">
        <f ca="1">C28</f>
        <v>2234</v>
      </c>
      <c r="D27" s="241">
        <f ca="1">C29</f>
        <v>1E-3</v>
      </c>
      <c r="E27" s="242" t="s">
        <v>2202</v>
      </c>
      <c r="F27" s="252">
        <f ca="1">IF(B1="",'数据-取费表'!Q16,INDIRECT("'数据-取费表'!q"&amp;$G$1))</f>
        <v>0.1</v>
      </c>
      <c r="G27" s="253" t="s">
        <v>2203</v>
      </c>
    </row>
    <row r="28" spans="1:7" s="220" customFormat="1" ht="13.5" customHeight="1">
      <c r="A28" s="888" t="s">
        <v>791</v>
      </c>
      <c r="B28" s="254" t="s">
        <v>2204</v>
      </c>
      <c r="C28" s="255">
        <f ca="1">ROUND((C5+C19+C20)*F27*'数据-取费表'!B21/'数据-取费表'!B20,0)</f>
        <v>2234</v>
      </c>
      <c r="D28" s="241"/>
      <c r="E28" s="242"/>
      <c r="F28" s="252"/>
      <c r="G28" s="253"/>
    </row>
    <row r="29" spans="1:7" s="220" customFormat="1" ht="13.5" customHeight="1">
      <c r="A29" s="888" t="s">
        <v>792</v>
      </c>
      <c r="B29" s="254" t="s">
        <v>2205</v>
      </c>
      <c r="C29" s="244">
        <f ca="1">ROUND(C21*F27*'数据-取费表'!B21/'数据-取费表'!B20,4)</f>
        <v>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28801</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52550</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46965</v>
      </c>
      <c r="D34" s="223"/>
      <c r="E34" s="226"/>
      <c r="F34" s="263">
        <f ca="1">IF('数据-取费表'!B24=0,1,IF(B1="",'数据-取费表'!N16,INDIRECT("'数据-取费表'!n"&amp;$G$1)))</f>
        <v>0.98</v>
      </c>
      <c r="G34" s="225" t="s">
        <v>2214</v>
      </c>
    </row>
    <row r="35" spans="1:7" ht="13.5" customHeight="1">
      <c r="A35" s="888" t="s">
        <v>796</v>
      </c>
      <c r="B35" s="221" t="s">
        <v>2215</v>
      </c>
      <c r="C35" s="226">
        <f ca="1">ROUND(C34*F35,0)</f>
        <v>1409</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2218</v>
      </c>
    </row>
    <row r="37" spans="1:7" s="264" customFormat="1" ht="13.5" customHeight="1">
      <c r="A37" s="888" t="s">
        <v>798</v>
      </c>
      <c r="B37" s="221" t="s">
        <v>2219</v>
      </c>
      <c r="C37" s="255">
        <f ca="1">ROUND(E37*D37*F34/10000,0)</f>
        <v>3472</v>
      </c>
      <c r="D37" s="223">
        <f ca="1">D19</f>
        <v>177117.85000000003</v>
      </c>
      <c r="E37" s="255">
        <f>'数据-取费表'!B35</f>
        <v>200</v>
      </c>
      <c r="F37" s="265"/>
      <c r="G37" s="267" t="s">
        <v>2220</v>
      </c>
    </row>
    <row r="38" spans="1:7" ht="13.5" customHeight="1">
      <c r="A38" s="888" t="s">
        <v>799</v>
      </c>
      <c r="B38" s="221" t="s">
        <v>2221</v>
      </c>
      <c r="C38" s="226">
        <f ca="1">ROUND(C34*F38,0)</f>
        <v>704</v>
      </c>
      <c r="D38" s="226"/>
      <c r="E38" s="226"/>
      <c r="F38" s="265">
        <f>'数据-取费表'!B36</f>
        <v>1.4999999999999999E-2</v>
      </c>
      <c r="G38" s="225" t="s">
        <v>2216</v>
      </c>
    </row>
    <row r="39" spans="1:7" s="220" customFormat="1" ht="13.5" customHeight="1">
      <c r="A39" s="261" t="s">
        <v>2222</v>
      </c>
      <c r="B39" s="216" t="s">
        <v>2223</v>
      </c>
      <c r="C39" s="238">
        <f ca="1">ROUND(C33*F20,0)</f>
        <v>526</v>
      </c>
      <c r="D39" s="238"/>
      <c r="E39" s="238"/>
      <c r="F39" s="2537">
        <f>F20</f>
        <v>0.01</v>
      </c>
      <c r="G39" s="240" t="s">
        <v>2224</v>
      </c>
    </row>
    <row r="40" spans="1:7" s="220" customFormat="1" ht="13.5" customHeight="1">
      <c r="A40" s="261" t="s">
        <v>2225</v>
      </c>
      <c r="B40" s="216" t="s">
        <v>2226</v>
      </c>
      <c r="C40" s="1497">
        <f>F21</f>
        <v>0.01</v>
      </c>
      <c r="D40" s="242" t="s">
        <v>2227</v>
      </c>
      <c r="E40" s="238"/>
      <c r="F40" s="2537">
        <f>F21</f>
        <v>0.01</v>
      </c>
      <c r="G40" s="240" t="s">
        <v>2228</v>
      </c>
    </row>
    <row r="41" spans="1:7" s="220" customFormat="1" ht="13.5" customHeight="1">
      <c r="A41" s="261" t="s">
        <v>2229</v>
      </c>
      <c r="B41" s="216" t="s">
        <v>2230</v>
      </c>
      <c r="C41" s="238">
        <f ca="1">ROUND(SUM(C42:C43),0)</f>
        <v>2496</v>
      </c>
      <c r="D41" s="241">
        <f ca="1">C44</f>
        <v>5.0000000000000001E-4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2471</v>
      </c>
      <c r="D42" s="244"/>
      <c r="E42" s="244"/>
      <c r="F42" s="245"/>
      <c r="G42" s="3295" t="s">
        <v>2232</v>
      </c>
    </row>
    <row r="43" spans="1:7" ht="13.5" customHeight="1">
      <c r="A43" s="888" t="s">
        <v>792</v>
      </c>
      <c r="B43" s="221" t="s">
        <v>2233</v>
      </c>
      <c r="C43" s="244">
        <f ca="1">ROUND(IF('数据-取费表'!B22&lt;=1,C39*F22*'数据-取费表'!B21/2,C39*(POWER((1+F22),'数据-取费表'!B21/2)-1)),0)</f>
        <v>25</v>
      </c>
      <c r="D43" s="244"/>
      <c r="E43" s="244"/>
      <c r="F43" s="245"/>
      <c r="G43" s="3296"/>
    </row>
    <row r="44" spans="1:7" ht="13.5" customHeight="1">
      <c r="A44" s="888" t="s">
        <v>793</v>
      </c>
      <c r="B44" s="221" t="s">
        <v>2234</v>
      </c>
      <c r="C44" s="244">
        <f ca="1">ROUND(IF('数据-取费表'!B22&lt;=1,C40*F22*'数据-取费表'!B21/2,C40*(POWER((1+F22),'数据-取费表'!B21/2)-1)),4)</f>
        <v>5.0000000000000001E-4</v>
      </c>
      <c r="D44" s="244"/>
      <c r="E44" s="244"/>
      <c r="F44" s="245"/>
      <c r="G44" s="3297"/>
    </row>
    <row r="45" spans="1:7" s="220" customFormat="1" ht="13.5" customHeight="1">
      <c r="A45" s="261" t="s">
        <v>2235</v>
      </c>
      <c r="B45" s="250" t="s">
        <v>2201</v>
      </c>
      <c r="C45" s="251">
        <f ca="1">C46</f>
        <v>5308</v>
      </c>
      <c r="D45" s="241">
        <f ca="1">C47</f>
        <v>1E-3</v>
      </c>
      <c r="E45" s="242" t="s">
        <v>2227</v>
      </c>
      <c r="F45" s="2539">
        <f ca="1">F27</f>
        <v>0.1</v>
      </c>
      <c r="G45" s="253" t="s">
        <v>2236</v>
      </c>
    </row>
    <row r="46" spans="1:7" s="220" customFormat="1" ht="13.5" customHeight="1">
      <c r="A46" s="888" t="s">
        <v>791</v>
      </c>
      <c r="B46" s="254" t="s">
        <v>2237</v>
      </c>
      <c r="C46" s="255">
        <f ca="1">ROUND((C33+C39)*F27,0)</f>
        <v>5308</v>
      </c>
      <c r="D46" s="269"/>
      <c r="E46" s="242"/>
      <c r="F46" s="252"/>
      <c r="G46" s="253"/>
    </row>
    <row r="47" spans="1:7" s="220" customFormat="1" ht="13.5" customHeight="1">
      <c r="A47" s="888" t="s">
        <v>792</v>
      </c>
      <c r="B47" s="254" t="s">
        <v>2238</v>
      </c>
      <c r="C47" s="244">
        <f ca="1">ROUND(C40*F27,4)</f>
        <v>1E-3</v>
      </c>
      <c r="D47" s="269"/>
      <c r="E47" s="242"/>
      <c r="F47" s="252"/>
      <c r="G47" s="253"/>
    </row>
    <row r="48" spans="1:7" s="220" customFormat="1" ht="13.5" customHeight="1">
      <c r="A48" s="261" t="s">
        <v>2200</v>
      </c>
      <c r="B48" s="216" t="s">
        <v>2239</v>
      </c>
      <c r="C48" s="1497">
        <f>ROUND(F30/(1+'数据-取费表'!C42),4)</f>
        <v>5.2400000000000002E-2</v>
      </c>
      <c r="D48" s="242" t="s">
        <v>2227</v>
      </c>
      <c r="E48" s="238"/>
      <c r="F48" s="2538">
        <f>F30</f>
        <v>5.5000000000000007E-2</v>
      </c>
      <c r="G48" s="240" t="s">
        <v>2240</v>
      </c>
    </row>
    <row r="49" spans="1:7" ht="16.5" customHeight="1">
      <c r="A49" s="261" t="s">
        <v>2206</v>
      </c>
      <c r="B49" s="216" t="s">
        <v>2241</v>
      </c>
      <c r="C49" s="238">
        <f ca="1">ROUND((C33+C39+C41+C45)/(1-C40-D41-D45-C48),0)</f>
        <v>65036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65036</v>
      </c>
      <c r="D51" s="238"/>
      <c r="E51" s="238"/>
      <c r="F51" s="270"/>
      <c r="G51" s="240" t="s">
        <v>2248</v>
      </c>
    </row>
    <row r="52" spans="1:7" s="214" customFormat="1" ht="16.5" thickBot="1">
      <c r="A52" s="271" t="s">
        <v>2249</v>
      </c>
      <c r="B52" s="272"/>
      <c r="C52" s="273">
        <f ca="1">C31+C51</f>
        <v>93837</v>
      </c>
      <c r="D52" s="272"/>
      <c r="E52" s="272"/>
      <c r="F52" s="272"/>
      <c r="G52" s="274"/>
    </row>
    <row r="55" spans="1:7" ht="15">
      <c r="B55" s="276" t="s">
        <v>2250</v>
      </c>
      <c r="C55" s="277"/>
    </row>
    <row r="56" spans="1:7">
      <c r="B56" s="279" t="s">
        <v>1478</v>
      </c>
      <c r="C56" s="281">
        <f ca="1">1-C57</f>
        <v>0.30700000000000005</v>
      </c>
    </row>
    <row r="57" spans="1:7">
      <c r="B57" s="279" t="s">
        <v>1479</v>
      </c>
      <c r="C57" s="280">
        <f ca="1">ROUND(C51/C52,3)</f>
        <v>0.69299999999999995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6" t="str">
        <f>项目基本情况!B1</f>
        <v>北京市房地产抵押价值预评估</v>
      </c>
      <c r="C37" s="3106"/>
      <c r="D37" s="3106"/>
      <c r="E37" s="3106"/>
      <c r="F37" s="3106"/>
      <c r="G37" s="3106"/>
      <c r="H37" s="3106"/>
      <c r="I37" s="310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6"/>
      <c r="C1" s="2047" t="s">
        <v>2251</v>
      </c>
      <c r="D1" s="204"/>
      <c r="E1" s="204"/>
      <c r="F1" s="204"/>
      <c r="G1" s="1288">
        <f>MATCH(B1,'数据-取费表'!A6:A16,0)+5</f>
        <v>7</v>
      </c>
      <c r="H1" s="1192" t="str">
        <f>IF(ISERROR(FIND("住宅",B1)),"非住宅","住宅")</f>
        <v>非住宅</v>
      </c>
    </row>
    <row r="2" spans="1:8" s="206" customFormat="1" ht="18" customHeight="1">
      <c r="A2" s="207" t="s">
        <v>2150</v>
      </c>
      <c r="B2" s="208">
        <f ca="1">ROUND(IF(D2="——",C52/10000,C52/10000-E2),0)</f>
        <v>75536</v>
      </c>
      <c r="C2" s="205" t="s">
        <v>2151</v>
      </c>
      <c r="D2" s="2041" t="s">
        <v>70</v>
      </c>
      <c r="E2" s="1331" t="e">
        <f ca="1">SUMIF(INDIRECT("'"&amp;G2&amp;"'"&amp;"!A:A"),"承租人权益价值",INDIRECT("'"&amp;G2&amp;"'"&amp;"!c:c"))</f>
        <v>#REF!</v>
      </c>
      <c r="F2" s="2042" t="s">
        <v>2151</v>
      </c>
      <c r="G2" s="2043"/>
    </row>
    <row r="3" spans="1:8" s="206" customFormat="1" ht="18" customHeight="1" thickBot="1">
      <c r="A3" s="209" t="s">
        <v>2152</v>
      </c>
      <c r="B3" s="210">
        <f ca="1">ROUND(B2*10000/(IF(B1="",'数据-汇总表'!E3,INDIRECT("'数据-取费表'!k"&amp;$G$1))),0)</f>
        <v>4265</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35423570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35423570</v>
      </c>
      <c r="D8" s="228"/>
      <c r="E8" s="226"/>
      <c r="F8" s="227"/>
      <c r="G8" s="2044"/>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35423570</v>
      </c>
      <c r="D10" s="954">
        <f ca="1">IF(B1="",'数据-汇总表'!E6,IF(INDIRECT("'数据-取费表'!c"&amp;$G$1)="住宅",INDIRECT("'数据-取费表'!s"&amp;$G$1),INDIRECT("'数据-取费表'!k"&amp;$G$1)+INDIRECT("'数据-取费表'!s"&amp;$G$1)))</f>
        <v>177117.85000000003</v>
      </c>
      <c r="E10" s="231">
        <f>'数据-取费表'!B28</f>
        <v>200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35423570</v>
      </c>
      <c r="D19" s="958">
        <f ca="1">D9+D10</f>
        <v>177117.85000000003</v>
      </c>
      <c r="E19" s="217">
        <f>'数据-取费表'!B31</f>
        <v>200</v>
      </c>
      <c r="F19" s="237"/>
      <c r="G19" s="2044"/>
    </row>
    <row r="20" spans="1:7" s="220" customFormat="1" ht="13.5" customHeight="1">
      <c r="A20" s="261" t="s">
        <v>2262</v>
      </c>
      <c r="B20" s="216" t="s">
        <v>2263</v>
      </c>
      <c r="C20" s="238">
        <f ca="1">ROUND((C5+C19)*F20,0)</f>
        <v>708471</v>
      </c>
      <c r="D20" s="238"/>
      <c r="E20" s="238"/>
      <c r="F20" s="239">
        <f>'数据-取费表'!B37</f>
        <v>0.01</v>
      </c>
      <c r="G20" s="240" t="s">
        <v>2264</v>
      </c>
    </row>
    <row r="21" spans="1:7" s="220" customFormat="1" ht="13.5" customHeight="1">
      <c r="A21" s="261" t="s">
        <v>2265</v>
      </c>
      <c r="B21" s="216" t="s">
        <v>2266</v>
      </c>
      <c r="C21" s="241">
        <f>F21</f>
        <v>0.01</v>
      </c>
      <c r="D21" s="242" t="s">
        <v>2267</v>
      </c>
      <c r="E21" s="238"/>
      <c r="F21" s="239">
        <f>'数据-取费表'!B38</f>
        <v>0.01</v>
      </c>
      <c r="G21" s="240" t="s">
        <v>2268</v>
      </c>
    </row>
    <row r="22" spans="1:7" s="220" customFormat="1" ht="13.5" customHeight="1">
      <c r="A22" s="261" t="s">
        <v>2269</v>
      </c>
      <c r="B22" s="216" t="s">
        <v>2270</v>
      </c>
      <c r="C22" s="1289">
        <f ca="1">ROUND(SUM(C23:C25),0)</f>
        <v>6923980</v>
      </c>
      <c r="D22" s="241">
        <f ca="1">C26</f>
        <v>5.0000000000000001E-4</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3445164</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3445164</v>
      </c>
      <c r="D24" s="244"/>
      <c r="E24" s="244"/>
      <c r="F24" s="245"/>
      <c r="G24" s="246" t="s">
        <v>2274</v>
      </c>
    </row>
    <row r="25" spans="1:7" s="220" customFormat="1" ht="24">
      <c r="A25" s="888" t="s">
        <v>2164</v>
      </c>
      <c r="B25" s="221" t="s">
        <v>2275</v>
      </c>
      <c r="C25" s="1290">
        <f ca="1">ROUND(IF('数据-取费表'!B22&lt;=1,C20*F22*'数据-取费表'!B22/2,C20*(POWER((1+F22),'数据-取费表'!B22/2)-1)),0)</f>
        <v>33652</v>
      </c>
      <c r="D25" s="244"/>
      <c r="E25" s="247"/>
      <c r="F25" s="245"/>
      <c r="G25" s="248" t="s">
        <v>2276</v>
      </c>
    </row>
    <row r="26" spans="1:7" s="220" customFormat="1">
      <c r="A26" s="888" t="s">
        <v>795</v>
      </c>
      <c r="B26" s="221" t="s">
        <v>2199</v>
      </c>
      <c r="C26" s="244">
        <f ca="1">ROUND(IF('数据-取费表'!B22&lt;=1,F21*F22*'数据-取费表'!B22/2,F21*(POWER((1+F22),'数据-取费表'!B22/2)-1)),4)</f>
        <v>5.0000000000000001E-4</v>
      </c>
      <c r="D26" s="244"/>
      <c r="E26" s="247"/>
      <c r="F26" s="245"/>
      <c r="G26" s="249"/>
    </row>
    <row r="27" spans="1:7" s="220" customFormat="1" ht="24.75">
      <c r="A27" s="261" t="s">
        <v>2200</v>
      </c>
      <c r="B27" s="250" t="s">
        <v>2201</v>
      </c>
      <c r="C27" s="251">
        <f ca="1">C28</f>
        <v>7155561</v>
      </c>
      <c r="D27" s="241">
        <f ca="1">C29</f>
        <v>1E-3</v>
      </c>
      <c r="E27" s="242" t="s">
        <v>2202</v>
      </c>
      <c r="F27" s="252">
        <f ca="1">IF(B1="",'数据-取费表'!Q16,INDIRECT("'数据-取费表'!q"&amp;$G$1))</f>
        <v>0.1</v>
      </c>
      <c r="G27" s="253" t="s">
        <v>2203</v>
      </c>
    </row>
    <row r="28" spans="1:7" s="220" customFormat="1" ht="13.5" customHeight="1">
      <c r="A28" s="888" t="s">
        <v>791</v>
      </c>
      <c r="B28" s="254" t="s">
        <v>2204</v>
      </c>
      <c r="C28" s="255">
        <f ca="1">ROUND((C5+C19+C20)*F27,0)</f>
        <v>7155561</v>
      </c>
      <c r="D28" s="241"/>
      <c r="E28" s="242"/>
      <c r="F28" s="252"/>
      <c r="G28" s="253"/>
    </row>
    <row r="29" spans="1:7" s="220" customFormat="1" ht="13.5" customHeight="1">
      <c r="A29" s="888" t="s">
        <v>792</v>
      </c>
      <c r="B29" s="254" t="s">
        <v>2205</v>
      </c>
      <c r="C29" s="244">
        <f ca="1">ROUND(C21*F27,4)</f>
        <v>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91480773</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536214651</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479225915</v>
      </c>
      <c r="D34" s="223"/>
      <c r="E34" s="226"/>
      <c r="F34" s="263"/>
      <c r="G34" s="225"/>
    </row>
    <row r="35" spans="1:7" ht="13.5" customHeight="1">
      <c r="A35" s="888" t="s">
        <v>796</v>
      </c>
      <c r="B35" s="221" t="s">
        <v>2215</v>
      </c>
      <c r="C35" s="226">
        <f ca="1">ROUND(C34*F35,0)</f>
        <v>14376777</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v>
      </c>
      <c r="G36" s="266" t="s">
        <v>2218</v>
      </c>
    </row>
    <row r="37" spans="1:7" s="264" customFormat="1" ht="13.5" customHeight="1">
      <c r="A37" s="888" t="s">
        <v>798</v>
      </c>
      <c r="B37" s="221" t="s">
        <v>2219</v>
      </c>
      <c r="C37" s="255">
        <f ca="1">ROUND(E37*D37,0)</f>
        <v>35423570</v>
      </c>
      <c r="D37" s="223">
        <f ca="1">D19</f>
        <v>177117.85000000003</v>
      </c>
      <c r="E37" s="255">
        <f>'数据-取费表'!B35</f>
        <v>200</v>
      </c>
      <c r="F37" s="265"/>
      <c r="G37" s="267"/>
    </row>
    <row r="38" spans="1:7" ht="13.5" customHeight="1">
      <c r="A38" s="888" t="s">
        <v>799</v>
      </c>
      <c r="B38" s="221" t="s">
        <v>2221</v>
      </c>
      <c r="C38" s="226">
        <f ca="1">ROUND(C34*F38,0)</f>
        <v>7188389</v>
      </c>
      <c r="D38" s="226"/>
      <c r="E38" s="226"/>
      <c r="F38" s="265">
        <f>'数据-取费表'!B36</f>
        <v>1.4999999999999999E-2</v>
      </c>
      <c r="G38" s="225" t="s">
        <v>2216</v>
      </c>
    </row>
    <row r="39" spans="1:7" s="220" customFormat="1" ht="13.5" customHeight="1">
      <c r="A39" s="261" t="s">
        <v>2222</v>
      </c>
      <c r="B39" s="216" t="s">
        <v>2223</v>
      </c>
      <c r="C39" s="238">
        <f ca="1">ROUND(C33*F20,0)</f>
        <v>5362147</v>
      </c>
      <c r="D39" s="238"/>
      <c r="E39" s="238"/>
      <c r="F39" s="2537">
        <f>F20</f>
        <v>0.01</v>
      </c>
      <c r="G39" s="240" t="s">
        <v>2224</v>
      </c>
    </row>
    <row r="40" spans="1:7" s="220" customFormat="1" ht="13.5" customHeight="1">
      <c r="A40" s="261" t="s">
        <v>2225</v>
      </c>
      <c r="B40" s="216" t="s">
        <v>2226</v>
      </c>
      <c r="C40" s="1497">
        <f>F21</f>
        <v>0.01</v>
      </c>
      <c r="D40" s="242" t="s">
        <v>2227</v>
      </c>
      <c r="E40" s="238"/>
      <c r="F40" s="2537">
        <f>F21</f>
        <v>0.01</v>
      </c>
      <c r="G40" s="240" t="s">
        <v>2228</v>
      </c>
    </row>
    <row r="41" spans="1:7" s="220" customFormat="1" ht="13.5" customHeight="1">
      <c r="A41" s="261" t="s">
        <v>2229</v>
      </c>
      <c r="B41" s="216" t="s">
        <v>2230</v>
      </c>
      <c r="C41" s="238">
        <f ca="1">ROUND(SUM(C42:C43),0)</f>
        <v>25724898</v>
      </c>
      <c r="D41" s="241">
        <f ca="1">C44</f>
        <v>5.0000000000000001E-4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25470196</v>
      </c>
      <c r="D42" s="244"/>
      <c r="E42" s="244"/>
      <c r="F42" s="245"/>
      <c r="G42" s="3295" t="s">
        <v>2279</v>
      </c>
    </row>
    <row r="43" spans="1:7" ht="13.5" customHeight="1">
      <c r="A43" s="888" t="s">
        <v>792</v>
      </c>
      <c r="B43" s="221" t="s">
        <v>2233</v>
      </c>
      <c r="C43" s="244">
        <f ca="1">ROUND(IF('数据-取费表'!B22&lt;=1,C39*F22*'数据-取费表'!B20/2,C39*(POWER((1+F22),'数据-取费表'!B20/2)-1)),0)</f>
        <v>254702</v>
      </c>
      <c r="D43" s="244"/>
      <c r="E43" s="244"/>
      <c r="F43" s="245"/>
      <c r="G43" s="3296"/>
    </row>
    <row r="44" spans="1:7" ht="13.5" customHeight="1">
      <c r="A44" s="888" t="s">
        <v>793</v>
      </c>
      <c r="B44" s="221" t="s">
        <v>2234</v>
      </c>
      <c r="C44" s="244">
        <f ca="1">ROUND(IF('数据-取费表'!B22&lt;=1,C40*F22*'数据-取费表'!B20/2,C40*(POWER((1+F22),'数据-取费表'!B20/2)-1)),4)</f>
        <v>5.0000000000000001E-4</v>
      </c>
      <c r="D44" s="244"/>
      <c r="E44" s="244"/>
      <c r="F44" s="245"/>
      <c r="G44" s="3297"/>
    </row>
    <row r="45" spans="1:7" s="220" customFormat="1" ht="13.5" customHeight="1">
      <c r="A45" s="261" t="s">
        <v>2235</v>
      </c>
      <c r="B45" s="250" t="s">
        <v>2201</v>
      </c>
      <c r="C45" s="251">
        <f ca="1">C46</f>
        <v>54157680</v>
      </c>
      <c r="D45" s="241">
        <f ca="1">C47</f>
        <v>1E-3</v>
      </c>
      <c r="E45" s="242" t="s">
        <v>2227</v>
      </c>
      <c r="F45" s="2539">
        <f ca="1">F27</f>
        <v>0.1</v>
      </c>
      <c r="G45" s="253" t="s">
        <v>2236</v>
      </c>
    </row>
    <row r="46" spans="1:7" s="220" customFormat="1" ht="13.5" customHeight="1">
      <c r="A46" s="888" t="s">
        <v>791</v>
      </c>
      <c r="B46" s="254" t="s">
        <v>2237</v>
      </c>
      <c r="C46" s="255">
        <f ca="1">ROUND((C33+C39)*F27,0)</f>
        <v>54157680</v>
      </c>
      <c r="D46" s="269"/>
      <c r="E46" s="242"/>
      <c r="F46" s="252"/>
      <c r="G46" s="253"/>
    </row>
    <row r="47" spans="1:7" s="220" customFormat="1" ht="13.5" customHeight="1">
      <c r="A47" s="888" t="s">
        <v>792</v>
      </c>
      <c r="B47" s="254" t="s">
        <v>2238</v>
      </c>
      <c r="C47" s="244">
        <f ca="1">ROUND(C40*F27,4)</f>
        <v>1E-3</v>
      </c>
      <c r="D47" s="269"/>
      <c r="E47" s="242"/>
      <c r="F47" s="252"/>
      <c r="G47" s="253"/>
    </row>
    <row r="48" spans="1:7" s="220" customFormat="1" ht="13.5" customHeight="1">
      <c r="A48" s="261" t="s">
        <v>2200</v>
      </c>
      <c r="B48" s="216" t="s">
        <v>2239</v>
      </c>
      <c r="C48" s="268">
        <f>ROUND(F30/(1+'数据-取费表'!C42),4)</f>
        <v>5.2400000000000002E-2</v>
      </c>
      <c r="D48" s="242" t="s">
        <v>2227</v>
      </c>
      <c r="E48" s="238"/>
      <c r="F48" s="2538">
        <f>F30</f>
        <v>5.5000000000000007E-2</v>
      </c>
      <c r="G48" s="240" t="s">
        <v>2240</v>
      </c>
    </row>
    <row r="49" spans="1:7" ht="16.5" customHeight="1">
      <c r="A49" s="261" t="s">
        <v>2206</v>
      </c>
      <c r="B49" s="216" t="s">
        <v>2280</v>
      </c>
      <c r="C49" s="238">
        <f ca="1">ROUND((C33+C39+C41+C45)/(1-C40-D41-D45-C48),0)</f>
        <v>663881397</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663881397</v>
      </c>
      <c r="D51" s="238"/>
      <c r="E51" s="238"/>
      <c r="F51" s="270"/>
      <c r="G51" s="240" t="s">
        <v>2248</v>
      </c>
    </row>
    <row r="52" spans="1:7" s="214" customFormat="1" ht="16.5" thickBot="1">
      <c r="A52" s="271" t="s">
        <v>2249</v>
      </c>
      <c r="B52" s="272"/>
      <c r="C52" s="273">
        <f ca="1">C31+C51</f>
        <v>755362170</v>
      </c>
      <c r="D52" s="272"/>
      <c r="E52" s="272"/>
      <c r="F52" s="272"/>
      <c r="G52" s="274"/>
    </row>
    <row r="55" spans="1:7" ht="15">
      <c r="B55" s="276" t="s">
        <v>2250</v>
      </c>
      <c r="C55" s="277"/>
    </row>
    <row r="56" spans="1:7">
      <c r="B56" s="279" t="s">
        <v>1478</v>
      </c>
      <c r="C56" s="281">
        <f ca="1">1-C57</f>
        <v>0.121</v>
      </c>
    </row>
    <row r="57" spans="1:7">
      <c r="B57" s="279" t="s">
        <v>1479</v>
      </c>
      <c r="C57" s="280">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37" sqref="F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3"/>
      <c r="C1" s="1354"/>
      <c r="D1" s="1352"/>
      <c r="E1" s="3039"/>
      <c r="F1" s="3039"/>
      <c r="G1" s="2902"/>
      <c r="H1" s="3039"/>
      <c r="I1" s="3039"/>
      <c r="J1" s="3039"/>
      <c r="K1" s="3040">
        <f>MATCH(C1,'数据-取费表'!A6:A16,0)+5</f>
        <v>7</v>
      </c>
    </row>
    <row r="2" spans="1:33" ht="18" customHeight="1">
      <c r="A2" s="207" t="s">
        <v>2150</v>
      </c>
      <c r="B2" s="210">
        <f ca="1">C32</f>
        <v>89778</v>
      </c>
      <c r="C2" s="282" t="s">
        <v>2283</v>
      </c>
      <c r="D2" s="282"/>
      <c r="E2" s="3039"/>
      <c r="F2" s="3039"/>
      <c r="G2" s="3039"/>
      <c r="H2" s="3039"/>
      <c r="I2" s="3039"/>
      <c r="J2" s="3039"/>
      <c r="K2" s="3039"/>
    </row>
    <row r="3" spans="1:33" ht="18" customHeight="1" thickBot="1">
      <c r="A3" s="209" t="s">
        <v>2152</v>
      </c>
      <c r="B3" s="210">
        <f ca="1">ROUND(B2*10000/IF(C1="",'数据-汇总表'!E3,INDIRECT("'数据-取费表'!K"&amp;$K$1)),0)</f>
        <v>5069</v>
      </c>
      <c r="C3" s="282" t="s">
        <v>2284</v>
      </c>
      <c r="D3" s="282"/>
      <c r="E3" s="3039"/>
      <c r="F3" s="3039"/>
      <c r="G3" s="3039"/>
      <c r="H3" s="3039"/>
      <c r="I3" s="3039"/>
      <c r="J3" s="3039"/>
      <c r="K3" s="3039"/>
    </row>
    <row r="4" spans="1:33" s="893" customFormat="1" ht="16.5" customHeight="1">
      <c r="A4" s="890" t="s">
        <v>2285</v>
      </c>
      <c r="B4" s="891"/>
      <c r="C4" s="933">
        <f ca="1">SUM(C8:K8)</f>
        <v>103113</v>
      </c>
      <c r="D4" s="891"/>
      <c r="E4" s="891"/>
      <c r="F4" s="891"/>
      <c r="G4" s="891"/>
      <c r="H4" s="891"/>
      <c r="I4" s="891"/>
      <c r="J4" s="891"/>
      <c r="K4" s="892"/>
    </row>
    <row r="5" spans="1:33" s="897" customFormat="1" ht="15">
      <c r="A5" s="894" t="s">
        <v>2286</v>
      </c>
      <c r="B5" s="895" t="s">
        <v>2287</v>
      </c>
      <c r="C5" s="2048" t="s">
        <v>6</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6824</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151095.50000000003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f ca="1">收益法!B2</f>
        <v>103113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958</v>
      </c>
      <c r="D11" s="910"/>
      <c r="E11" s="335"/>
      <c r="F11" s="911">
        <f ca="1">1-IF('数据-取费表'!B24=0,1,IF(C1="",'数据-取费表'!N16,INDIRECT("'数据-取费表'!n"&amp;$K$1)))</f>
        <v>2.0000000000000018E-2</v>
      </c>
      <c r="G11" s="8"/>
      <c r="H11" s="905"/>
      <c r="I11" s="905"/>
      <c r="J11" s="905"/>
      <c r="K11" s="906"/>
    </row>
    <row r="12" spans="1:33" s="912" customFormat="1" ht="13.5" customHeight="1">
      <c r="A12" s="908" t="s">
        <v>1301</v>
      </c>
      <c r="B12" s="909" t="s">
        <v>2301</v>
      </c>
      <c r="C12" s="24">
        <f ca="1">ROUND(C11*F12,0)</f>
        <v>29</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71</v>
      </c>
      <c r="D14" s="955">
        <f ca="1">IF(C1="",'数据-汇总表'!E3,INDIRECT("'数据-取费表'!K"&amp;$K$1)+INDIRECT("'数据-取费表'!S"&amp;$K$1))</f>
        <v>177117.85000000003</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14</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1072</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177117.85000000003</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3542</v>
      </c>
      <c r="D18" s="955"/>
      <c r="E18" s="24"/>
      <c r="F18" s="913"/>
      <c r="G18" s="2050" t="s">
        <v>3107</v>
      </c>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3542</v>
      </c>
      <c r="D20" s="955">
        <f ca="1">IF(C1="",'数据-汇总表'!E6,IF(INDIRECT("'数据-取费表'!c"&amp;$K$1)="住宅",INDIRECT("'数据-取费表'!s"&amp;$K$1),INDIRECT("'数据-取费表'!k"&amp;$K$1)+INDIRECT("'数据-取费表'!s"&amp;$K$1)))</f>
        <v>177117.85000000003</v>
      </c>
      <c r="E20" s="24">
        <f>'数据-取费表'!B28</f>
        <v>200</v>
      </c>
      <c r="F20" s="913"/>
      <c r="G20" s="15"/>
      <c r="H20" s="918"/>
      <c r="I20" s="918"/>
      <c r="J20" s="918"/>
      <c r="K20" s="919"/>
    </row>
    <row r="21" spans="1:33" s="912" customFormat="1" ht="13.5" customHeight="1">
      <c r="A21" s="898" t="s">
        <v>802</v>
      </c>
      <c r="B21" s="922" t="s">
        <v>2316</v>
      </c>
      <c r="C21" s="923">
        <f ca="1">C16+C17+C18</f>
        <v>4614</v>
      </c>
      <c r="D21" s="924"/>
      <c r="E21" s="287"/>
      <c r="F21" s="287"/>
      <c r="G21" s="136" t="s">
        <v>2317</v>
      </c>
      <c r="H21" s="916"/>
      <c r="I21" s="916"/>
      <c r="J21" s="916"/>
      <c r="K21" s="917"/>
    </row>
    <row r="22" spans="1:33" s="912" customFormat="1" ht="13.5" customHeight="1">
      <c r="A22" s="898" t="s">
        <v>2289</v>
      </c>
      <c r="B22" s="922" t="s">
        <v>2318</v>
      </c>
      <c r="C22" s="923">
        <f ca="1">ROUND(C21*F22,0)</f>
        <v>46</v>
      </c>
      <c r="D22" s="287"/>
      <c r="E22" s="287"/>
      <c r="F22" s="925">
        <f>'数据-取费表'!B37</f>
        <v>0.01</v>
      </c>
      <c r="G22" s="8" t="s">
        <v>2319</v>
      </c>
      <c r="H22" s="905"/>
      <c r="I22" s="905"/>
      <c r="J22" s="905"/>
      <c r="K22" s="906"/>
    </row>
    <row r="23" spans="1:33" s="912" customFormat="1" ht="13.5" customHeight="1">
      <c r="A23" s="898" t="s">
        <v>2291</v>
      </c>
      <c r="B23" s="922" t="s">
        <v>2320</v>
      </c>
      <c r="C23" s="923">
        <f ca="1">ROUND(C4*F23*F11,0)</f>
        <v>21</v>
      </c>
      <c r="D23" s="287"/>
      <c r="E23" s="287"/>
      <c r="F23" s="925">
        <f>'数据-取费表'!B38</f>
        <v>0.01</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2</v>
      </c>
      <c r="D25" s="286">
        <f ca="1">C26</f>
        <v>1E-3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1E-3</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2</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468</v>
      </c>
      <c r="D28" s="286">
        <f ca="1">C29</f>
        <v>1E-3</v>
      </c>
      <c r="E28" s="288" t="s">
        <v>15</v>
      </c>
      <c r="F28" s="294">
        <f ca="1">IF(C1="",'数据-取费表'!Q16,INDIRECT("'数据-取费表'!q"&amp;$K$1))</f>
        <v>0.1</v>
      </c>
      <c r="G28" s="926"/>
      <c r="H28" s="927"/>
      <c r="I28" s="927"/>
      <c r="J28" s="927"/>
      <c r="K28" s="928"/>
    </row>
    <row r="29" spans="1:33" s="297" customFormat="1" ht="13.5" customHeight="1">
      <c r="A29" s="908" t="s">
        <v>803</v>
      </c>
      <c r="B29" s="931" t="s">
        <v>2331</v>
      </c>
      <c r="C29" s="290">
        <f ca="1">ROUND((1+C24)*F28*'数据-取费表'!B24/'数据-取费表'!B20,4)</f>
        <v>1E-3</v>
      </c>
      <c r="D29" s="290"/>
      <c r="E29" s="291"/>
      <c r="F29" s="296"/>
      <c r="G29" s="136" t="s">
        <v>2332</v>
      </c>
      <c r="H29" s="916"/>
      <c r="I29" s="916"/>
      <c r="J29" s="916"/>
      <c r="K29" s="917"/>
    </row>
    <row r="30" spans="1:33" s="297" customFormat="1" ht="13.5" customHeight="1">
      <c r="A30" s="908" t="s">
        <v>804</v>
      </c>
      <c r="B30" s="931" t="s">
        <v>2333</v>
      </c>
      <c r="C30" s="298">
        <f ca="1">ROUND((C21+C22+C23)*F28,0)</f>
        <v>468</v>
      </c>
      <c r="D30" s="290"/>
      <c r="E30" s="291"/>
      <c r="F30" s="296"/>
      <c r="G30" s="136"/>
      <c r="H30" s="916"/>
      <c r="I30" s="916"/>
      <c r="J30" s="916"/>
      <c r="K30" s="917"/>
    </row>
    <row r="31" spans="1:33" s="912" customFormat="1" ht="13.5" customHeight="1" thickBot="1">
      <c r="A31" s="2054" t="s">
        <v>2334</v>
      </c>
      <c r="B31" s="942" t="s">
        <v>2335</v>
      </c>
      <c r="C31" s="943">
        <f ca="1">ROUND(C4*F31/(1+'数据-取费表'!C42),0)</f>
        <v>5401</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89778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3106</v>
      </c>
      <c r="E1" s="1549" t="s">
        <v>1352</v>
      </c>
      <c r="F1" s="1193">
        <f ca="1">J53</f>
        <v>45.18</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103113</v>
      </c>
      <c r="C2" s="1573" t="s">
        <v>1481</v>
      </c>
      <c r="D2" s="1573"/>
      <c r="E2" s="1574"/>
      <c r="F2" s="1575"/>
      <c r="G2" s="2937"/>
      <c r="H2" s="2926"/>
      <c r="I2" s="2926"/>
      <c r="J2" s="2926"/>
      <c r="K2" s="2927"/>
      <c r="L2" s="2926"/>
      <c r="M2" s="2926"/>
    </row>
    <row r="3" spans="1:37" ht="18" customHeight="1" thickBot="1">
      <c r="A3" s="1576" t="s">
        <v>1482</v>
      </c>
      <c r="B3" s="1577">
        <f ca="1">IF(ISERROR(B2*10000/F43),0,ROUND(B2*10000/F43,0))</f>
        <v>6824</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6958</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6949</v>
      </c>
      <c r="D6" s="160" t="s">
        <v>2849</v>
      </c>
      <c r="E6" s="308" t="s">
        <v>1370</v>
      </c>
      <c r="F6" s="309">
        <f ca="1">INDIRECT("'数据-取费表'!u"&amp;$G$1)</f>
        <v>1.4</v>
      </c>
      <c r="G6" s="1570"/>
      <c r="H6" s="1201" t="s">
        <v>1003</v>
      </c>
      <c r="I6" s="3300" t="s">
        <v>1368</v>
      </c>
      <c r="J6" s="307">
        <f ca="1">ROUND(M6*M8*M7*(1-M9)/10000,0)</f>
        <v>0</v>
      </c>
      <c r="K6" s="160" t="s">
        <v>2848</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151095.50000000003</v>
      </c>
      <c r="G7" s="1570"/>
      <c r="H7" s="310"/>
      <c r="I7" s="3301"/>
      <c r="J7" s="312"/>
      <c r="K7" s="313"/>
      <c r="L7" s="308" t="s">
        <v>1371</v>
      </c>
      <c r="M7" s="309">
        <f ca="1">F7</f>
        <v>151095.50000000003</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9</v>
      </c>
      <c r="D10" s="1552" t="s">
        <v>2857</v>
      </c>
      <c r="E10" s="319" t="s">
        <v>1375</v>
      </c>
      <c r="F10" s="1276" t="s">
        <v>3102</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66388</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47923</v>
      </c>
      <c r="D14" s="1531" t="s">
        <v>1383</v>
      </c>
      <c r="E14" s="1528"/>
      <c r="F14" s="325"/>
      <c r="G14" s="1570"/>
      <c r="H14" s="1113" t="s">
        <v>1003</v>
      </c>
      <c r="I14" s="308" t="s">
        <v>1384</v>
      </c>
      <c r="J14" s="24">
        <f ca="1">C29</f>
        <v>66388</v>
      </c>
      <c r="K14" s="15"/>
      <c r="L14" s="916"/>
      <c r="M14" s="917"/>
    </row>
    <row r="15" spans="1:37" s="1583" customFormat="1" ht="18" customHeight="1" thickBot="1">
      <c r="A15" s="1113" t="s">
        <v>1004</v>
      </c>
      <c r="B15" s="308" t="s">
        <v>1385</v>
      </c>
      <c r="C15" s="24">
        <f ca="1">ROUND(C14*F15,0)</f>
        <v>1438</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1916</v>
      </c>
      <c r="K16" s="1247" t="s">
        <v>1390</v>
      </c>
      <c r="L16" s="1248"/>
      <c r="M16" s="1204"/>
    </row>
    <row r="17" spans="1:37" s="1583" customFormat="1" ht="18" customHeight="1">
      <c r="A17" s="1113" t="s">
        <v>1355</v>
      </c>
      <c r="B17" s="308" t="s">
        <v>1391</v>
      </c>
      <c r="C17" s="24">
        <f ca="1">ROUND(F17*(F43+INDIRECT("'数据-取费表'!S"&amp;$G$1))/10000,0)</f>
        <v>3542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588</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719</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53622</v>
      </c>
      <c r="D19" s="136" t="s">
        <v>1401</v>
      </c>
      <c r="E19" s="1546"/>
      <c r="F19" s="26"/>
      <c r="G19" s="1570"/>
      <c r="H19" s="1113" t="s">
        <v>1004</v>
      </c>
      <c r="I19" s="308" t="s">
        <v>1402</v>
      </c>
      <c r="J19" s="24">
        <f ca="1">IF(K19="按租金收入计税",ROUND(J6*M19/(1+'数据-取费表'!C42),2),ROUND(C29*M19*0.7,2))</f>
        <v>557.66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536</v>
      </c>
      <c r="D20" s="329" t="s">
        <v>1405</v>
      </c>
      <c r="E20" s="308" t="s">
        <v>1387</v>
      </c>
      <c r="F20" s="328">
        <f>'数据-取费表'!B37</f>
        <v>0.01</v>
      </c>
      <c r="G20" s="1582"/>
      <c r="H20" s="1113" t="s">
        <v>1354</v>
      </c>
      <c r="I20" s="160" t="s">
        <v>1406</v>
      </c>
      <c r="J20" s="25">
        <f ca="1">ROUND(M20*M21/10000,2)</f>
        <v>30.33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0.01</v>
      </c>
      <c r="G21" s="1582"/>
      <c r="H21" s="332"/>
      <c r="I21" s="317"/>
      <c r="J21" s="29"/>
      <c r="K21" s="333"/>
      <c r="L21" s="308" t="s">
        <v>1412</v>
      </c>
      <c r="M21" s="309">
        <f ca="1">INDIRECT("'数据-取费表'!r"&amp;$G$1)</f>
        <v>101087.14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1327.8</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2572</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-1916</v>
      </c>
      <c r="K25" s="1255" t="s">
        <v>1429</v>
      </c>
      <c r="L25" s="1256"/>
      <c r="M25" s="1257"/>
    </row>
    <row r="26" spans="1:37">
      <c r="A26" s="1113" t="s">
        <v>1002</v>
      </c>
      <c r="B26" s="308" t="s">
        <v>1430</v>
      </c>
      <c r="C26" s="24">
        <f ca="1">ROUND((C19+C20)*F26,0)</f>
        <v>5416</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66388</v>
      </c>
      <c r="D29" s="1252"/>
      <c r="E29" s="1250"/>
      <c r="F29" s="1253"/>
      <c r="G29" s="1582"/>
      <c r="H29" s="340" t="s">
        <v>1001</v>
      </c>
      <c r="I29" s="341" t="s">
        <v>1444</v>
      </c>
      <c r="J29" s="342">
        <f ca="1">ROUND(J26/(1+F40)^F41,0)</f>
        <v>0</v>
      </c>
      <c r="K29" s="343" t="s">
        <v>1445</v>
      </c>
      <c r="L29" s="344"/>
      <c r="M29" s="345">
        <f ca="1">INDIRECT("'数据-取费表'!k"&amp;$G$1)</f>
        <v>151095.50000000003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2721</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1189</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IF(项目基本情况!B11="自然人","——",ROUND(C6*F32/(1+'数据-取费表'!C42),2))</f>
        <v>364</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794.17</v>
      </c>
      <c r="D33" s="1556" t="s">
        <v>3103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30.33</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101087.14</v>
      </c>
      <c r="G35" s="1570"/>
      <c r="H35" s="2928"/>
      <c r="I35" s="1584"/>
      <c r="J35" s="1585"/>
      <c r="K35" s="2932"/>
      <c r="L35" s="2931"/>
      <c r="M35" s="2931"/>
    </row>
    <row r="36" spans="1:18" ht="18" customHeight="1">
      <c r="A36" s="1262" t="s">
        <v>1007</v>
      </c>
      <c r="B36" s="308" t="s">
        <v>1414</v>
      </c>
      <c r="C36" s="24">
        <f ca="1">ROUND(C29*F36,1)</f>
        <v>1327.8</v>
      </c>
      <c r="D36" s="1530" t="s">
        <v>1447</v>
      </c>
      <c r="E36" s="308" t="s">
        <v>1387</v>
      </c>
      <c r="F36" s="334">
        <f ca="1">INDIRECT("'数据-取费表'!Ak"&amp;$G$1)</f>
        <v>0.02</v>
      </c>
      <c r="G36" s="1570"/>
      <c r="H36" s="2931"/>
      <c r="I36" s="1584"/>
      <c r="J36" s="1585"/>
      <c r="K36" s="2772"/>
      <c r="L36" s="2931"/>
      <c r="M36" s="2931"/>
    </row>
    <row r="37" spans="1:18" ht="18" customHeight="1">
      <c r="A37" s="1113" t="s">
        <v>1043</v>
      </c>
      <c r="B37" s="308" t="s">
        <v>1418</v>
      </c>
      <c r="C37" s="24">
        <f ca="1">ROUND(C13*F37,1)</f>
        <v>99.6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104.4</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4237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103113</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45.18</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6824</v>
      </c>
      <c r="D43" s="343" t="s">
        <v>1453</v>
      </c>
      <c r="E43" s="344" t="s">
        <v>1454</v>
      </c>
      <c r="F43" s="345">
        <f ca="1">INDIRECT("'数据-取费表'!k"&amp;$G$1)</f>
        <v>151095.50000000003</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-228273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3105</v>
      </c>
      <c r="K47" s="1602" t="s">
        <v>1492</v>
      </c>
      <c r="L47" s="1603">
        <f ca="1">INDIRECT("'数据-取费表'!d"&amp;$G$1)</f>
        <v>50</v>
      </c>
      <c r="M47" s="1566" t="str">
        <f>IF(ISNUMBER(FIND("住宅",C1)),"住宅","非住宅")</f>
        <v>非住宅</v>
      </c>
      <c r="O47" s="1604" t="s">
        <v>1008</v>
      </c>
      <c r="P47" s="1605" t="s">
        <v>1493</v>
      </c>
      <c r="Q47" s="1606">
        <f ca="1">C40+J29</f>
        <v>103113</v>
      </c>
      <c r="R47" s="1606" t="s">
        <v>1494</v>
      </c>
    </row>
    <row r="48" spans="1:18" s="1570" customFormat="1" ht="28.5" thickBot="1">
      <c r="A48" s="1270" t="s">
        <v>1103</v>
      </c>
      <c r="B48" s="306" t="s">
        <v>1366</v>
      </c>
      <c r="C48" s="1545">
        <f ca="1">C49+C53+C55</f>
        <v>0</v>
      </c>
      <c r="D48" s="1272"/>
      <c r="E48" s="1273"/>
      <c r="F48" s="1093"/>
      <c r="G48" s="731"/>
      <c r="H48" s="732"/>
      <c r="I48" s="1607" t="s">
        <v>1495</v>
      </c>
      <c r="J48" s="1608" t="s">
        <v>3104</v>
      </c>
      <c r="K48" s="1609" t="s">
        <v>1496</v>
      </c>
      <c r="L48" s="1610">
        <f ca="1">INDIRECT("'数据-取费表'!f"&amp;$G$1)</f>
        <v>45.2</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2020</v>
      </c>
      <c r="K49" s="1609" t="s">
        <v>1500</v>
      </c>
      <c r="L49" s="1613"/>
      <c r="O49" s="1614" t="s">
        <v>1010</v>
      </c>
      <c r="P49" s="1605" t="s">
        <v>1501</v>
      </c>
      <c r="Q49" s="1606">
        <f ca="1">C29</f>
        <v>66388</v>
      </c>
      <c r="R49" s="1606" t="s">
        <v>1494</v>
      </c>
    </row>
    <row r="50" spans="1:18" s="1570" customFormat="1" ht="13.5" thickBot="1">
      <c r="A50" s="1107"/>
      <c r="B50" s="1110"/>
      <c r="C50" s="1278"/>
      <c r="D50" s="1084"/>
      <c r="E50" s="1187" t="s">
        <v>1371</v>
      </c>
      <c r="F50" s="1188">
        <f ca="1">F7</f>
        <v>151095.50000000003</v>
      </c>
      <c r="H50" s="732"/>
      <c r="I50" s="1607" t="s">
        <v>1502</v>
      </c>
      <c r="J50" s="1615">
        <f>SUMPRODUCT((I63:I65=J47)*(J62:L62=J48)*(J63:L65))</f>
        <v>50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50</v>
      </c>
      <c r="K51" s="1620" t="s">
        <v>1506</v>
      </c>
      <c r="L51" s="1621">
        <f ca="1">ROUND(-PV(INDIRECT("'数据-取费表'!h"&amp;$G$1),J51,(C39-C13*C76),0),0)</f>
        <v>-21225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45.18</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45.18</v>
      </c>
      <c r="K53" s="3298" t="s">
        <v>1513</v>
      </c>
      <c r="L53" s="3299"/>
      <c r="O53" s="1604" t="s">
        <v>1014</v>
      </c>
      <c r="P53" s="1605" t="s">
        <v>1514</v>
      </c>
      <c r="Q53" s="1606">
        <f ca="1">Q47+Q48</f>
        <v>103113</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66388</v>
      </c>
      <c r="D56" s="1633"/>
      <c r="E56" s="1634"/>
      <c r="F56" s="1626"/>
      <c r="I56" s="1635" t="s">
        <v>1519</v>
      </c>
      <c r="J56" s="1636" t="s">
        <v>3062</v>
      </c>
      <c r="K56" s="1607" t="s">
        <v>1520</v>
      </c>
      <c r="L56" s="1610" t="str">
        <f ca="1">IF(L48&lt;J51,"——",L48-J53)</f>
        <v>——</v>
      </c>
      <c r="O56" s="1604" t="s">
        <v>1008</v>
      </c>
      <c r="P56" s="1605" t="s">
        <v>1493</v>
      </c>
      <c r="Q56" s="1606">
        <f ca="1">C40+J29</f>
        <v>103113</v>
      </c>
      <c r="R56" s="1606" t="s">
        <v>1494</v>
      </c>
    </row>
    <row r="57" spans="1:18" s="1570" customFormat="1" ht="24.75" thickBot="1">
      <c r="A57" s="1637"/>
      <c r="B57" s="1081" t="s">
        <v>1443</v>
      </c>
      <c r="C57" s="244">
        <f ca="1">C29</f>
        <v>66388</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7034</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5607</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5576.59</v>
      </c>
      <c r="D61" s="1556" t="s">
        <v>1403</v>
      </c>
      <c r="E61" s="1081" t="s">
        <v>1459</v>
      </c>
      <c r="F61" s="328">
        <f t="shared" si="0"/>
        <v>0.12</v>
      </c>
      <c r="I61" s="1647"/>
      <c r="J61" s="1647"/>
      <c r="K61" s="1647"/>
      <c r="L61" s="1647"/>
      <c r="O61" s="1614" t="s">
        <v>1013</v>
      </c>
      <c r="P61" s="1605" t="str">
        <f>K59</f>
        <v>续建工期及建筑物耐用年限下的土地年期修正系数Kn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30.33</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103113</v>
      </c>
      <c r="R62" s="1606" t="s">
        <v>1015</v>
      </c>
    </row>
    <row r="63" spans="1:18" s="1570" customFormat="1" ht="13.5" thickBot="1">
      <c r="A63" s="332"/>
      <c r="B63" s="1087"/>
      <c r="C63" s="29"/>
      <c r="D63" s="1097"/>
      <c r="E63" s="1081" t="s">
        <v>1464</v>
      </c>
      <c r="F63" s="309">
        <f t="shared" ca="1" si="0"/>
        <v>101087.14</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1327.8</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99.6</v>
      </c>
      <c r="D65" s="1095" t="s">
        <v>1419</v>
      </c>
      <c r="E65" s="1081" t="s">
        <v>1420</v>
      </c>
      <c r="F65" s="336">
        <f t="shared" ca="1" si="0"/>
        <v>1.5E-3</v>
      </c>
      <c r="I65" s="1648" t="s">
        <v>1544</v>
      </c>
      <c r="J65" s="1649">
        <v>40</v>
      </c>
      <c r="K65" s="1649">
        <v>30</v>
      </c>
      <c r="L65" s="1649">
        <v>50</v>
      </c>
      <c r="M65" s="1651">
        <v>0.02</v>
      </c>
      <c r="O65" s="1604" t="s">
        <v>1008</v>
      </c>
      <c r="P65" s="1605" t="s">
        <v>1545</v>
      </c>
      <c r="Q65" s="1606">
        <f ca="1">C40+J29</f>
        <v>103113</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-7034</v>
      </c>
      <c r="D67" s="1094" t="s">
        <v>1429</v>
      </c>
      <c r="E67" s="1099"/>
      <c r="F67" s="1100"/>
      <c r="O67" s="1614" t="s">
        <v>1010</v>
      </c>
      <c r="P67" s="1605" t="s">
        <v>1527</v>
      </c>
      <c r="Q67" s="1652">
        <f ca="1">L51</f>
        <v>-21225</v>
      </c>
      <c r="R67" s="1606" t="s">
        <v>1547</v>
      </c>
    </row>
    <row r="68" spans="1:18" s="1570" customFormat="1" ht="16.5" thickBot="1">
      <c r="A68" s="1078" t="s">
        <v>1000</v>
      </c>
      <c r="B68" s="1079" t="s">
        <v>1450</v>
      </c>
      <c r="C68" s="307">
        <f ca="1">ROUND(C67*(1-((1+F70)/(1+F68))^F69)/(F68-F70),0)</f>
        <v>-125160</v>
      </c>
      <c r="D68" s="1096" t="s">
        <v>1434</v>
      </c>
      <c r="E68" s="1081" t="s">
        <v>1435</v>
      </c>
      <c r="F68" s="318">
        <f ca="1">F40</f>
        <v>0.05</v>
      </c>
      <c r="O68" s="1614" t="s">
        <v>1011</v>
      </c>
      <c r="P68" s="1653" t="s">
        <v>1548</v>
      </c>
      <c r="Q68" s="1606">
        <f ca="1">ROUND(Q69-Q70*Q71,0)</f>
        <v>-1074</v>
      </c>
      <c r="R68" s="1606" t="s">
        <v>1019</v>
      </c>
    </row>
    <row r="69" spans="1:18" s="1570" customFormat="1" ht="13.5" thickBot="1">
      <c r="A69" s="1082"/>
      <c r="B69" s="1083"/>
      <c r="C69" s="312"/>
      <c r="D69" s="1101" t="s">
        <v>1438</v>
      </c>
      <c r="E69" s="1081" t="s">
        <v>1439</v>
      </c>
      <c r="F69" s="339">
        <f ca="1">F41</f>
        <v>45.18</v>
      </c>
      <c r="O69" s="1614" t="s">
        <v>1016</v>
      </c>
      <c r="P69" s="1653" t="s">
        <v>1549</v>
      </c>
      <c r="Q69" s="1606">
        <f ca="1">C39</f>
        <v>4237</v>
      </c>
      <c r="R69" s="1606" t="s">
        <v>1494</v>
      </c>
    </row>
    <row r="70" spans="1:18" s="1570" customFormat="1" ht="13.5" thickBot="1">
      <c r="A70" s="1085"/>
      <c r="B70" s="1086"/>
      <c r="C70" s="316"/>
      <c r="D70" s="1097"/>
      <c r="E70" s="1081" t="s">
        <v>1442</v>
      </c>
      <c r="F70" s="1185"/>
      <c r="O70" s="1614" t="s">
        <v>1017</v>
      </c>
      <c r="P70" s="1653" t="s">
        <v>1550</v>
      </c>
      <c r="Q70" s="1606">
        <f ca="1">C13</f>
        <v>66388</v>
      </c>
      <c r="R70" s="1606" t="s">
        <v>1494</v>
      </c>
    </row>
    <row r="71" spans="1:18" s="1570" customFormat="1" ht="13.5" thickBot="1">
      <c r="A71" s="1102" t="s">
        <v>1001</v>
      </c>
      <c r="B71" s="1103" t="s">
        <v>1452</v>
      </c>
      <c r="C71" s="342">
        <f ca="1">ROUND(C68*10000/F71,0)</f>
        <v>-8284</v>
      </c>
      <c r="D71" s="1104" t="s">
        <v>1453</v>
      </c>
      <c r="E71" s="1105" t="s">
        <v>1454</v>
      </c>
      <c r="F71" s="345">
        <f ca="1">F43</f>
        <v>151095.50000000003</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#DIV/0!</v>
      </c>
      <c r="R74" s="1606" t="s">
        <v>1534</v>
      </c>
    </row>
    <row r="75" spans="1:18" ht="13.5" thickBot="1">
      <c r="A75" s="1570"/>
      <c r="B75" s="346" t="s">
        <v>1471</v>
      </c>
      <c r="C75" s="347">
        <f ca="1">ROUND(C13*C76,0)</f>
        <v>5311</v>
      </c>
      <c r="D75" s="1570"/>
      <c r="E75" s="1570"/>
      <c r="F75" s="1570"/>
      <c r="K75" s="1588"/>
      <c r="L75" s="1570"/>
      <c r="O75" s="1604" t="s">
        <v>1014</v>
      </c>
      <c r="P75" s="1605" t="s">
        <v>1514</v>
      </c>
      <c r="Q75" s="1606">
        <f ca="1">Q65+Q66</f>
        <v>103113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-0.25299999999999989</v>
      </c>
    </row>
    <row r="80" spans="1:18">
      <c r="B80" s="346" t="s">
        <v>1476</v>
      </c>
      <c r="C80" s="280">
        <f ca="1">ROUND(C75/C39,3)</f>
        <v>1.2529999999999999</v>
      </c>
    </row>
    <row r="81" spans="2:3">
      <c r="B81" s="276" t="s">
        <v>1477</v>
      </c>
      <c r="C81" s="244"/>
    </row>
    <row r="82" spans="2:3">
      <c r="B82" s="279" t="s">
        <v>1478</v>
      </c>
      <c r="C82" s="281">
        <f ca="1">1-C83</f>
        <v>0.35599999999999998</v>
      </c>
    </row>
    <row r="83" spans="2:3">
      <c r="B83" s="279" t="s">
        <v>1479</v>
      </c>
      <c r="C83" s="280">
        <f ca="1">ROUND(C13/C40,3)</f>
        <v>0.64400000000000002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-2.0000000000000018E-2</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2846</v>
      </c>
      <c r="E6" s="308" t="s">
        <v>1370</v>
      </c>
      <c r="F6" s="309">
        <f ca="1">INDIRECT("'数据-取费表'!u"&amp;$G$1)</f>
        <v>0</v>
      </c>
      <c r="G6" s="1570"/>
      <c r="H6" s="1201" t="s">
        <v>1003</v>
      </c>
      <c r="I6" s="3300" t="s">
        <v>1368</v>
      </c>
      <c r="J6" s="307">
        <f ca="1">ROUND(M6*M8*M7*(1-M9),0)</f>
        <v>0</v>
      </c>
      <c r="K6" s="1562" t="s">
        <v>2847</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0.01</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0.01</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3</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-2.0000000000000018E-2</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-2.0000000000000018E-2</v>
      </c>
      <c r="K53" s="3298" t="s">
        <v>1513</v>
      </c>
      <c r="L53" s="329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2150</v>
      </c>
      <c r="B2" s="2059">
        <f ca="1">SUMIF(B6:B13,"&lt;&gt;#ref!",B6:B13)</f>
        <v>103113</v>
      </c>
      <c r="C2" s="2060" t="s">
        <v>2339</v>
      </c>
      <c r="D2" s="2061" t="s">
        <v>2340</v>
      </c>
      <c r="E2" s="2835">
        <f>SUM(E6:E13)</f>
        <v>177117.85000000003</v>
      </c>
      <c r="F2" s="2938"/>
      <c r="G2" s="1676"/>
      <c r="H2" s="1676"/>
      <c r="I2" s="1676"/>
      <c r="J2" s="1676"/>
      <c r="K2" s="1676"/>
      <c r="L2" s="1676"/>
      <c r="M2" s="1676"/>
      <c r="N2" s="1676"/>
      <c r="O2" s="1676"/>
      <c r="P2" s="1676"/>
      <c r="Q2" s="1676"/>
      <c r="R2" s="1676"/>
      <c r="S2" s="1676"/>
    </row>
    <row r="3" spans="1:22" ht="15.75">
      <c r="A3" s="2058" t="s">
        <v>1360</v>
      </c>
      <c r="B3" s="2829">
        <f ca="1">ROUND(B2*10000/E2,0)</f>
        <v>5822</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303" t="s">
        <v>2342</v>
      </c>
      <c r="C5" s="3304"/>
      <c r="D5" s="2939"/>
      <c r="E5" s="2062" t="s">
        <v>2343</v>
      </c>
      <c r="F5" s="2063" t="s">
        <v>2344</v>
      </c>
      <c r="G5" s="1676"/>
      <c r="H5" s="1676"/>
      <c r="I5" s="1676"/>
      <c r="J5" s="1676"/>
      <c r="K5" s="1676"/>
      <c r="L5" s="1676"/>
      <c r="M5" s="1676"/>
      <c r="N5" s="1676"/>
      <c r="O5" s="1676"/>
      <c r="P5" s="1676"/>
      <c r="Q5" s="1676"/>
      <c r="R5" s="1676"/>
      <c r="S5" s="1676"/>
    </row>
    <row r="6" spans="1:22">
      <c r="A6" s="2832" t="str">
        <f>'数据-取费表'!AN6</f>
        <v>收益法</v>
      </c>
      <c r="B6" s="2830">
        <f ca="1">IF(F6="是",'数据-取费表'!AO6,0)</f>
        <v>103113</v>
      </c>
      <c r="C6" s="2060" t="s">
        <v>2339</v>
      </c>
      <c r="D6" s="2940"/>
      <c r="E6" s="2834">
        <f>IF(OR(A6=0,F6="否"),0,'数据-取费表'!K6+'数据-取费表'!S6)</f>
        <v>177117.85000000003</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11" t="s">
        <v>1045</v>
      </c>
      <c r="B2" s="3312" t="s">
        <v>1046</v>
      </c>
      <c r="C2" s="3312"/>
      <c r="D2" s="1211" t="s">
        <v>1047</v>
      </c>
      <c r="E2" s="1211" t="s">
        <v>1048</v>
      </c>
      <c r="F2" s="1211" t="s">
        <v>1049</v>
      </c>
      <c r="G2" s="1211" t="s">
        <v>1050</v>
      </c>
      <c r="H2" s="1211" t="s">
        <v>1051</v>
      </c>
      <c r="I2" s="1212" t="s">
        <v>1052</v>
      </c>
    </row>
    <row r="3" spans="1:9">
      <c r="A3" s="3311"/>
      <c r="B3" s="3312" t="s">
        <v>1053</v>
      </c>
      <c r="C3" s="3312"/>
      <c r="D3" s="1213"/>
      <c r="E3" s="1211"/>
      <c r="F3" s="1214"/>
      <c r="G3" s="1214"/>
      <c r="H3" s="1215"/>
      <c r="I3" s="1216">
        <f>ROUND(D3*E3*F3*G3*H3/10000,0)</f>
        <v>0</v>
      </c>
    </row>
    <row r="4" spans="1:9">
      <c r="A4" s="3311"/>
      <c r="B4" s="3312" t="s">
        <v>1054</v>
      </c>
      <c r="C4" s="3312"/>
      <c r="D4" s="1213"/>
      <c r="E4" s="1211"/>
      <c r="F4" s="1214"/>
      <c r="G4" s="1214"/>
      <c r="H4" s="1215"/>
      <c r="I4" s="1216">
        <f t="shared" ref="I4:I9" si="0">ROUND(D4*E4*F4*G4*H4/10000,0)</f>
        <v>0</v>
      </c>
    </row>
    <row r="5" spans="1:9">
      <c r="A5" s="3311"/>
      <c r="B5" s="3312" t="s">
        <v>1055</v>
      </c>
      <c r="C5" s="3312"/>
      <c r="D5" s="1213"/>
      <c r="E5" s="1211"/>
      <c r="F5" s="1214"/>
      <c r="G5" s="1214"/>
      <c r="H5" s="1215"/>
      <c r="I5" s="1216">
        <f t="shared" si="0"/>
        <v>0</v>
      </c>
    </row>
    <row r="6" spans="1:9">
      <c r="A6" s="3311"/>
      <c r="B6" s="3312" t="s">
        <v>1056</v>
      </c>
      <c r="C6" s="3312"/>
      <c r="D6" s="1213"/>
      <c r="E6" s="1211"/>
      <c r="F6" s="1214"/>
      <c r="G6" s="1214"/>
      <c r="H6" s="1215"/>
      <c r="I6" s="1216">
        <f t="shared" si="0"/>
        <v>0</v>
      </c>
    </row>
    <row r="7" spans="1:9">
      <c r="A7" s="3311"/>
      <c r="B7" s="3312" t="s">
        <v>1057</v>
      </c>
      <c r="C7" s="3312"/>
      <c r="D7" s="1213"/>
      <c r="E7" s="1211"/>
      <c r="F7" s="1214"/>
      <c r="G7" s="1214"/>
      <c r="H7" s="1215"/>
      <c r="I7" s="1216">
        <f t="shared" si="0"/>
        <v>0</v>
      </c>
    </row>
    <row r="8" spans="1:9">
      <c r="A8" s="3311"/>
      <c r="B8" s="3312" t="s">
        <v>1058</v>
      </c>
      <c r="C8" s="3312"/>
      <c r="D8" s="1213"/>
      <c r="E8" s="1211"/>
      <c r="F8" s="1214"/>
      <c r="G8" s="1214"/>
      <c r="H8" s="1215"/>
      <c r="I8" s="1216">
        <f t="shared" si="0"/>
        <v>0</v>
      </c>
    </row>
    <row r="9" spans="1:9">
      <c r="A9" s="3311"/>
      <c r="B9" s="3312" t="s">
        <v>1059</v>
      </c>
      <c r="C9" s="3312"/>
      <c r="D9" s="1213"/>
      <c r="E9" s="1211"/>
      <c r="F9" s="1214"/>
      <c r="G9" s="1214"/>
      <c r="H9" s="1215"/>
      <c r="I9" s="1216">
        <f t="shared" si="0"/>
        <v>0</v>
      </c>
    </row>
    <row r="10" spans="1:9">
      <c r="A10" s="3311"/>
      <c r="B10" s="3313" t="s">
        <v>1060</v>
      </c>
      <c r="C10" s="3313"/>
      <c r="D10" s="1217"/>
      <c r="E10" s="1217" t="e">
        <f>ROUND(D1*10000/D10/H9,0)</f>
        <v>#DIV/0!</v>
      </c>
      <c r="F10" s="1218"/>
      <c r="G10" s="1218"/>
      <c r="H10" s="1219"/>
      <c r="I10" s="1220">
        <f>SUM(I3:I9)</f>
        <v>0</v>
      </c>
    </row>
    <row r="11" spans="1:9" ht="14.25">
      <c r="A11" s="3311" t="s">
        <v>1061</v>
      </c>
      <c r="B11" s="3312" t="s">
        <v>1062</v>
      </c>
      <c r="C11" s="3312"/>
      <c r="D11" s="1213" t="s">
        <v>1063</v>
      </c>
      <c r="E11" s="1213" t="s">
        <v>1064</v>
      </c>
      <c r="F11" s="1214" t="s">
        <v>1065</v>
      </c>
      <c r="G11" s="1214" t="s">
        <v>1051</v>
      </c>
      <c r="H11" s="1221" t="s">
        <v>1066</v>
      </c>
      <c r="I11" s="1212" t="s">
        <v>1052</v>
      </c>
    </row>
    <row r="12" spans="1:9">
      <c r="A12" s="3311"/>
      <c r="B12" s="3312" t="s">
        <v>1067</v>
      </c>
      <c r="C12" s="3312"/>
      <c r="D12" s="1213"/>
      <c r="E12" s="1213"/>
      <c r="F12" s="1214"/>
      <c r="G12" s="1215"/>
      <c r="H12" s="1222"/>
      <c r="I12" s="1212">
        <f>ROUND(D12*E12*F12*G12/10000,0)</f>
        <v>0</v>
      </c>
    </row>
    <row r="13" spans="1:9">
      <c r="A13" s="3311"/>
      <c r="B13" s="3312" t="s">
        <v>1068</v>
      </c>
      <c r="C13" s="3312"/>
      <c r="D13" s="1213"/>
      <c r="E13" s="1213"/>
      <c r="F13" s="1214"/>
      <c r="G13" s="1215"/>
      <c r="H13" s="1222"/>
      <c r="I13" s="1212">
        <f>ROUND(D13*E13*F13*G13/10000,0)</f>
        <v>0</v>
      </c>
    </row>
    <row r="14" spans="1:9">
      <c r="A14" s="3311"/>
      <c r="B14" s="3312" t="s">
        <v>1069</v>
      </c>
      <c r="C14" s="3312"/>
      <c r="D14" s="1213"/>
      <c r="E14" s="1213"/>
      <c r="F14" s="1214"/>
      <c r="G14" s="1215"/>
      <c r="H14" s="1222"/>
      <c r="I14" s="1212">
        <f>ROUND(D14*E14*F14*G14/10000,0)</f>
        <v>0</v>
      </c>
    </row>
    <row r="15" spans="1:9">
      <c r="A15" s="3311"/>
      <c r="B15" s="3313" t="s">
        <v>1060</v>
      </c>
      <c r="C15" s="3313"/>
      <c r="D15" s="1217"/>
      <c r="E15" s="1217">
        <f>SUM(E12:E14)</f>
        <v>0</v>
      </c>
      <c r="F15" s="1218"/>
      <c r="G15" s="1215"/>
      <c r="H15" s="1222"/>
      <c r="I15" s="1223">
        <f>SUM(I12:I14)</f>
        <v>0</v>
      </c>
    </row>
    <row r="16" spans="1:9" ht="24">
      <c r="A16" s="3311" t="s">
        <v>1070</v>
      </c>
      <c r="B16" s="3312" t="s">
        <v>1071</v>
      </c>
      <c r="C16" s="3312"/>
      <c r="D16" s="1213" t="s">
        <v>1047</v>
      </c>
      <c r="E16" s="1224" t="s">
        <v>1072</v>
      </c>
      <c r="F16" s="1214" t="s">
        <v>1073</v>
      </c>
      <c r="G16" s="1215" t="s">
        <v>1051</v>
      </c>
      <c r="H16" s="1221" t="s">
        <v>1066</v>
      </c>
      <c r="I16" s="1212" t="s">
        <v>1052</v>
      </c>
    </row>
    <row r="17" spans="1:9" ht="14.25">
      <c r="A17" s="3311"/>
      <c r="B17" s="3312" t="s">
        <v>1074</v>
      </c>
      <c r="C17" s="3312"/>
      <c r="D17" s="1213"/>
      <c r="E17" s="1213"/>
      <c r="F17" s="1214"/>
      <c r="G17" s="1215"/>
      <c r="H17" s="1225"/>
      <c r="I17" s="1226">
        <f>ROUND(D17*E17*F17*G17/10000,0)</f>
        <v>0</v>
      </c>
    </row>
    <row r="18" spans="1:9" ht="14.25">
      <c r="A18" s="3311"/>
      <c r="B18" s="3312" t="s">
        <v>1075</v>
      </c>
      <c r="C18" s="3312"/>
      <c r="D18" s="1213"/>
      <c r="E18" s="1213"/>
      <c r="F18" s="1214"/>
      <c r="G18" s="1215"/>
      <c r="H18" s="1225"/>
      <c r="I18" s="1226">
        <f>ROUND(D18*E18*F18*G18/10000,0)</f>
        <v>0</v>
      </c>
    </row>
    <row r="19" spans="1:9" ht="14.25">
      <c r="A19" s="3311"/>
      <c r="B19" s="3312" t="s">
        <v>1076</v>
      </c>
      <c r="C19" s="3312"/>
      <c r="D19" s="1213"/>
      <c r="E19" s="1213"/>
      <c r="F19" s="1214"/>
      <c r="G19" s="1215"/>
      <c r="H19" s="1225"/>
      <c r="I19" s="1226">
        <f>ROUND(D19*E19*F19*G19/10000,0)</f>
        <v>0</v>
      </c>
    </row>
    <row r="20" spans="1:9">
      <c r="A20" s="3311"/>
      <c r="B20" s="3313" t="s">
        <v>1060</v>
      </c>
      <c r="C20" s="3313"/>
      <c r="D20" s="1217">
        <f>SUM(D17:D19)</f>
        <v>0</v>
      </c>
      <c r="E20" s="1217"/>
      <c r="F20" s="1218"/>
      <c r="G20" s="1215"/>
      <c r="H20" s="1222"/>
      <c r="I20" s="1223">
        <f>SUM(I17:I19)</f>
        <v>0</v>
      </c>
    </row>
    <row r="21" spans="1:9">
      <c r="A21" s="3311"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08">
        <f>C27-C30-C31-C32</f>
        <v>0</v>
      </c>
      <c r="F26" s="3308"/>
      <c r="G26" s="3308"/>
      <c r="H26" s="1501" t="s">
        <v>1306</v>
      </c>
    </row>
    <row r="27" spans="1:9">
      <c r="A27" s="1234">
        <v>1</v>
      </c>
      <c r="B27" s="1235" t="s">
        <v>1086</v>
      </c>
      <c r="C27" s="1235">
        <f>C28+C29</f>
        <v>0</v>
      </c>
      <c r="D27" s="1235"/>
      <c r="E27" s="3309"/>
      <c r="F27" s="3309"/>
      <c r="G27" s="3309"/>
    </row>
    <row r="28" spans="1:9">
      <c r="A28" s="1236" t="s">
        <v>1087</v>
      </c>
      <c r="B28" s="1235" t="s">
        <v>1088</v>
      </c>
      <c r="C28" s="1235"/>
      <c r="D28" s="1235"/>
      <c r="E28" s="3309"/>
      <c r="F28" s="3309"/>
      <c r="G28" s="33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05" t="s">
        <v>1097</v>
      </c>
      <c r="B33" s="3306"/>
      <c r="C33" s="3306"/>
      <c r="D33" s="3307"/>
      <c r="E33" s="3308"/>
      <c r="F33" s="3308"/>
      <c r="G33" s="3308"/>
    </row>
    <row r="34" spans="1:7" hidden="1">
      <c r="A34" s="1238">
        <v>1</v>
      </c>
      <c r="B34" s="1235" t="s">
        <v>1098</v>
      </c>
      <c r="C34" s="1235"/>
      <c r="D34" s="1235"/>
      <c r="E34" s="3309"/>
      <c r="F34" s="3309"/>
      <c r="G34" s="3309"/>
    </row>
    <row r="35" spans="1:7" hidden="1">
      <c r="A35" s="1238">
        <v>2</v>
      </c>
      <c r="B35" s="1235" t="s">
        <v>1099</v>
      </c>
      <c r="C35" s="1235"/>
      <c r="D35" s="1235"/>
      <c r="E35" s="3309"/>
      <c r="F35" s="3309"/>
      <c r="G35" s="3309"/>
    </row>
    <row r="36" spans="1:7" hidden="1">
      <c r="A36" s="1238">
        <v>3</v>
      </c>
      <c r="B36" s="1235" t="s">
        <v>1100</v>
      </c>
      <c r="C36" s="1235"/>
      <c r="D36" s="1235"/>
      <c r="E36" s="3309"/>
      <c r="F36" s="3309"/>
      <c r="G36" s="3309"/>
    </row>
    <row r="37" spans="1:7" hidden="1">
      <c r="A37" s="1238">
        <v>4</v>
      </c>
      <c r="B37" s="1235" t="s">
        <v>1101</v>
      </c>
      <c r="C37" s="1235"/>
      <c r="D37" s="1235"/>
      <c r="E37" s="3309"/>
      <c r="F37" s="3309"/>
      <c r="G37" s="3309"/>
    </row>
    <row r="38" spans="1:7" hidden="1">
      <c r="A38" s="3305" t="s">
        <v>1102</v>
      </c>
      <c r="B38" s="3306"/>
      <c r="C38" s="3306"/>
      <c r="D38" s="3307"/>
      <c r="E38" s="3308"/>
      <c r="F38" s="3308"/>
      <c r="G38" s="33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177117.85000000003</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344" t="s">
        <v>2356</v>
      </c>
      <c r="D4" s="3345"/>
      <c r="E4" s="3346" t="s">
        <v>2357</v>
      </c>
      <c r="F4" s="3347"/>
      <c r="G4" s="3344" t="s">
        <v>2358</v>
      </c>
      <c r="H4" s="3345"/>
      <c r="I4" s="3344" t="s">
        <v>2359</v>
      </c>
      <c r="J4" s="3345"/>
      <c r="K4" s="2077" t="s">
        <v>2360</v>
      </c>
      <c r="L4" s="2946"/>
      <c r="M4" s="2947"/>
      <c r="N4" s="2947"/>
      <c r="O4" s="2947"/>
      <c r="P4" s="3348" t="s">
        <v>2361</v>
      </c>
      <c r="Q4" s="3349"/>
      <c r="R4" s="3354" t="s">
        <v>2357</v>
      </c>
      <c r="S4" s="3355"/>
      <c r="T4" s="3354" t="s">
        <v>2358</v>
      </c>
      <c r="U4" s="3355"/>
      <c r="V4" s="3360" t="s">
        <v>2359</v>
      </c>
      <c r="W4" s="3360"/>
      <c r="X4" s="1541"/>
      <c r="Y4" s="3354" t="s">
        <v>2361</v>
      </c>
      <c r="Z4" s="3355"/>
      <c r="AA4" s="3341" t="s">
        <v>2357</v>
      </c>
      <c r="AB4" s="3341" t="s">
        <v>2358</v>
      </c>
      <c r="AC4" s="3341" t="s">
        <v>2359</v>
      </c>
    </row>
    <row r="5" spans="1:29" ht="15">
      <c r="A5" s="364"/>
      <c r="B5" s="365"/>
      <c r="C5" s="3363" t="s">
        <v>2362</v>
      </c>
      <c r="D5" s="3364"/>
      <c r="E5" s="3370" t="s">
        <v>2363</v>
      </c>
      <c r="F5" s="3371"/>
      <c r="G5" s="3363" t="s">
        <v>2364</v>
      </c>
      <c r="H5" s="3364"/>
      <c r="I5" s="3363" t="s">
        <v>2365</v>
      </c>
      <c r="J5" s="3364"/>
      <c r="K5" s="2078"/>
      <c r="L5" s="2946"/>
      <c r="M5" s="2947"/>
      <c r="N5" s="2947"/>
      <c r="O5" s="2947"/>
      <c r="P5" s="3350"/>
      <c r="Q5" s="3351"/>
      <c r="R5" s="3356"/>
      <c r="S5" s="3357"/>
      <c r="T5" s="3356"/>
      <c r="U5" s="3357"/>
      <c r="V5" s="3360"/>
      <c r="W5" s="3360"/>
      <c r="X5" s="1541"/>
      <c r="Y5" s="3356"/>
      <c r="Z5" s="3357"/>
      <c r="AA5" s="3342"/>
      <c r="AB5" s="3342"/>
      <c r="AC5" s="3342"/>
    </row>
    <row r="6" spans="1:29" ht="15.75" thickBot="1">
      <c r="A6" s="366"/>
      <c r="B6" s="367"/>
      <c r="C6" s="3361" t="s">
        <v>2366</v>
      </c>
      <c r="D6" s="3362"/>
      <c r="E6" s="3368" t="s">
        <v>2366</v>
      </c>
      <c r="F6" s="3369"/>
      <c r="G6" s="3361" t="s">
        <v>2366</v>
      </c>
      <c r="H6" s="3362"/>
      <c r="I6" s="3361" t="s">
        <v>2366</v>
      </c>
      <c r="J6" s="3362"/>
      <c r="K6" s="2078" t="s">
        <v>2367</v>
      </c>
      <c r="L6" s="2946"/>
      <c r="M6" s="2947"/>
      <c r="N6" s="2947"/>
      <c r="O6" s="2947"/>
      <c r="P6" s="3352"/>
      <c r="Q6" s="3353"/>
      <c r="R6" s="3356"/>
      <c r="S6" s="3357"/>
      <c r="T6" s="3358"/>
      <c r="U6" s="3359"/>
      <c r="V6" s="3360"/>
      <c r="W6" s="3360"/>
      <c r="X6" s="1541"/>
      <c r="Y6" s="3358"/>
      <c r="Z6" s="3359"/>
      <c r="AA6" s="3343"/>
      <c r="AB6" s="3343"/>
      <c r="AC6" s="3343"/>
    </row>
    <row r="7" spans="1:29" s="113" customFormat="1" ht="15.75" thickBot="1">
      <c r="A7" s="368" t="s">
        <v>2368</v>
      </c>
      <c r="B7" s="369"/>
      <c r="C7" s="370">
        <f>'数据-取费表'!B2</f>
        <v>44074</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65" t="s">
        <v>2369</v>
      </c>
      <c r="Q7" s="3367"/>
      <c r="R7" s="710" t="s">
        <v>23</v>
      </c>
      <c r="S7" s="711">
        <f t="shared" ref="S7:S15" si="0">F7</f>
        <v>0</v>
      </c>
      <c r="T7" s="710" t="s">
        <v>23</v>
      </c>
      <c r="U7" s="711">
        <f t="shared" ref="U7:U15" si="1">H7</f>
        <v>0</v>
      </c>
      <c r="V7" s="710" t="s">
        <v>23</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65" t="s">
        <v>2372</v>
      </c>
      <c r="Q8" s="3366"/>
      <c r="R8" s="710" t="s">
        <v>23</v>
      </c>
      <c r="S8" s="711">
        <f t="shared" si="0"/>
        <v>0</v>
      </c>
      <c r="T8" s="710" t="s">
        <v>23</v>
      </c>
      <c r="U8" s="711">
        <f t="shared" si="1"/>
        <v>0</v>
      </c>
      <c r="V8" s="710" t="s">
        <v>23</v>
      </c>
      <c r="W8" s="711">
        <f t="shared" si="2"/>
        <v>0</v>
      </c>
      <c r="X8" s="712"/>
      <c r="Y8" s="3365" t="s">
        <v>2372</v>
      </c>
      <c r="Z8" s="336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40"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40"/>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40"/>
      <c r="Q11" s="1529" t="str">
        <f t="shared" si="6"/>
        <v>容积率</v>
      </c>
      <c r="R11" s="710" t="s">
        <v>21</v>
      </c>
      <c r="S11" s="711" t="e">
        <f t="shared" si="0"/>
        <v>#N/A</v>
      </c>
      <c r="T11" s="710" t="s">
        <v>21</v>
      </c>
      <c r="U11" s="711" t="e">
        <f t="shared" si="1"/>
        <v>#N/A</v>
      </c>
      <c r="V11" s="710" t="s">
        <v>21</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40"/>
      <c r="Q12" s="1529">
        <f t="shared" si="6"/>
        <v>111</v>
      </c>
      <c r="R12" s="710" t="s">
        <v>21</v>
      </c>
      <c r="S12" s="711">
        <f t="shared" si="0"/>
        <v>100</v>
      </c>
      <c r="T12" s="710" t="s">
        <v>21</v>
      </c>
      <c r="U12" s="711">
        <f t="shared" si="1"/>
        <v>100</v>
      </c>
      <c r="V12" s="710" t="s">
        <v>21</v>
      </c>
      <c r="W12" s="711">
        <f t="shared" si="2"/>
        <v>100</v>
      </c>
      <c r="X12" s="712"/>
      <c r="Y12" s="3199"/>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40"/>
      <c r="Q13" s="1529">
        <f t="shared" si="6"/>
        <v>111</v>
      </c>
      <c r="R13" s="710" t="s">
        <v>21</v>
      </c>
      <c r="S13" s="711">
        <f t="shared" si="0"/>
        <v>100</v>
      </c>
      <c r="T13" s="710" t="s">
        <v>21</v>
      </c>
      <c r="U13" s="711">
        <f t="shared" si="1"/>
        <v>100</v>
      </c>
      <c r="V13" s="710" t="s">
        <v>21</v>
      </c>
      <c r="W13" s="711">
        <f t="shared" si="2"/>
        <v>100</v>
      </c>
      <c r="X13" s="712"/>
      <c r="Y13" s="3199"/>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40"/>
      <c r="Q14" s="1529">
        <f t="shared" si="6"/>
        <v>111</v>
      </c>
      <c r="R14" s="710" t="s">
        <v>21</v>
      </c>
      <c r="S14" s="711">
        <f t="shared" si="0"/>
        <v>100</v>
      </c>
      <c r="T14" s="710" t="s">
        <v>21</v>
      </c>
      <c r="U14" s="711">
        <f t="shared" si="1"/>
        <v>100</v>
      </c>
      <c r="V14" s="710" t="s">
        <v>21</v>
      </c>
      <c r="W14" s="711">
        <f t="shared" si="2"/>
        <v>100</v>
      </c>
      <c r="X14" s="712"/>
      <c r="Y14" s="3199"/>
      <c r="Z14" s="55">
        <f t="shared" si="7"/>
        <v>111</v>
      </c>
      <c r="AA14" s="713">
        <f t="shared" si="3"/>
        <v>1</v>
      </c>
      <c r="AB14" s="713">
        <f t="shared" si="4"/>
        <v>1</v>
      </c>
      <c r="AC14" s="713">
        <f t="shared" si="5"/>
        <v>1</v>
      </c>
    </row>
    <row r="15" spans="1:29" ht="99.75">
      <c r="A15" s="399" t="s">
        <v>2379</v>
      </c>
      <c r="B15" s="65" t="s">
        <v>1945</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38" t="s">
        <v>2380</v>
      </c>
      <c r="Q15" s="1538" t="str">
        <f t="shared" si="6"/>
        <v>居住社区成熟度</v>
      </c>
      <c r="R15" s="714" t="s">
        <v>21</v>
      </c>
      <c r="S15" s="715">
        <f t="shared" si="0"/>
        <v>100</v>
      </c>
      <c r="T15" s="714" t="s">
        <v>21</v>
      </c>
      <c r="U15" s="715">
        <f t="shared" si="1"/>
        <v>100</v>
      </c>
      <c r="V15" s="714" t="s">
        <v>21</v>
      </c>
      <c r="W15" s="715">
        <f t="shared" si="2"/>
        <v>100</v>
      </c>
      <c r="X15" s="1541"/>
      <c r="Y15" s="3331"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39"/>
      <c r="Q16" s="1538"/>
      <c r="R16" s="714"/>
      <c r="S16" s="715"/>
      <c r="T16" s="714"/>
      <c r="U16" s="715"/>
      <c r="V16" s="714"/>
      <c r="W16" s="715"/>
      <c r="X16" s="1541"/>
      <c r="Y16" s="3332"/>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39"/>
      <c r="Q17" s="1538" t="str">
        <f>B17</f>
        <v>交通便捷度</v>
      </c>
      <c r="R17" s="714" t="s">
        <v>21</v>
      </c>
      <c r="S17" s="715">
        <f>F17</f>
        <v>100</v>
      </c>
      <c r="T17" s="714" t="s">
        <v>21</v>
      </c>
      <c r="U17" s="715">
        <f>H17</f>
        <v>100</v>
      </c>
      <c r="V17" s="714" t="s">
        <v>21</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39"/>
      <c r="Q18" s="1538"/>
      <c r="R18" s="714"/>
      <c r="S18" s="715"/>
      <c r="T18" s="714"/>
      <c r="U18" s="715"/>
      <c r="V18" s="714"/>
      <c r="W18" s="715"/>
      <c r="X18" s="1541"/>
      <c r="Y18" s="3332"/>
      <c r="Z18" s="1542"/>
      <c r="AA18" s="1539">
        <v>1</v>
      </c>
      <c r="AB18" s="1539">
        <v>1</v>
      </c>
      <c r="AC18" s="1539">
        <v>1</v>
      </c>
    </row>
    <row r="19" spans="1:29" ht="42.75">
      <c r="A19" s="387"/>
      <c r="B19" s="410" t="s">
        <v>1946</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39"/>
      <c r="Q19" s="1538" t="str">
        <f>B19</f>
        <v>公共配套设施</v>
      </c>
      <c r="R19" s="714" t="s">
        <v>21</v>
      </c>
      <c r="S19" s="715">
        <f>F19</f>
        <v>100</v>
      </c>
      <c r="T19" s="714" t="s">
        <v>21</v>
      </c>
      <c r="U19" s="715">
        <f>H19</f>
        <v>100</v>
      </c>
      <c r="V19" s="714" t="s">
        <v>21</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39"/>
      <c r="Q20" s="1538"/>
      <c r="R20" s="714"/>
      <c r="S20" s="715"/>
      <c r="T20" s="714"/>
      <c r="U20" s="715"/>
      <c r="V20" s="714"/>
      <c r="W20" s="715"/>
      <c r="X20" s="1541"/>
      <c r="Y20" s="3332"/>
      <c r="Z20" s="1542"/>
      <c r="AA20" s="1539">
        <v>1</v>
      </c>
      <c r="AB20" s="1539">
        <v>1</v>
      </c>
      <c r="AC20" s="1539">
        <v>1</v>
      </c>
    </row>
    <row r="21" spans="1:29" ht="28.5">
      <c r="A21" s="387"/>
      <c r="B21" s="1293" t="s">
        <v>1948</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39"/>
      <c r="Q22" s="1538"/>
      <c r="R22" s="714"/>
      <c r="S22" s="715"/>
      <c r="T22" s="714"/>
      <c r="U22" s="715"/>
      <c r="V22" s="714"/>
      <c r="W22" s="715"/>
      <c r="X22" s="1541"/>
      <c r="Y22" s="3332"/>
      <c r="Z22" s="1542"/>
      <c r="AA22" s="1539">
        <v>1</v>
      </c>
      <c r="AB22" s="1539">
        <v>1</v>
      </c>
      <c r="AC22" s="1539">
        <v>1</v>
      </c>
    </row>
    <row r="23" spans="1:29" ht="57">
      <c r="A23" s="387"/>
      <c r="B23" s="410" t="s">
        <v>1949</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39"/>
      <c r="Q23" s="1538" t="str">
        <f>B23</f>
        <v>自然及人文环境</v>
      </c>
      <c r="R23" s="714" t="s">
        <v>21</v>
      </c>
      <c r="S23" s="715">
        <f>F23</f>
        <v>100</v>
      </c>
      <c r="T23" s="714" t="s">
        <v>21</v>
      </c>
      <c r="U23" s="715">
        <f>H23</f>
        <v>100</v>
      </c>
      <c r="V23" s="714" t="s">
        <v>21</v>
      </c>
      <c r="W23" s="715">
        <f>J23</f>
        <v>100</v>
      </c>
      <c r="X23" s="1541"/>
      <c r="Y23" s="3332"/>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39"/>
      <c r="Q24" s="1538"/>
      <c r="R24" s="714"/>
      <c r="S24" s="715"/>
      <c r="T24" s="714"/>
      <c r="U24" s="715"/>
      <c r="V24" s="714"/>
      <c r="W24" s="715"/>
      <c r="X24" s="1541"/>
      <c r="Y24" s="3332"/>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3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2"/>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39"/>
      <c r="Q26" s="1538" t="str">
        <f t="shared" si="11"/>
        <v>朝向</v>
      </c>
      <c r="R26" s="714" t="s">
        <v>21</v>
      </c>
      <c r="S26" s="715">
        <f t="shared" si="12"/>
        <v>100</v>
      </c>
      <c r="T26" s="714" t="s">
        <v>21</v>
      </c>
      <c r="U26" s="715">
        <f t="shared" si="13"/>
        <v>100</v>
      </c>
      <c r="V26" s="714" t="s">
        <v>21</v>
      </c>
      <c r="W26" s="715">
        <f t="shared" si="14"/>
        <v>100</v>
      </c>
      <c r="X26" s="1541"/>
      <c r="Y26" s="3332"/>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39"/>
      <c r="Q27" s="1529">
        <f t="shared" si="11"/>
        <v>111</v>
      </c>
      <c r="R27" s="710" t="s">
        <v>21</v>
      </c>
      <c r="S27" s="711">
        <f t="shared" si="12"/>
        <v>100</v>
      </c>
      <c r="T27" s="710" t="s">
        <v>21</v>
      </c>
      <c r="U27" s="711">
        <f t="shared" si="13"/>
        <v>100</v>
      </c>
      <c r="V27" s="710" t="s">
        <v>21</v>
      </c>
      <c r="W27" s="711">
        <f t="shared" si="14"/>
        <v>100</v>
      </c>
      <c r="X27" s="712"/>
      <c r="Y27" s="3332"/>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39"/>
      <c r="Q28" s="1538">
        <f t="shared" si="11"/>
        <v>111</v>
      </c>
      <c r="R28" s="714" t="s">
        <v>21</v>
      </c>
      <c r="S28" s="715">
        <f t="shared" si="12"/>
        <v>100</v>
      </c>
      <c r="T28" s="714" t="s">
        <v>21</v>
      </c>
      <c r="U28" s="715">
        <f t="shared" si="13"/>
        <v>100</v>
      </c>
      <c r="V28" s="714" t="s">
        <v>21</v>
      </c>
      <c r="W28" s="715">
        <f t="shared" si="14"/>
        <v>100</v>
      </c>
      <c r="X28" s="1541"/>
      <c r="Y28" s="3332"/>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39"/>
      <c r="Q29" s="1538">
        <f t="shared" si="11"/>
        <v>111</v>
      </c>
      <c r="R29" s="714" t="s">
        <v>21</v>
      </c>
      <c r="S29" s="715">
        <f t="shared" si="12"/>
        <v>100</v>
      </c>
      <c r="T29" s="714" t="s">
        <v>21</v>
      </c>
      <c r="U29" s="715">
        <f t="shared" si="13"/>
        <v>100</v>
      </c>
      <c r="V29" s="714" t="s">
        <v>21</v>
      </c>
      <c r="W29" s="715">
        <f t="shared" si="14"/>
        <v>100</v>
      </c>
      <c r="X29" s="1541"/>
      <c r="Y29" s="3332"/>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39"/>
      <c r="Q30" s="1538">
        <f t="shared" si="11"/>
        <v>111</v>
      </c>
      <c r="R30" s="714" t="s">
        <v>21</v>
      </c>
      <c r="S30" s="715">
        <f t="shared" si="12"/>
        <v>100</v>
      </c>
      <c r="T30" s="714" t="s">
        <v>21</v>
      </c>
      <c r="U30" s="715">
        <f t="shared" si="13"/>
        <v>100</v>
      </c>
      <c r="V30" s="714" t="s">
        <v>21</v>
      </c>
      <c r="W30" s="715">
        <f t="shared" si="14"/>
        <v>100</v>
      </c>
      <c r="X30" s="1541"/>
      <c r="Y30" s="3332"/>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39"/>
      <c r="Q31" s="1538">
        <f t="shared" si="11"/>
        <v>111</v>
      </c>
      <c r="R31" s="714" t="s">
        <v>21</v>
      </c>
      <c r="S31" s="715">
        <f t="shared" si="12"/>
        <v>100</v>
      </c>
      <c r="T31" s="714" t="s">
        <v>21</v>
      </c>
      <c r="U31" s="715">
        <f t="shared" si="13"/>
        <v>100</v>
      </c>
      <c r="V31" s="714" t="s">
        <v>21</v>
      </c>
      <c r="W31" s="715">
        <f t="shared" si="14"/>
        <v>100</v>
      </c>
      <c r="X31" s="1541"/>
      <c r="Y31" s="3332"/>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33" t="s">
        <v>2385</v>
      </c>
      <c r="Q32" s="1538" t="str">
        <f t="shared" si="11"/>
        <v>建筑类型</v>
      </c>
      <c r="R32" s="714" t="s">
        <v>21</v>
      </c>
      <c r="S32" s="715">
        <f t="shared" si="12"/>
        <v>100</v>
      </c>
      <c r="T32" s="714" t="s">
        <v>21</v>
      </c>
      <c r="U32" s="715">
        <f t="shared" si="13"/>
        <v>100</v>
      </c>
      <c r="V32" s="714" t="s">
        <v>21</v>
      </c>
      <c r="W32" s="715">
        <f t="shared" si="14"/>
        <v>100</v>
      </c>
      <c r="X32" s="1541"/>
      <c r="Y32" s="3336"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34"/>
      <c r="Q33" s="716" t="str">
        <f t="shared" si="11"/>
        <v>项目建筑规模</v>
      </c>
      <c r="R33" s="717" t="s">
        <v>21</v>
      </c>
      <c r="S33" s="718" t="e">
        <f t="shared" si="12"/>
        <v>#N/A</v>
      </c>
      <c r="T33" s="717" t="s">
        <v>21</v>
      </c>
      <c r="U33" s="718" t="e">
        <f t="shared" si="13"/>
        <v>#N/A</v>
      </c>
      <c r="V33" s="717" t="s">
        <v>21</v>
      </c>
      <c r="W33" s="718" t="e">
        <f t="shared" si="14"/>
        <v>#N/A</v>
      </c>
      <c r="X33" s="719"/>
      <c r="Y33" s="3336"/>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34"/>
      <c r="Q34" s="1538" t="str">
        <f t="shared" si="11"/>
        <v>建筑结构</v>
      </c>
      <c r="R34" s="714" t="s">
        <v>21</v>
      </c>
      <c r="S34" s="715">
        <f t="shared" si="12"/>
        <v>100</v>
      </c>
      <c r="T34" s="714" t="s">
        <v>21</v>
      </c>
      <c r="U34" s="715">
        <f t="shared" si="13"/>
        <v>100</v>
      </c>
      <c r="V34" s="714" t="s">
        <v>21</v>
      </c>
      <c r="W34" s="715">
        <f t="shared" si="14"/>
        <v>100</v>
      </c>
      <c r="X34" s="1541"/>
      <c r="Y34" s="3336"/>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34"/>
      <c r="Q35" s="1538" t="str">
        <f t="shared" si="11"/>
        <v>建筑品质</v>
      </c>
      <c r="R35" s="714" t="s">
        <v>21</v>
      </c>
      <c r="S35" s="715">
        <f t="shared" si="12"/>
        <v>100</v>
      </c>
      <c r="T35" s="714" t="s">
        <v>21</v>
      </c>
      <c r="U35" s="715">
        <f t="shared" si="13"/>
        <v>100</v>
      </c>
      <c r="V35" s="714" t="s">
        <v>21</v>
      </c>
      <c r="W35" s="715">
        <f t="shared" si="14"/>
        <v>100</v>
      </c>
      <c r="X35" s="1541"/>
      <c r="Y35" s="3336"/>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34"/>
      <c r="Q36" s="1538" t="str">
        <f t="shared" si="11"/>
        <v>公共部分装修</v>
      </c>
      <c r="R36" s="714" t="s">
        <v>21</v>
      </c>
      <c r="S36" s="715">
        <f t="shared" si="12"/>
        <v>100</v>
      </c>
      <c r="T36" s="714" t="s">
        <v>21</v>
      </c>
      <c r="U36" s="715">
        <f t="shared" si="13"/>
        <v>100</v>
      </c>
      <c r="V36" s="714" t="s">
        <v>21</v>
      </c>
      <c r="W36" s="715">
        <f t="shared" si="14"/>
        <v>100</v>
      </c>
      <c r="X36" s="1541"/>
      <c r="Y36" s="3336"/>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34"/>
      <c r="Q37" s="1529" t="str">
        <f t="shared" si="11"/>
        <v>成新度</v>
      </c>
      <c r="R37" s="710" t="s">
        <v>21</v>
      </c>
      <c r="S37" s="711" t="e">
        <f t="shared" si="12"/>
        <v>#N/A</v>
      </c>
      <c r="T37" s="710" t="s">
        <v>21</v>
      </c>
      <c r="U37" s="711" t="e">
        <f t="shared" si="13"/>
        <v>#N/A</v>
      </c>
      <c r="V37" s="710" t="s">
        <v>21</v>
      </c>
      <c r="W37" s="711" t="e">
        <f t="shared" si="14"/>
        <v>#N/A</v>
      </c>
      <c r="X37" s="712"/>
      <c r="Y37" s="3336"/>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34" t="s">
        <v>2385</v>
      </c>
      <c r="Q38" s="1538" t="str">
        <f t="shared" si="11"/>
        <v>物业管理</v>
      </c>
      <c r="R38" s="714" t="s">
        <v>21</v>
      </c>
      <c r="S38" s="715">
        <f t="shared" si="12"/>
        <v>100</v>
      </c>
      <c r="T38" s="714" t="s">
        <v>21</v>
      </c>
      <c r="U38" s="715">
        <f t="shared" si="13"/>
        <v>100</v>
      </c>
      <c r="V38" s="714" t="s">
        <v>21</v>
      </c>
      <c r="W38" s="715">
        <f t="shared" si="14"/>
        <v>100</v>
      </c>
      <c r="X38" s="1541"/>
      <c r="Y38" s="3336"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34"/>
      <c r="Q39" s="1538" t="str">
        <f t="shared" si="11"/>
        <v>市政基础设施</v>
      </c>
      <c r="R39" s="714" t="s">
        <v>21</v>
      </c>
      <c r="S39" s="715">
        <f t="shared" si="12"/>
        <v>100</v>
      </c>
      <c r="T39" s="714" t="s">
        <v>21</v>
      </c>
      <c r="U39" s="715">
        <f t="shared" si="13"/>
        <v>100</v>
      </c>
      <c r="V39" s="714" t="s">
        <v>21</v>
      </c>
      <c r="W39" s="715">
        <f t="shared" si="14"/>
        <v>100</v>
      </c>
      <c r="X39" s="1541"/>
      <c r="Y39" s="3336"/>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34"/>
      <c r="Q40" s="1538" t="str">
        <f t="shared" si="11"/>
        <v>房型</v>
      </c>
      <c r="R40" s="714" t="s">
        <v>21</v>
      </c>
      <c r="S40" s="715">
        <f t="shared" si="12"/>
        <v>100</v>
      </c>
      <c r="T40" s="714" t="s">
        <v>21</v>
      </c>
      <c r="U40" s="715">
        <f t="shared" si="13"/>
        <v>100</v>
      </c>
      <c r="V40" s="714" t="s">
        <v>21</v>
      </c>
      <c r="W40" s="715">
        <f t="shared" si="14"/>
        <v>100</v>
      </c>
      <c r="X40" s="1541"/>
      <c r="Y40" s="3336"/>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34"/>
      <c r="Q41" s="716" t="str">
        <f t="shared" si="11"/>
        <v>单套/主力户型建筑面积</v>
      </c>
      <c r="R41" s="717" t="s">
        <v>21</v>
      </c>
      <c r="S41" s="718">
        <f t="shared" si="12"/>
        <v>100</v>
      </c>
      <c r="T41" s="717" t="s">
        <v>21</v>
      </c>
      <c r="U41" s="718">
        <f t="shared" si="13"/>
        <v>100</v>
      </c>
      <c r="V41" s="717" t="s">
        <v>21</v>
      </c>
      <c r="W41" s="718">
        <f t="shared" si="14"/>
        <v>100</v>
      </c>
      <c r="X41" s="719"/>
      <c r="Y41" s="3336"/>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34"/>
      <c r="Q42" s="1538" t="str">
        <f t="shared" si="11"/>
        <v>内部装修</v>
      </c>
      <c r="R42" s="714" t="s">
        <v>21</v>
      </c>
      <c r="S42" s="715">
        <f t="shared" si="12"/>
        <v>100</v>
      </c>
      <c r="T42" s="714" t="s">
        <v>21</v>
      </c>
      <c r="U42" s="715">
        <f t="shared" si="13"/>
        <v>100</v>
      </c>
      <c r="V42" s="714" t="s">
        <v>21</v>
      </c>
      <c r="W42" s="715">
        <f t="shared" si="14"/>
        <v>100</v>
      </c>
      <c r="X42" s="1541"/>
      <c r="Y42" s="3336"/>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34"/>
      <c r="Q43" s="1538" t="str">
        <f t="shared" si="11"/>
        <v>内部装修维护情况</v>
      </c>
      <c r="R43" s="714" t="s">
        <v>21</v>
      </c>
      <c r="S43" s="715">
        <f t="shared" si="12"/>
        <v>100</v>
      </c>
      <c r="T43" s="714" t="s">
        <v>21</v>
      </c>
      <c r="U43" s="715">
        <f t="shared" si="13"/>
        <v>100</v>
      </c>
      <c r="V43" s="714" t="s">
        <v>21</v>
      </c>
      <c r="W43" s="715">
        <f t="shared" si="14"/>
        <v>100</v>
      </c>
      <c r="X43" s="1541"/>
      <c r="Y43" s="3336"/>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34"/>
      <c r="Q44" s="1529">
        <f t="shared" si="11"/>
        <v>111</v>
      </c>
      <c r="R44" s="710" t="s">
        <v>21</v>
      </c>
      <c r="S44" s="711">
        <f t="shared" si="12"/>
        <v>100</v>
      </c>
      <c r="T44" s="710" t="s">
        <v>21</v>
      </c>
      <c r="U44" s="711">
        <f t="shared" si="13"/>
        <v>100</v>
      </c>
      <c r="V44" s="710" t="s">
        <v>21</v>
      </c>
      <c r="W44" s="711">
        <f t="shared" si="14"/>
        <v>100</v>
      </c>
      <c r="X44" s="712"/>
      <c r="Y44" s="333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34"/>
      <c r="Q45" s="1538">
        <f t="shared" si="11"/>
        <v>111</v>
      </c>
      <c r="R45" s="714" t="s">
        <v>21</v>
      </c>
      <c r="S45" s="715">
        <f t="shared" si="12"/>
        <v>100</v>
      </c>
      <c r="T45" s="714" t="s">
        <v>21</v>
      </c>
      <c r="U45" s="715">
        <f t="shared" si="13"/>
        <v>100</v>
      </c>
      <c r="V45" s="714" t="s">
        <v>21</v>
      </c>
      <c r="W45" s="715">
        <f t="shared" si="14"/>
        <v>100</v>
      </c>
      <c r="X45" s="1541"/>
      <c r="Y45" s="3336"/>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35"/>
      <c r="Q46" s="1538">
        <f t="shared" si="11"/>
        <v>111</v>
      </c>
      <c r="R46" s="714" t="s">
        <v>20</v>
      </c>
      <c r="S46" s="715">
        <f t="shared" si="12"/>
        <v>100</v>
      </c>
      <c r="T46" s="714" t="s">
        <v>20</v>
      </c>
      <c r="U46" s="715">
        <f t="shared" si="13"/>
        <v>100</v>
      </c>
      <c r="V46" s="714" t="s">
        <v>20</v>
      </c>
      <c r="W46" s="715">
        <f t="shared" si="14"/>
        <v>100</v>
      </c>
      <c r="X46" s="1541"/>
      <c r="Y46" s="3337"/>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329" t="str">
        <f>A47</f>
        <v>成交单价（元/平方米）</v>
      </c>
      <c r="Q47" s="3329"/>
      <c r="R47" s="3330">
        <f>E47</f>
        <v>0</v>
      </c>
      <c r="S47" s="3330"/>
      <c r="T47" s="3330">
        <f>G47</f>
        <v>0</v>
      </c>
      <c r="U47" s="3330"/>
      <c r="V47" s="3330">
        <f>I47</f>
        <v>0</v>
      </c>
      <c r="W47" s="3330"/>
      <c r="X47" s="699"/>
      <c r="Y47" s="721"/>
      <c r="Z47" s="699"/>
      <c r="AA47" s="699"/>
      <c r="AB47" s="699"/>
      <c r="AC47" s="699"/>
    </row>
    <row r="48" spans="1:29" ht="15.75" thickBot="1">
      <c r="A48" s="445" t="s">
        <v>2398</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2020-8</v>
      </c>
      <c r="D58" s="1347">
        <f>EDATE(C58,-1)</f>
        <v>44013</v>
      </c>
      <c r="E58" s="1347">
        <f>EDATE(D58,-1)</f>
        <v>43983</v>
      </c>
      <c r="F58" s="1347">
        <f t="shared" ref="F58:O58" si="19">EDATE(E58,-1)</f>
        <v>43952</v>
      </c>
      <c r="G58" s="1347">
        <f t="shared" si="19"/>
        <v>43922</v>
      </c>
      <c r="H58" s="1347">
        <f t="shared" si="19"/>
        <v>43891</v>
      </c>
      <c r="I58" s="1347">
        <f t="shared" si="19"/>
        <v>43862</v>
      </c>
      <c r="J58" s="1347">
        <f t="shared" si="19"/>
        <v>43831</v>
      </c>
      <c r="K58" s="1347">
        <f t="shared" si="19"/>
        <v>43800</v>
      </c>
      <c r="L58" s="1347">
        <f t="shared" si="19"/>
        <v>43770</v>
      </c>
      <c r="M58" s="1347">
        <f t="shared" si="19"/>
        <v>43739</v>
      </c>
      <c r="N58" s="1347">
        <f t="shared" si="19"/>
        <v>43709</v>
      </c>
      <c r="O58" s="1347">
        <f t="shared" si="19"/>
        <v>43678</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2150</v>
      </c>
      <c r="B2" s="1326" t="e">
        <f ca="1">IF(C2="——",ROUND(C49*D3/10000,0),ROUND(C49*D3/10000,0)-D2)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2152</v>
      </c>
      <c r="B3" s="566" t="e">
        <f ca="1">IF(C2="——",C49,ROUND(B2*10000/D3,0))</f>
        <v>#DIV/0!</v>
      </c>
      <c r="C3" s="360" t="s">
        <v>2464</v>
      </c>
      <c r="D3" s="359">
        <f>IF(D1="",'数据-汇总表'!E3,SUMIF('数据-汇总表'!$C19:$C33,D1,'数据-汇总表'!$E19:$E33))</f>
        <v>177117.85000000003</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54" t="s">
        <v>2467</v>
      </c>
      <c r="S4" s="3355"/>
      <c r="T4" s="3354" t="s">
        <v>2468</v>
      </c>
      <c r="U4" s="3355"/>
      <c r="V4" s="3360" t="s">
        <v>2469</v>
      </c>
      <c r="W4" s="3360"/>
      <c r="X4" s="1541"/>
      <c r="Y4" s="3354" t="s">
        <v>2471</v>
      </c>
      <c r="Z4" s="3355"/>
      <c r="AA4" s="3341" t="s">
        <v>2467</v>
      </c>
      <c r="AB4" s="3360" t="s">
        <v>2468</v>
      </c>
      <c r="AC4" s="3341" t="s">
        <v>2469</v>
      </c>
    </row>
    <row r="5" spans="1:29" ht="15">
      <c r="A5" s="364"/>
      <c r="B5" s="365"/>
      <c r="C5" s="3363" t="s">
        <v>2362</v>
      </c>
      <c r="D5" s="3364"/>
      <c r="E5" s="3370" t="s">
        <v>2363</v>
      </c>
      <c r="F5" s="3371"/>
      <c r="G5" s="3363" t="s">
        <v>2364</v>
      </c>
      <c r="H5" s="3364"/>
      <c r="I5" s="3363" t="s">
        <v>2365</v>
      </c>
      <c r="J5" s="3364"/>
      <c r="K5" s="567"/>
      <c r="L5" s="2946"/>
      <c r="M5" s="2947"/>
      <c r="N5" s="2947"/>
      <c r="O5" s="2947"/>
      <c r="P5" s="3350"/>
      <c r="Q5" s="3351"/>
      <c r="R5" s="3356"/>
      <c r="S5" s="3357"/>
      <c r="T5" s="3356"/>
      <c r="U5" s="3357"/>
      <c r="V5" s="3360"/>
      <c r="W5" s="3360"/>
      <c r="X5" s="1541"/>
      <c r="Y5" s="3356"/>
      <c r="Z5" s="3357"/>
      <c r="AA5" s="3342"/>
      <c r="AB5" s="3360"/>
      <c r="AC5" s="3342"/>
    </row>
    <row r="6" spans="1:29" ht="15.75" thickBot="1">
      <c r="A6" s="366"/>
      <c r="B6" s="367"/>
      <c r="C6" s="3361" t="s">
        <v>2366</v>
      </c>
      <c r="D6" s="3362"/>
      <c r="E6" s="3368" t="s">
        <v>2366</v>
      </c>
      <c r="F6" s="3369"/>
      <c r="G6" s="3361" t="s">
        <v>2366</v>
      </c>
      <c r="H6" s="3362"/>
      <c r="I6" s="3361" t="s">
        <v>2366</v>
      </c>
      <c r="J6" s="3362"/>
      <c r="K6" s="567" t="s">
        <v>2367</v>
      </c>
      <c r="L6" s="2946"/>
      <c r="M6" s="2947"/>
      <c r="N6" s="2947"/>
      <c r="O6" s="2947"/>
      <c r="P6" s="3352"/>
      <c r="Q6" s="3353"/>
      <c r="R6" s="3356"/>
      <c r="S6" s="3357"/>
      <c r="T6" s="3358"/>
      <c r="U6" s="3359"/>
      <c r="V6" s="3360"/>
      <c r="W6" s="3360"/>
      <c r="X6" s="1541"/>
      <c r="Y6" s="3358"/>
      <c r="Z6" s="3359"/>
      <c r="AA6" s="3343"/>
      <c r="AB6" s="3360"/>
      <c r="AC6" s="3343"/>
    </row>
    <row r="7" spans="1:29" s="113" customFormat="1" ht="15.75" thickBot="1">
      <c r="A7" s="368" t="s">
        <v>2368</v>
      </c>
      <c r="B7" s="369"/>
      <c r="C7" s="370">
        <f>'数据-取费表'!B2</f>
        <v>44074</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65" t="s">
        <v>2372</v>
      </c>
      <c r="Q8" s="3366"/>
      <c r="R8" s="710" t="s">
        <v>17</v>
      </c>
      <c r="S8" s="711">
        <f t="shared" si="0"/>
        <v>0</v>
      </c>
      <c r="T8" s="710" t="s">
        <v>17</v>
      </c>
      <c r="U8" s="711">
        <f t="shared" si="1"/>
        <v>0</v>
      </c>
      <c r="V8" s="710" t="s">
        <v>17</v>
      </c>
      <c r="W8" s="711">
        <f t="shared" si="2"/>
        <v>0</v>
      </c>
      <c r="X8" s="712"/>
      <c r="Y8" s="3365" t="s">
        <v>2372</v>
      </c>
      <c r="Z8" s="336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40"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40"/>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40"/>
      <c r="Q11" s="1529"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40"/>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40"/>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40"/>
      <c r="Q14" s="1529">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38" t="s">
        <v>2380</v>
      </c>
      <c r="Q15" s="1538" t="str">
        <f t="shared" si="6"/>
        <v>商业繁华度</v>
      </c>
      <c r="R15" s="714" t="s">
        <v>17</v>
      </c>
      <c r="S15" s="715">
        <f t="shared" si="0"/>
        <v>100</v>
      </c>
      <c r="T15" s="714" t="s">
        <v>17</v>
      </c>
      <c r="U15" s="715">
        <f t="shared" si="1"/>
        <v>100</v>
      </c>
      <c r="V15" s="714" t="s">
        <v>17</v>
      </c>
      <c r="W15" s="715">
        <f t="shared" si="2"/>
        <v>100</v>
      </c>
      <c r="X15" s="1541"/>
      <c r="Y15" s="3331"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39"/>
      <c r="Q16" s="1538"/>
      <c r="R16" s="714"/>
      <c r="S16" s="715"/>
      <c r="T16" s="714"/>
      <c r="U16" s="715"/>
      <c r="V16" s="714"/>
      <c r="W16" s="715"/>
      <c r="X16" s="1541"/>
      <c r="Y16" s="3332"/>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39"/>
      <c r="Q18" s="1538"/>
      <c r="R18" s="714"/>
      <c r="S18" s="715"/>
      <c r="T18" s="714"/>
      <c r="U18" s="715"/>
      <c r="V18" s="714"/>
      <c r="W18" s="715"/>
      <c r="X18" s="1541"/>
      <c r="Y18" s="3332"/>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39"/>
      <c r="Q20" s="1538"/>
      <c r="R20" s="714"/>
      <c r="S20" s="715"/>
      <c r="T20" s="714"/>
      <c r="U20" s="715"/>
      <c r="V20" s="714"/>
      <c r="W20" s="715"/>
      <c r="X20" s="1541"/>
      <c r="Y20" s="3332"/>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39"/>
      <c r="Q22" s="1538"/>
      <c r="R22" s="714"/>
      <c r="S22" s="715"/>
      <c r="T22" s="714"/>
      <c r="U22" s="715"/>
      <c r="V22" s="714"/>
      <c r="W22" s="715"/>
      <c r="X22" s="1541"/>
      <c r="Y22" s="3332"/>
      <c r="Z22" s="1542"/>
      <c r="AA22" s="1539">
        <v>1</v>
      </c>
      <c r="AB22" s="1539">
        <v>1</v>
      </c>
      <c r="AC22" s="1539">
        <v>1</v>
      </c>
    </row>
    <row r="23" spans="1:29" ht="57">
      <c r="A23" s="387"/>
      <c r="B23" s="410" t="s">
        <v>1949</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39"/>
      <c r="Q23" s="1538" t="str">
        <f>B23</f>
        <v>自然及人文环境</v>
      </c>
      <c r="R23" s="714" t="s">
        <v>17</v>
      </c>
      <c r="S23" s="715">
        <f>F23</f>
        <v>100</v>
      </c>
      <c r="T23" s="714" t="s">
        <v>17</v>
      </c>
      <c r="U23" s="715">
        <f>H23</f>
        <v>100</v>
      </c>
      <c r="V23" s="714" t="s">
        <v>17</v>
      </c>
      <c r="W23" s="715">
        <f>J23</f>
        <v>100</v>
      </c>
      <c r="X23" s="1541"/>
      <c r="Y23" s="3332"/>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39"/>
      <c r="Q24" s="1538"/>
      <c r="R24" s="714"/>
      <c r="S24" s="715"/>
      <c r="T24" s="714"/>
      <c r="U24" s="715"/>
      <c r="V24" s="714"/>
      <c r="W24" s="715"/>
      <c r="X24" s="1541"/>
      <c r="Y24" s="3332"/>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39"/>
      <c r="Q25" s="1538" t="str">
        <f t="shared" ref="Q25:Q46" si="11">B25</f>
        <v>临街状况</v>
      </c>
      <c r="R25" s="714" t="s">
        <v>17</v>
      </c>
      <c r="S25" s="715">
        <f>F25</f>
        <v>100</v>
      </c>
      <c r="T25" s="714" t="s">
        <v>17</v>
      </c>
      <c r="U25" s="715">
        <f>H25</f>
        <v>100</v>
      </c>
      <c r="V25" s="714" t="s">
        <v>17</v>
      </c>
      <c r="W25" s="715">
        <f>J25</f>
        <v>100</v>
      </c>
      <c r="X25" s="1541"/>
      <c r="Y25" s="3332"/>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39"/>
      <c r="Q26" s="1538" t="str">
        <f t="shared" si="11"/>
        <v>平面位置/可视性</v>
      </c>
      <c r="R26" s="714" t="s">
        <v>17</v>
      </c>
      <c r="S26" s="715">
        <f>F26</f>
        <v>100</v>
      </c>
      <c r="T26" s="714" t="s">
        <v>17</v>
      </c>
      <c r="U26" s="715">
        <f>H26</f>
        <v>100</v>
      </c>
      <c r="V26" s="714" t="s">
        <v>17</v>
      </c>
      <c r="W26" s="715">
        <f>J26</f>
        <v>100</v>
      </c>
      <c r="X26" s="1541"/>
      <c r="Y26" s="3332"/>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39"/>
      <c r="Q27" s="1529" t="str">
        <f t="shared" si="11"/>
        <v>人流量</v>
      </c>
      <c r="R27" s="710" t="s">
        <v>17</v>
      </c>
      <c r="S27" s="711">
        <f>F27</f>
        <v>100</v>
      </c>
      <c r="T27" s="710" t="s">
        <v>17</v>
      </c>
      <c r="U27" s="711">
        <f>H27</f>
        <v>100</v>
      </c>
      <c r="V27" s="710" t="s">
        <v>17</v>
      </c>
      <c r="W27" s="711">
        <f>J27</f>
        <v>100</v>
      </c>
      <c r="X27" s="712"/>
      <c r="Y27" s="3332"/>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3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2"/>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39"/>
      <c r="Q29" s="1538">
        <f t="shared" si="11"/>
        <v>111</v>
      </c>
      <c r="R29" s="714" t="s">
        <v>17</v>
      </c>
      <c r="S29" s="715">
        <f t="shared" si="12"/>
        <v>100</v>
      </c>
      <c r="T29" s="714" t="s">
        <v>17</v>
      </c>
      <c r="U29" s="715">
        <f t="shared" si="13"/>
        <v>100</v>
      </c>
      <c r="V29" s="714" t="s">
        <v>17</v>
      </c>
      <c r="W29" s="715">
        <f t="shared" si="14"/>
        <v>100</v>
      </c>
      <c r="X29" s="1541"/>
      <c r="Y29" s="3332"/>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33" t="s">
        <v>2385</v>
      </c>
      <c r="Q32" s="1538" t="str">
        <f t="shared" si="11"/>
        <v>商业类型</v>
      </c>
      <c r="R32" s="714" t="s">
        <v>17</v>
      </c>
      <c r="S32" s="715">
        <f t="shared" si="12"/>
        <v>100</v>
      </c>
      <c r="T32" s="714" t="s">
        <v>17</v>
      </c>
      <c r="U32" s="715">
        <f t="shared" si="13"/>
        <v>100</v>
      </c>
      <c r="V32" s="714" t="s">
        <v>17</v>
      </c>
      <c r="W32" s="715">
        <f t="shared" si="14"/>
        <v>100</v>
      </c>
      <c r="X32" s="1541"/>
      <c r="Y32" s="3336"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34"/>
      <c r="Q33" s="716" t="str">
        <f t="shared" si="11"/>
        <v>项目建筑规模</v>
      </c>
      <c r="R33" s="717" t="s">
        <v>17</v>
      </c>
      <c r="S33" s="718" t="e">
        <f t="shared" si="12"/>
        <v>#N/A</v>
      </c>
      <c r="T33" s="717" t="s">
        <v>17</v>
      </c>
      <c r="U33" s="718" t="e">
        <f t="shared" si="13"/>
        <v>#N/A</v>
      </c>
      <c r="V33" s="717" t="s">
        <v>17</v>
      </c>
      <c r="W33" s="718" t="e">
        <f t="shared" si="14"/>
        <v>#N/A</v>
      </c>
      <c r="X33" s="719"/>
      <c r="Y33" s="3336"/>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34"/>
      <c r="Q34" s="1538" t="str">
        <f t="shared" si="11"/>
        <v>建筑结构</v>
      </c>
      <c r="R34" s="714" t="s">
        <v>17</v>
      </c>
      <c r="S34" s="715">
        <f t="shared" si="12"/>
        <v>100</v>
      </c>
      <c r="T34" s="714" t="s">
        <v>17</v>
      </c>
      <c r="U34" s="715">
        <f t="shared" si="13"/>
        <v>100</v>
      </c>
      <c r="V34" s="714" t="s">
        <v>17</v>
      </c>
      <c r="W34" s="715">
        <f t="shared" si="14"/>
        <v>100</v>
      </c>
      <c r="X34" s="1541"/>
      <c r="Y34" s="3336"/>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34"/>
      <c r="Q35" s="1538" t="str">
        <f t="shared" si="11"/>
        <v>公共部分装修</v>
      </c>
      <c r="R35" s="714" t="s">
        <v>17</v>
      </c>
      <c r="S35" s="715">
        <f t="shared" si="12"/>
        <v>100</v>
      </c>
      <c r="T35" s="714" t="s">
        <v>17</v>
      </c>
      <c r="U35" s="715">
        <f t="shared" si="13"/>
        <v>100</v>
      </c>
      <c r="V35" s="714" t="s">
        <v>17</v>
      </c>
      <c r="W35" s="715">
        <f t="shared" si="14"/>
        <v>100</v>
      </c>
      <c r="X35" s="1541"/>
      <c r="Y35" s="3336"/>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34"/>
      <c r="Q36" s="1538" t="str">
        <f t="shared" si="11"/>
        <v>成新度</v>
      </c>
      <c r="R36" s="714" t="s">
        <v>17</v>
      </c>
      <c r="S36" s="715" t="e">
        <f t="shared" si="12"/>
        <v>#N/A</v>
      </c>
      <c r="T36" s="714" t="s">
        <v>17</v>
      </c>
      <c r="U36" s="715" t="e">
        <f t="shared" si="13"/>
        <v>#N/A</v>
      </c>
      <c r="V36" s="714" t="s">
        <v>17</v>
      </c>
      <c r="W36" s="715" t="e">
        <f t="shared" si="14"/>
        <v>#N/A</v>
      </c>
      <c r="X36" s="1541"/>
      <c r="Y36" s="3336"/>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34"/>
      <c r="Q37" s="1529" t="str">
        <f t="shared" si="11"/>
        <v>市政基础设施</v>
      </c>
      <c r="R37" s="710" t="s">
        <v>17</v>
      </c>
      <c r="S37" s="711">
        <f t="shared" si="12"/>
        <v>100</v>
      </c>
      <c r="T37" s="710" t="s">
        <v>17</v>
      </c>
      <c r="U37" s="711">
        <f t="shared" si="13"/>
        <v>100</v>
      </c>
      <c r="V37" s="710" t="s">
        <v>17</v>
      </c>
      <c r="W37" s="711">
        <f t="shared" si="14"/>
        <v>100</v>
      </c>
      <c r="X37" s="712"/>
      <c r="Y37" s="3336"/>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34" t="s">
        <v>2385</v>
      </c>
      <c r="Q38" s="1538" t="str">
        <f t="shared" si="11"/>
        <v>业态</v>
      </c>
      <c r="R38" s="714" t="s">
        <v>17</v>
      </c>
      <c r="S38" s="715">
        <f t="shared" si="12"/>
        <v>100</v>
      </c>
      <c r="T38" s="714" t="s">
        <v>17</v>
      </c>
      <c r="U38" s="715">
        <f t="shared" si="13"/>
        <v>100</v>
      </c>
      <c r="V38" s="714" t="s">
        <v>17</v>
      </c>
      <c r="W38" s="715">
        <f t="shared" si="14"/>
        <v>100</v>
      </c>
      <c r="X38" s="1541"/>
      <c r="Y38" s="3336"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34"/>
      <c r="Q39" s="1538" t="str">
        <f t="shared" si="11"/>
        <v>层高</v>
      </c>
      <c r="R39" s="714" t="s">
        <v>17</v>
      </c>
      <c r="S39" s="715">
        <f t="shared" si="12"/>
        <v>100</v>
      </c>
      <c r="T39" s="714" t="s">
        <v>17</v>
      </c>
      <c r="U39" s="715">
        <f t="shared" si="13"/>
        <v>100</v>
      </c>
      <c r="V39" s="714" t="s">
        <v>17</v>
      </c>
      <c r="W39" s="715">
        <f t="shared" si="14"/>
        <v>100</v>
      </c>
      <c r="X39" s="1541"/>
      <c r="Y39" s="3336"/>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34"/>
      <c r="Q40" s="1538" t="str">
        <f t="shared" si="11"/>
        <v>单套建筑面积</v>
      </c>
      <c r="R40" s="714" t="s">
        <v>17</v>
      </c>
      <c r="S40" s="715">
        <f t="shared" si="12"/>
        <v>100</v>
      </c>
      <c r="T40" s="714" t="s">
        <v>17</v>
      </c>
      <c r="U40" s="715">
        <f t="shared" si="13"/>
        <v>100</v>
      </c>
      <c r="V40" s="714" t="s">
        <v>17</v>
      </c>
      <c r="W40" s="715">
        <f t="shared" si="14"/>
        <v>100</v>
      </c>
      <c r="X40" s="1541"/>
      <c r="Y40" s="3336"/>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34"/>
      <c r="Q41" s="716" t="str">
        <f t="shared" si="11"/>
        <v>进深比</v>
      </c>
      <c r="R41" s="717" t="s">
        <v>17</v>
      </c>
      <c r="S41" s="718">
        <f t="shared" si="12"/>
        <v>100</v>
      </c>
      <c r="T41" s="717" t="s">
        <v>17</v>
      </c>
      <c r="U41" s="718">
        <f t="shared" si="13"/>
        <v>100</v>
      </c>
      <c r="V41" s="717" t="s">
        <v>17</v>
      </c>
      <c r="W41" s="718">
        <f t="shared" si="14"/>
        <v>100</v>
      </c>
      <c r="X41" s="719"/>
      <c r="Y41" s="3336"/>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34"/>
      <c r="Q42" s="1538" t="str">
        <f t="shared" si="11"/>
        <v>内部装修</v>
      </c>
      <c r="R42" s="714" t="s">
        <v>17</v>
      </c>
      <c r="S42" s="715">
        <f t="shared" si="12"/>
        <v>100</v>
      </c>
      <c r="T42" s="714" t="s">
        <v>17</v>
      </c>
      <c r="U42" s="715">
        <f t="shared" si="13"/>
        <v>100</v>
      </c>
      <c r="V42" s="714" t="s">
        <v>17</v>
      </c>
      <c r="W42" s="715">
        <f t="shared" si="14"/>
        <v>100</v>
      </c>
      <c r="X42" s="1541"/>
      <c r="Y42" s="3336"/>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34"/>
      <c r="Q43" s="1538" t="str">
        <f t="shared" si="11"/>
        <v>内部装修维护情况</v>
      </c>
      <c r="R43" s="714" t="s">
        <v>17</v>
      </c>
      <c r="S43" s="715">
        <f t="shared" si="12"/>
        <v>100</v>
      </c>
      <c r="T43" s="714" t="s">
        <v>17</v>
      </c>
      <c r="U43" s="715">
        <f t="shared" si="13"/>
        <v>100</v>
      </c>
      <c r="V43" s="714" t="s">
        <v>17</v>
      </c>
      <c r="W43" s="715">
        <f t="shared" si="14"/>
        <v>100</v>
      </c>
      <c r="X43" s="1541"/>
      <c r="Y43" s="3336"/>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34"/>
      <c r="Q44" s="1529">
        <f t="shared" si="11"/>
        <v>111</v>
      </c>
      <c r="R44" s="710" t="s">
        <v>17</v>
      </c>
      <c r="S44" s="711">
        <f t="shared" si="12"/>
        <v>100</v>
      </c>
      <c r="T44" s="710" t="s">
        <v>17</v>
      </c>
      <c r="U44" s="711">
        <f t="shared" si="13"/>
        <v>100</v>
      </c>
      <c r="V44" s="710" t="s">
        <v>17</v>
      </c>
      <c r="W44" s="711">
        <f t="shared" si="14"/>
        <v>100</v>
      </c>
      <c r="X44" s="712"/>
      <c r="Y44" s="333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34"/>
      <c r="Q45" s="1538">
        <f t="shared" si="11"/>
        <v>111</v>
      </c>
      <c r="R45" s="714" t="s">
        <v>17</v>
      </c>
      <c r="S45" s="715">
        <f t="shared" si="12"/>
        <v>100</v>
      </c>
      <c r="T45" s="714" t="s">
        <v>17</v>
      </c>
      <c r="U45" s="715">
        <f t="shared" si="13"/>
        <v>100</v>
      </c>
      <c r="V45" s="714" t="s">
        <v>17</v>
      </c>
      <c r="W45" s="715">
        <f t="shared" si="14"/>
        <v>100</v>
      </c>
      <c r="X45" s="1541"/>
      <c r="Y45" s="3336"/>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35"/>
      <c r="Q46" s="1538">
        <f t="shared" si="11"/>
        <v>111</v>
      </c>
      <c r="R46" s="714" t="s">
        <v>17</v>
      </c>
      <c r="S46" s="715">
        <f t="shared" si="12"/>
        <v>100</v>
      </c>
      <c r="T46" s="714" t="s">
        <v>17</v>
      </c>
      <c r="U46" s="715">
        <f t="shared" si="13"/>
        <v>100</v>
      </c>
      <c r="V46" s="714" t="s">
        <v>17</v>
      </c>
      <c r="W46" s="715">
        <f t="shared" si="14"/>
        <v>100</v>
      </c>
      <c r="X46" s="1541"/>
      <c r="Y46" s="3337"/>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5"/>
      <c r="M47" s="2956"/>
      <c r="N47" s="2947"/>
      <c r="O47" s="2956"/>
      <c r="P47" s="3329" t="str">
        <f>A47</f>
        <v>成交单价（元/平方米）</v>
      </c>
      <c r="Q47" s="3329"/>
      <c r="R47" s="3360">
        <f>E47</f>
        <v>0</v>
      </c>
      <c r="S47" s="3360"/>
      <c r="T47" s="3360">
        <f>G47</f>
        <v>0</v>
      </c>
      <c r="U47" s="3360"/>
      <c r="V47" s="3360">
        <f>I47</f>
        <v>0</v>
      </c>
      <c r="W47" s="3360"/>
      <c r="X47" s="699"/>
      <c r="Y47" s="721"/>
      <c r="Z47" s="699"/>
      <c r="AA47" s="699"/>
      <c r="AB47" s="699"/>
      <c r="AC47" s="699"/>
    </row>
    <row r="48" spans="1:29" ht="15.75" thickBot="1">
      <c r="A48" s="445" t="s">
        <v>2489</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5"/>
      <c r="M49" s="2956"/>
      <c r="N49" s="2947"/>
      <c r="O49" s="2956"/>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2020-8</v>
      </c>
      <c r="D58" s="1347">
        <f>EDATE(C58,-1)</f>
        <v>44013</v>
      </c>
      <c r="E58" s="1347">
        <f t="shared" ref="E58:N58" si="16">EDATE(D58,-1)</f>
        <v>43983</v>
      </c>
      <c r="F58" s="1347">
        <f t="shared" si="16"/>
        <v>43952</v>
      </c>
      <c r="G58" s="1347">
        <f t="shared" si="16"/>
        <v>43922</v>
      </c>
      <c r="H58" s="1347">
        <f t="shared" si="16"/>
        <v>43891</v>
      </c>
      <c r="I58" s="1347">
        <f t="shared" si="16"/>
        <v>43862</v>
      </c>
      <c r="J58" s="1347">
        <f t="shared" si="16"/>
        <v>43831</v>
      </c>
      <c r="K58" s="1347">
        <f t="shared" si="16"/>
        <v>43800</v>
      </c>
      <c r="L58" s="1347">
        <f t="shared" si="16"/>
        <v>43770</v>
      </c>
      <c r="M58" s="1347">
        <f t="shared" si="16"/>
        <v>43739</v>
      </c>
      <c r="N58" s="1347">
        <f t="shared" si="16"/>
        <v>43709</v>
      </c>
      <c r="O58" s="1347">
        <f>EDATE(N58,-1)</f>
        <v>43678</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IF(C2="——",ROUND(C50*D3/10000,0),ROUND(C50*D3/10000,0)-D2)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177117.85000000003</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78" t="s">
        <v>2471</v>
      </c>
      <c r="Q4" s="3379"/>
      <c r="R4" s="3382" t="s">
        <v>2467</v>
      </c>
      <c r="S4" s="3383"/>
      <c r="T4" s="3382" t="s">
        <v>2468</v>
      </c>
      <c r="U4" s="3383"/>
      <c r="V4" s="3384" t="s">
        <v>2469</v>
      </c>
      <c r="W4" s="3384"/>
      <c r="X4" s="2146"/>
      <c r="Y4" s="3382" t="s">
        <v>2471</v>
      </c>
      <c r="Z4" s="3383"/>
      <c r="AA4" s="3386" t="s">
        <v>2467</v>
      </c>
      <c r="AB4" s="3386" t="s">
        <v>2468</v>
      </c>
      <c r="AC4" s="3375" t="s">
        <v>2469</v>
      </c>
    </row>
    <row r="5" spans="1:29" ht="15">
      <c r="A5" s="364"/>
      <c r="B5" s="365"/>
      <c r="C5" s="3363" t="s">
        <v>2362</v>
      </c>
      <c r="D5" s="3364"/>
      <c r="E5" s="3370" t="s">
        <v>2363</v>
      </c>
      <c r="F5" s="3371"/>
      <c r="G5" s="3363" t="s">
        <v>2364</v>
      </c>
      <c r="H5" s="3364"/>
      <c r="I5" s="3363" t="s">
        <v>2365</v>
      </c>
      <c r="J5" s="3364"/>
      <c r="K5" s="567"/>
      <c r="L5" s="2946"/>
      <c r="M5" s="2947"/>
      <c r="N5" s="2947"/>
      <c r="O5" s="2947"/>
      <c r="P5" s="3380"/>
      <c r="Q5" s="3351"/>
      <c r="R5" s="3356"/>
      <c r="S5" s="3357"/>
      <c r="T5" s="3356"/>
      <c r="U5" s="3357"/>
      <c r="V5" s="3360"/>
      <c r="W5" s="3360"/>
      <c r="X5" s="1541"/>
      <c r="Y5" s="3356"/>
      <c r="Z5" s="3357"/>
      <c r="AA5" s="3342"/>
      <c r="AB5" s="3342"/>
      <c r="AC5" s="3376"/>
    </row>
    <row r="6" spans="1:29" ht="15.75" thickBot="1">
      <c r="A6" s="366"/>
      <c r="B6" s="367"/>
      <c r="C6" s="3361" t="s">
        <v>2366</v>
      </c>
      <c r="D6" s="3362"/>
      <c r="E6" s="3368" t="s">
        <v>2366</v>
      </c>
      <c r="F6" s="3369"/>
      <c r="G6" s="3361" t="s">
        <v>2366</v>
      </c>
      <c r="H6" s="3362"/>
      <c r="I6" s="3361" t="s">
        <v>2366</v>
      </c>
      <c r="J6" s="3362"/>
      <c r="K6" s="567" t="s">
        <v>2367</v>
      </c>
      <c r="L6" s="2946"/>
      <c r="M6" s="2947"/>
      <c r="N6" s="2947"/>
      <c r="O6" s="2947"/>
      <c r="P6" s="3381"/>
      <c r="Q6" s="3353"/>
      <c r="R6" s="3356"/>
      <c r="S6" s="3357"/>
      <c r="T6" s="3358"/>
      <c r="U6" s="3359"/>
      <c r="V6" s="3360"/>
      <c r="W6" s="3360"/>
      <c r="X6" s="1541"/>
      <c r="Y6" s="3358"/>
      <c r="Z6" s="3359"/>
      <c r="AA6" s="3343"/>
      <c r="AB6" s="3343"/>
      <c r="AC6" s="3377"/>
    </row>
    <row r="7" spans="1:29" s="113" customFormat="1" ht="15.75" thickBot="1">
      <c r="A7" s="368" t="s">
        <v>2368</v>
      </c>
      <c r="B7" s="369"/>
      <c r="C7" s="370">
        <f>'数据-取费表'!B2</f>
        <v>44074</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8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2147"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85" t="s">
        <v>2372</v>
      </c>
      <c r="Q8" s="3366"/>
      <c r="R8" s="710" t="s">
        <v>17</v>
      </c>
      <c r="S8" s="711">
        <f t="shared" si="0"/>
        <v>0</v>
      </c>
      <c r="T8" s="710" t="s">
        <v>17</v>
      </c>
      <c r="U8" s="711">
        <f t="shared" si="1"/>
        <v>0</v>
      </c>
      <c r="V8" s="710" t="s">
        <v>17</v>
      </c>
      <c r="W8" s="711">
        <f t="shared" si="2"/>
        <v>0</v>
      </c>
      <c r="X8" s="712"/>
      <c r="Y8" s="3365" t="s">
        <v>2372</v>
      </c>
      <c r="Z8" s="3366"/>
      <c r="AA8" s="713" t="e">
        <f t="shared" ref="AA8:AA47" si="3">D8/F8</f>
        <v>#DIV/0!</v>
      </c>
      <c r="AB8" s="713" t="e">
        <f t="shared" ref="AB8:AB47" si="4">D8/H8</f>
        <v>#DIV/0!</v>
      </c>
      <c r="AC8" s="2147"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40"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40"/>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2147">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40"/>
      <c r="Q11" s="1529"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40"/>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40"/>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40"/>
      <c r="Q14" s="1529">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38" t="s">
        <v>2380</v>
      </c>
      <c r="Q15" s="1538" t="str">
        <f t="shared" si="6"/>
        <v>办公集聚程度</v>
      </c>
      <c r="R15" s="714" t="s">
        <v>17</v>
      </c>
      <c r="S15" s="715">
        <f t="shared" si="0"/>
        <v>100</v>
      </c>
      <c r="T15" s="714" t="s">
        <v>17</v>
      </c>
      <c r="U15" s="715">
        <f t="shared" si="1"/>
        <v>100</v>
      </c>
      <c r="V15" s="714" t="s">
        <v>17</v>
      </c>
      <c r="W15" s="715">
        <f t="shared" si="2"/>
        <v>100</v>
      </c>
      <c r="X15" s="1541"/>
      <c r="Y15" s="3331"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39"/>
      <c r="Q16" s="1538"/>
      <c r="R16" s="714"/>
      <c r="S16" s="715"/>
      <c r="T16" s="714"/>
      <c r="U16" s="715"/>
      <c r="V16" s="714"/>
      <c r="W16" s="715"/>
      <c r="X16" s="1541"/>
      <c r="Y16" s="3332"/>
      <c r="Z16" s="1542"/>
      <c r="AA16" s="1539">
        <v>1</v>
      </c>
      <c r="AB16" s="1539">
        <v>1</v>
      </c>
      <c r="AC16" s="2150">
        <v>1</v>
      </c>
    </row>
    <row r="17" spans="1:29" ht="71.25">
      <c r="A17" s="387"/>
      <c r="B17" s="587" t="s">
        <v>1947</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39"/>
      <c r="Q18" s="1538"/>
      <c r="R18" s="714"/>
      <c r="S18" s="715"/>
      <c r="T18" s="714"/>
      <c r="U18" s="715"/>
      <c r="V18" s="714"/>
      <c r="W18" s="715"/>
      <c r="X18" s="1541"/>
      <c r="Y18" s="3332"/>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39"/>
      <c r="Q20" s="1538"/>
      <c r="R20" s="714"/>
      <c r="S20" s="715"/>
      <c r="T20" s="714"/>
      <c r="U20" s="715"/>
      <c r="V20" s="714"/>
      <c r="W20" s="715"/>
      <c r="X20" s="1541"/>
      <c r="Y20" s="3332"/>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39"/>
      <c r="Q22" s="1538"/>
      <c r="R22" s="714"/>
      <c r="S22" s="715"/>
      <c r="T22" s="714"/>
      <c r="U22" s="715"/>
      <c r="V22" s="714"/>
      <c r="W22" s="715"/>
      <c r="X22" s="1541"/>
      <c r="Y22" s="3332"/>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39"/>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39"/>
      <c r="Q24" s="1538"/>
      <c r="R24" s="714"/>
      <c r="S24" s="715"/>
      <c r="T24" s="714"/>
      <c r="U24" s="715"/>
      <c r="V24" s="714"/>
      <c r="W24" s="715"/>
      <c r="X24" s="1541"/>
      <c r="Y24" s="3332"/>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39"/>
      <c r="Q25" s="1538" t="str">
        <f>B25</f>
        <v>毗邻道路的类型与等级</v>
      </c>
      <c r="R25" s="714" t="s">
        <v>17</v>
      </c>
      <c r="S25" s="715">
        <f>F25</f>
        <v>100</v>
      </c>
      <c r="T25" s="714" t="s">
        <v>17</v>
      </c>
      <c r="U25" s="715">
        <f>H25</f>
        <v>100</v>
      </c>
      <c r="V25" s="714" t="s">
        <v>17</v>
      </c>
      <c r="W25" s="715">
        <f>J25</f>
        <v>100</v>
      </c>
      <c r="X25" s="1541"/>
      <c r="Y25" s="3332"/>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39"/>
      <c r="Q26" s="1538"/>
      <c r="R26" s="714"/>
      <c r="S26" s="715"/>
      <c r="T26" s="714"/>
      <c r="U26" s="715"/>
      <c r="V26" s="714"/>
      <c r="W26" s="715"/>
      <c r="X26" s="1541"/>
      <c r="Y26" s="3332"/>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39"/>
      <c r="Q27" s="1538" t="str">
        <f t="shared" ref="Q27:Q47" si="11">B27</f>
        <v>楼层</v>
      </c>
      <c r="R27" s="714" t="s">
        <v>17</v>
      </c>
      <c r="S27" s="715">
        <f>F27</f>
        <v>100</v>
      </c>
      <c r="T27" s="714" t="s">
        <v>17</v>
      </c>
      <c r="U27" s="715">
        <f>H27</f>
        <v>100</v>
      </c>
      <c r="V27" s="714" t="s">
        <v>17</v>
      </c>
      <c r="W27" s="715">
        <f>J27</f>
        <v>100</v>
      </c>
      <c r="X27" s="1541"/>
      <c r="Y27" s="3332"/>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39"/>
      <c r="Q28" s="1529" t="str">
        <f t="shared" si="11"/>
        <v>朝向</v>
      </c>
      <c r="R28" s="710" t="s">
        <v>17</v>
      </c>
      <c r="S28" s="711">
        <f>F28</f>
        <v>100</v>
      </c>
      <c r="T28" s="710" t="s">
        <v>17</v>
      </c>
      <c r="U28" s="711">
        <f>H28</f>
        <v>100</v>
      </c>
      <c r="V28" s="710" t="s">
        <v>17</v>
      </c>
      <c r="W28" s="711">
        <f>J28</f>
        <v>100</v>
      </c>
      <c r="X28" s="712"/>
      <c r="Y28" s="3332"/>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39"/>
      <c r="Q29" s="1538">
        <f t="shared" si="11"/>
        <v>111</v>
      </c>
      <c r="R29" s="714" t="s">
        <v>17</v>
      </c>
      <c r="S29" s="715">
        <f t="shared" ref="S29:S47" si="12">F29</f>
        <v>100</v>
      </c>
      <c r="T29" s="714" t="s">
        <v>17</v>
      </c>
      <c r="U29" s="715">
        <f t="shared" ref="U29:U47" si="13">H29</f>
        <v>100</v>
      </c>
      <c r="V29" s="714" t="s">
        <v>17</v>
      </c>
      <c r="W29" s="715">
        <f t="shared" ref="W29:W47" si="14">J29</f>
        <v>100</v>
      </c>
      <c r="X29" s="1541"/>
      <c r="Y29" s="3332"/>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39"/>
      <c r="Q32" s="1538">
        <f t="shared" si="11"/>
        <v>111</v>
      </c>
      <c r="R32" s="714" t="s">
        <v>17</v>
      </c>
      <c r="S32" s="715">
        <f t="shared" si="12"/>
        <v>100</v>
      </c>
      <c r="T32" s="714" t="s">
        <v>17</v>
      </c>
      <c r="U32" s="715">
        <f t="shared" si="13"/>
        <v>100</v>
      </c>
      <c r="V32" s="714" t="s">
        <v>17</v>
      </c>
      <c r="W32" s="715">
        <f t="shared" si="14"/>
        <v>100</v>
      </c>
      <c r="X32" s="1541"/>
      <c r="Y32" s="3332"/>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33" t="s">
        <v>2385</v>
      </c>
      <c r="Q33" s="1538" t="str">
        <f t="shared" si="11"/>
        <v>建筑类型</v>
      </c>
      <c r="R33" s="714" t="s">
        <v>17</v>
      </c>
      <c r="S33" s="715">
        <f t="shared" si="12"/>
        <v>100</v>
      </c>
      <c r="T33" s="714" t="s">
        <v>17</v>
      </c>
      <c r="U33" s="715">
        <f t="shared" si="13"/>
        <v>100</v>
      </c>
      <c r="V33" s="714" t="s">
        <v>17</v>
      </c>
      <c r="W33" s="715">
        <f t="shared" si="14"/>
        <v>100</v>
      </c>
      <c r="X33" s="1541"/>
      <c r="Y33" s="3336"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34"/>
      <c r="Q34" s="716" t="str">
        <f t="shared" si="11"/>
        <v>项目建筑规模</v>
      </c>
      <c r="R34" s="717" t="s">
        <v>17</v>
      </c>
      <c r="S34" s="718" t="e">
        <f t="shared" si="12"/>
        <v>#N/A</v>
      </c>
      <c r="T34" s="717" t="s">
        <v>17</v>
      </c>
      <c r="U34" s="718" t="e">
        <f t="shared" si="13"/>
        <v>#N/A</v>
      </c>
      <c r="V34" s="717" t="s">
        <v>17</v>
      </c>
      <c r="W34" s="718" t="e">
        <f t="shared" si="14"/>
        <v>#N/A</v>
      </c>
      <c r="X34" s="719"/>
      <c r="Y34" s="3336"/>
      <c r="Z34" s="720" t="str">
        <f t="shared" si="15"/>
        <v>项目建筑规模</v>
      </c>
      <c r="AA34" s="1539" t="e">
        <f t="shared" si="3"/>
        <v>#N/A</v>
      </c>
      <c r="AB34" s="1539" t="e">
        <f t="shared" si="4"/>
        <v>#N/A</v>
      </c>
      <c r="AC34" s="2150"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34"/>
      <c r="Q35" s="1538" t="str">
        <f t="shared" si="11"/>
        <v>建筑结构</v>
      </c>
      <c r="R35" s="714" t="s">
        <v>17</v>
      </c>
      <c r="S35" s="715">
        <f t="shared" si="12"/>
        <v>100</v>
      </c>
      <c r="T35" s="714" t="s">
        <v>17</v>
      </c>
      <c r="U35" s="715">
        <f t="shared" si="13"/>
        <v>100</v>
      </c>
      <c r="V35" s="714" t="s">
        <v>17</v>
      </c>
      <c r="W35" s="715">
        <f t="shared" si="14"/>
        <v>100</v>
      </c>
      <c r="X35" s="1541"/>
      <c r="Y35" s="3336"/>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34"/>
      <c r="Q36" s="1538" t="str">
        <f t="shared" si="11"/>
        <v>公共部分装修</v>
      </c>
      <c r="R36" s="714" t="s">
        <v>17</v>
      </c>
      <c r="S36" s="715">
        <f t="shared" si="12"/>
        <v>100</v>
      </c>
      <c r="T36" s="714" t="s">
        <v>17</v>
      </c>
      <c r="U36" s="715">
        <f t="shared" si="13"/>
        <v>100</v>
      </c>
      <c r="V36" s="714" t="s">
        <v>17</v>
      </c>
      <c r="W36" s="715">
        <f t="shared" si="14"/>
        <v>100</v>
      </c>
      <c r="X36" s="1541"/>
      <c r="Y36" s="3336"/>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34"/>
      <c r="Q37" s="1538" t="str">
        <f t="shared" si="11"/>
        <v>成新度</v>
      </c>
      <c r="R37" s="714" t="s">
        <v>17</v>
      </c>
      <c r="S37" s="715" t="e">
        <f t="shared" si="12"/>
        <v>#N/A</v>
      </c>
      <c r="T37" s="714" t="s">
        <v>17</v>
      </c>
      <c r="U37" s="715" t="e">
        <f t="shared" si="13"/>
        <v>#N/A</v>
      </c>
      <c r="V37" s="714" t="s">
        <v>17</v>
      </c>
      <c r="W37" s="715" t="e">
        <f t="shared" si="14"/>
        <v>#N/A</v>
      </c>
      <c r="X37" s="1541"/>
      <c r="Y37" s="3336"/>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34"/>
      <c r="Q38" s="1529" t="str">
        <f t="shared" si="11"/>
        <v>写字楼等级</v>
      </c>
      <c r="R38" s="710" t="s">
        <v>17</v>
      </c>
      <c r="S38" s="711">
        <f t="shared" si="12"/>
        <v>100</v>
      </c>
      <c r="T38" s="710" t="s">
        <v>17</v>
      </c>
      <c r="U38" s="711">
        <f t="shared" si="13"/>
        <v>100</v>
      </c>
      <c r="V38" s="710" t="s">
        <v>17</v>
      </c>
      <c r="W38" s="711">
        <f t="shared" si="14"/>
        <v>100</v>
      </c>
      <c r="X38" s="712"/>
      <c r="Y38" s="3336"/>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34" t="s">
        <v>2385</v>
      </c>
      <c r="Q39" s="1538" t="str">
        <f t="shared" si="11"/>
        <v>物业管理</v>
      </c>
      <c r="R39" s="714" t="s">
        <v>17</v>
      </c>
      <c r="S39" s="715">
        <f t="shared" si="12"/>
        <v>100</v>
      </c>
      <c r="T39" s="714" t="s">
        <v>17</v>
      </c>
      <c r="U39" s="715">
        <f t="shared" si="13"/>
        <v>100</v>
      </c>
      <c r="V39" s="714" t="s">
        <v>17</v>
      </c>
      <c r="W39" s="715">
        <f t="shared" si="14"/>
        <v>100</v>
      </c>
      <c r="X39" s="1541"/>
      <c r="Y39" s="3336"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34"/>
      <c r="Q40" s="1538" t="str">
        <f t="shared" si="11"/>
        <v>市政基础设施</v>
      </c>
      <c r="R40" s="714" t="s">
        <v>17</v>
      </c>
      <c r="S40" s="715">
        <f t="shared" si="12"/>
        <v>100</v>
      </c>
      <c r="T40" s="714" t="s">
        <v>17</v>
      </c>
      <c r="U40" s="715">
        <f t="shared" si="13"/>
        <v>100</v>
      </c>
      <c r="V40" s="714" t="s">
        <v>17</v>
      </c>
      <c r="W40" s="715">
        <f t="shared" si="14"/>
        <v>100</v>
      </c>
      <c r="X40" s="1541"/>
      <c r="Y40" s="3336"/>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34"/>
      <c r="Q41" s="1538" t="str">
        <f t="shared" si="11"/>
        <v>层高</v>
      </c>
      <c r="R41" s="714" t="s">
        <v>17</v>
      </c>
      <c r="S41" s="715">
        <f t="shared" si="12"/>
        <v>100</v>
      </c>
      <c r="T41" s="714" t="s">
        <v>17</v>
      </c>
      <c r="U41" s="715">
        <f t="shared" si="13"/>
        <v>100</v>
      </c>
      <c r="V41" s="714" t="s">
        <v>17</v>
      </c>
      <c r="W41" s="715">
        <f t="shared" si="14"/>
        <v>100</v>
      </c>
      <c r="X41" s="1541"/>
      <c r="Y41" s="3336"/>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34"/>
      <c r="Q42" s="716" t="str">
        <f t="shared" si="11"/>
        <v>单套建筑面积</v>
      </c>
      <c r="R42" s="717" t="s">
        <v>17</v>
      </c>
      <c r="S42" s="718">
        <f t="shared" si="12"/>
        <v>100</v>
      </c>
      <c r="T42" s="717" t="s">
        <v>17</v>
      </c>
      <c r="U42" s="718">
        <f t="shared" si="13"/>
        <v>100</v>
      </c>
      <c r="V42" s="717" t="s">
        <v>17</v>
      </c>
      <c r="W42" s="718">
        <f t="shared" si="14"/>
        <v>100</v>
      </c>
      <c r="X42" s="719"/>
      <c r="Y42" s="3336"/>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34"/>
      <c r="Q43" s="1538" t="str">
        <f t="shared" si="11"/>
        <v>内部装修</v>
      </c>
      <c r="R43" s="714" t="s">
        <v>17</v>
      </c>
      <c r="S43" s="715">
        <f t="shared" si="12"/>
        <v>100</v>
      </c>
      <c r="T43" s="714" t="s">
        <v>17</v>
      </c>
      <c r="U43" s="715">
        <f t="shared" si="13"/>
        <v>100</v>
      </c>
      <c r="V43" s="714" t="s">
        <v>17</v>
      </c>
      <c r="W43" s="715">
        <f t="shared" si="14"/>
        <v>100</v>
      </c>
      <c r="X43" s="1541"/>
      <c r="Y43" s="3336"/>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34"/>
      <c r="Q44" s="1538" t="str">
        <f t="shared" si="11"/>
        <v>内部装修维护情况</v>
      </c>
      <c r="R44" s="714" t="s">
        <v>17</v>
      </c>
      <c r="S44" s="715">
        <f t="shared" si="12"/>
        <v>100</v>
      </c>
      <c r="T44" s="714" t="s">
        <v>17</v>
      </c>
      <c r="U44" s="715">
        <f t="shared" si="13"/>
        <v>100</v>
      </c>
      <c r="V44" s="714" t="s">
        <v>17</v>
      </c>
      <c r="W44" s="715">
        <f t="shared" si="14"/>
        <v>100</v>
      </c>
      <c r="X44" s="1541"/>
      <c r="Y44" s="3336"/>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34"/>
      <c r="Q45" s="1529">
        <f t="shared" si="11"/>
        <v>111</v>
      </c>
      <c r="R45" s="710" t="s">
        <v>17</v>
      </c>
      <c r="S45" s="711">
        <f t="shared" si="12"/>
        <v>100</v>
      </c>
      <c r="T45" s="710" t="s">
        <v>17</v>
      </c>
      <c r="U45" s="711">
        <f t="shared" si="13"/>
        <v>100</v>
      </c>
      <c r="V45" s="710" t="s">
        <v>17</v>
      </c>
      <c r="W45" s="711">
        <f t="shared" si="14"/>
        <v>100</v>
      </c>
      <c r="X45" s="712"/>
      <c r="Y45" s="3336"/>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34"/>
      <c r="Q46" s="1538">
        <f t="shared" si="11"/>
        <v>111</v>
      </c>
      <c r="R46" s="714" t="s">
        <v>17</v>
      </c>
      <c r="S46" s="715">
        <f t="shared" si="12"/>
        <v>100</v>
      </c>
      <c r="T46" s="714" t="s">
        <v>17</v>
      </c>
      <c r="U46" s="715">
        <f t="shared" si="13"/>
        <v>100</v>
      </c>
      <c r="V46" s="714" t="s">
        <v>17</v>
      </c>
      <c r="W46" s="715">
        <f t="shared" si="14"/>
        <v>100</v>
      </c>
      <c r="X46" s="1541"/>
      <c r="Y46" s="3336"/>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35"/>
      <c r="Q47" s="1538">
        <f t="shared" si="11"/>
        <v>111</v>
      </c>
      <c r="R47" s="714" t="s">
        <v>17</v>
      </c>
      <c r="S47" s="715">
        <f t="shared" si="12"/>
        <v>100</v>
      </c>
      <c r="T47" s="714" t="s">
        <v>17</v>
      </c>
      <c r="U47" s="715">
        <f t="shared" si="13"/>
        <v>100</v>
      </c>
      <c r="V47" s="714" t="s">
        <v>17</v>
      </c>
      <c r="W47" s="715">
        <f t="shared" si="14"/>
        <v>100</v>
      </c>
      <c r="X47" s="1541"/>
      <c r="Y47" s="3337"/>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340" t="str">
        <f>A48</f>
        <v>成交单价（元/平方米）</v>
      </c>
      <c r="Q48" s="3329"/>
      <c r="R48" s="3330">
        <f>E48</f>
        <v>0</v>
      </c>
      <c r="S48" s="3330"/>
      <c r="T48" s="3330">
        <f>G48</f>
        <v>0</v>
      </c>
      <c r="U48" s="3330"/>
      <c r="V48" s="3330">
        <f>I48</f>
        <v>0</v>
      </c>
      <c r="W48" s="3330"/>
      <c r="X48" s="405"/>
      <c r="Y48" s="721"/>
      <c r="Z48" s="405"/>
      <c r="AA48" s="405"/>
      <c r="AB48" s="405"/>
      <c r="AC48" s="586"/>
    </row>
    <row r="49" spans="1:29" ht="15.75" thickBot="1">
      <c r="A49" s="445" t="s">
        <v>2489</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40" t="str">
        <f>A49</f>
        <v>比较价值（元/平方米）</v>
      </c>
      <c r="Q49" s="3329"/>
      <c r="R49" s="3330" t="e">
        <f>IF(F1="售价",ROUND(PRODUCT(R48,AA7:AA47),0),ROUND(PRODUCT(R48,AA7:AA47),1))</f>
        <v>#DIV/0!</v>
      </c>
      <c r="S49" s="3330"/>
      <c r="T49" s="3330" t="e">
        <f>IF(F1="售价",ROUND(PRODUCT(T48,AB7:AB47),0),ROUND(PRODUCT(T48,AB7:AB47),1))</f>
        <v>#DIV/0!</v>
      </c>
      <c r="U49" s="3330"/>
      <c r="V49" s="3330" t="e">
        <f>IF(F1="售价",ROUND(PRODUCT(V48,AC7:AC47),0),ROUND(PRODUCT(V48,AC7:AC47),1))</f>
        <v>#DIV/0!</v>
      </c>
      <c r="W49" s="333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5"/>
      <c r="M50" s="2947"/>
      <c r="N50" s="2947"/>
      <c r="O50" s="2947"/>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2020-8</v>
      </c>
      <c r="D59" s="1347">
        <f>EDATE(C59,-1)</f>
        <v>44013</v>
      </c>
      <c r="E59" s="1347">
        <f>EDATE(D59,-1)</f>
        <v>43983</v>
      </c>
      <c r="F59" s="1347">
        <f t="shared" ref="F59:O59" si="16">EDATE(E59,-1)</f>
        <v>43952</v>
      </c>
      <c r="G59" s="1347">
        <f t="shared" si="16"/>
        <v>43922</v>
      </c>
      <c r="H59" s="1347">
        <f t="shared" si="16"/>
        <v>43891</v>
      </c>
      <c r="I59" s="1347">
        <f t="shared" si="16"/>
        <v>43862</v>
      </c>
      <c r="J59" s="1347">
        <f t="shared" si="16"/>
        <v>43831</v>
      </c>
      <c r="K59" s="1347">
        <f t="shared" si="16"/>
        <v>43800</v>
      </c>
      <c r="L59" s="1347">
        <f t="shared" si="16"/>
        <v>43770</v>
      </c>
      <c r="M59" s="1347">
        <f t="shared" si="16"/>
        <v>43739</v>
      </c>
      <c r="N59" s="1347">
        <f t="shared" si="16"/>
        <v>43709</v>
      </c>
      <c r="O59" s="1347">
        <f t="shared" si="16"/>
        <v>43678</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IF(C2="——",ROUND(C43*D3/10000,0),ROUND(C43*D3/10000,0)-D2)</f>
        <v>#DIV/0!</v>
      </c>
      <c r="C2" s="2069"/>
      <c r="D2" s="1038" t="e">
        <f ca="1">SUMIF(INDIRECT("'"&amp;F2&amp;"'"&amp;"!A:A"),"承租人权益价值",INDIRECT("'"&amp;F2&amp;"'"&amp;"!c:c"))</f>
        <v>#REF!</v>
      </c>
      <c r="E2" s="2070" t="s">
        <v>2151</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177117.85000000003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1044"/>
      <c r="M4" s="1045"/>
      <c r="N4" s="1045"/>
      <c r="O4" s="1045"/>
      <c r="P4" s="3348" t="s">
        <v>2471</v>
      </c>
      <c r="Q4" s="3349"/>
      <c r="R4" s="3354" t="s">
        <v>2467</v>
      </c>
      <c r="S4" s="3355"/>
      <c r="T4" s="3354" t="s">
        <v>2468</v>
      </c>
      <c r="U4" s="3355"/>
      <c r="V4" s="3360" t="s">
        <v>2469</v>
      </c>
      <c r="W4" s="3360"/>
      <c r="X4" s="1541"/>
      <c r="Y4" s="3354" t="s">
        <v>2471</v>
      </c>
      <c r="Z4" s="3355"/>
      <c r="AA4" s="3341" t="s">
        <v>2467</v>
      </c>
      <c r="AB4" s="3342" t="s">
        <v>2468</v>
      </c>
      <c r="AC4" s="3341" t="s">
        <v>2469</v>
      </c>
    </row>
    <row r="5" spans="1:29" ht="15">
      <c r="A5" s="364"/>
      <c r="B5" s="365"/>
      <c r="C5" s="3363" t="s">
        <v>2362</v>
      </c>
      <c r="D5" s="3364"/>
      <c r="E5" s="3370" t="s">
        <v>2363</v>
      </c>
      <c r="F5" s="3371"/>
      <c r="G5" s="3363" t="s">
        <v>2364</v>
      </c>
      <c r="H5" s="3364"/>
      <c r="I5" s="3363" t="s">
        <v>2365</v>
      </c>
      <c r="J5" s="3364"/>
      <c r="K5" s="567"/>
      <c r="L5" s="1044"/>
      <c r="M5" s="1045"/>
      <c r="N5" s="1045"/>
      <c r="O5" s="1045"/>
      <c r="P5" s="3350"/>
      <c r="Q5" s="3351"/>
      <c r="R5" s="3356"/>
      <c r="S5" s="3357"/>
      <c r="T5" s="3356"/>
      <c r="U5" s="3357"/>
      <c r="V5" s="3360"/>
      <c r="W5" s="3360"/>
      <c r="X5" s="1541"/>
      <c r="Y5" s="3356"/>
      <c r="Z5" s="3357"/>
      <c r="AA5" s="3342"/>
      <c r="AB5" s="3342"/>
      <c r="AC5" s="3342"/>
    </row>
    <row r="6" spans="1:29" ht="15.75" thickBot="1">
      <c r="A6" s="366"/>
      <c r="B6" s="367"/>
      <c r="C6" s="3361" t="s">
        <v>2366</v>
      </c>
      <c r="D6" s="3362"/>
      <c r="E6" s="3368" t="s">
        <v>2366</v>
      </c>
      <c r="F6" s="3369"/>
      <c r="G6" s="3361" t="s">
        <v>2366</v>
      </c>
      <c r="H6" s="3362"/>
      <c r="I6" s="3361" t="s">
        <v>2366</v>
      </c>
      <c r="J6" s="3362"/>
      <c r="K6" s="567" t="s">
        <v>2367</v>
      </c>
      <c r="L6" s="1044"/>
      <c r="M6" s="1045"/>
      <c r="N6" s="1045"/>
      <c r="O6" s="1045"/>
      <c r="P6" s="3352"/>
      <c r="Q6" s="3353"/>
      <c r="R6" s="3356"/>
      <c r="S6" s="3357"/>
      <c r="T6" s="3358"/>
      <c r="U6" s="3359"/>
      <c r="V6" s="3360"/>
      <c r="W6" s="3360"/>
      <c r="X6" s="1541"/>
      <c r="Y6" s="3358"/>
      <c r="Z6" s="3359"/>
      <c r="AA6" s="3343"/>
      <c r="AB6" s="3343"/>
      <c r="AC6" s="3343"/>
    </row>
    <row r="7" spans="1:29" s="113" customFormat="1" ht="15.75" thickBot="1">
      <c r="A7" s="368" t="s">
        <v>2368</v>
      </c>
      <c r="B7" s="369"/>
      <c r="C7" s="370">
        <f>'数据-取费表'!B2</f>
        <v>44074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5" t="s">
        <v>2372</v>
      </c>
      <c r="Q8" s="3366"/>
      <c r="R8" s="710" t="s">
        <v>17</v>
      </c>
      <c r="S8" s="711">
        <f t="shared" si="0"/>
        <v>0</v>
      </c>
      <c r="T8" s="710" t="s">
        <v>17</v>
      </c>
      <c r="U8" s="711">
        <f t="shared" si="1"/>
        <v>0</v>
      </c>
      <c r="V8" s="710" t="s">
        <v>17</v>
      </c>
      <c r="W8" s="711">
        <f t="shared" si="2"/>
        <v>0</v>
      </c>
      <c r="X8" s="712"/>
      <c r="Y8" s="3365" t="s">
        <v>2372</v>
      </c>
      <c r="Z8" s="336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9"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29"/>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29"/>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29"/>
      <c r="Q14" s="1529">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15">
      <c r="A15" s="399" t="s">
        <v>2379</v>
      </c>
      <c r="B15" s="65" t="s">
        <v>2523</v>
      </c>
      <c r="C15" s="2159" t="str">
        <f>估价对象房地状况!G3</f>
        <v xml:space="preserve">  </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2380</v>
      </c>
      <c r="Q15" s="1538" t="str">
        <f t="shared" si="6"/>
        <v>产业集聚程度</v>
      </c>
      <c r="R15" s="714" t="s">
        <v>17</v>
      </c>
      <c r="S15" s="715">
        <f t="shared" si="0"/>
        <v>100</v>
      </c>
      <c r="T15" s="714" t="s">
        <v>17</v>
      </c>
      <c r="U15" s="715">
        <f t="shared" si="1"/>
        <v>100</v>
      </c>
      <c r="V15" s="714" t="s">
        <v>17</v>
      </c>
      <c r="W15" s="715">
        <f t="shared" si="2"/>
        <v>100</v>
      </c>
      <c r="X15" s="1541"/>
      <c r="Y15" s="3331"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2"/>
      <c r="Q16" s="1538"/>
      <c r="R16" s="714"/>
      <c r="S16" s="715"/>
      <c r="T16" s="714"/>
      <c r="U16" s="715"/>
      <c r="V16" s="714"/>
      <c r="W16" s="715"/>
      <c r="X16" s="1541"/>
      <c r="Y16" s="3332"/>
      <c r="Z16" s="1542"/>
      <c r="AA16" s="1539">
        <v>1</v>
      </c>
      <c r="AB16" s="1539">
        <v>1</v>
      </c>
      <c r="AC16" s="1539">
        <v>1</v>
      </c>
    </row>
    <row r="17" spans="1:29" ht="15">
      <c r="A17" s="387"/>
      <c r="B17" s="410" t="s">
        <v>1947</v>
      </c>
      <c r="C17" s="2088" t="str">
        <f>估价对象房地状况!G4</f>
        <v xml:space="preserve">  </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2"/>
      <c r="Q18" s="1538"/>
      <c r="R18" s="714"/>
      <c r="S18" s="715"/>
      <c r="T18" s="714"/>
      <c r="U18" s="715"/>
      <c r="V18" s="714"/>
      <c r="W18" s="715"/>
      <c r="X18" s="1541"/>
      <c r="Y18" s="3332"/>
      <c r="Z18" s="1542"/>
      <c r="AA18" s="1539">
        <v>1</v>
      </c>
      <c r="AB18" s="1539">
        <v>1</v>
      </c>
      <c r="AC18" s="1539">
        <v>1</v>
      </c>
    </row>
    <row r="19" spans="1:29" ht="15">
      <c r="A19" s="387"/>
      <c r="B19" s="410" t="s">
        <v>2508</v>
      </c>
      <c r="C19" s="2088" t="str">
        <f>估价对象房地状况!G5</f>
        <v xml:space="preserve">  </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2"/>
      <c r="Q20" s="1538"/>
      <c r="R20" s="714"/>
      <c r="S20" s="715"/>
      <c r="T20" s="714"/>
      <c r="U20" s="715"/>
      <c r="V20" s="714"/>
      <c r="W20" s="715"/>
      <c r="X20" s="1541"/>
      <c r="Y20" s="3332"/>
      <c r="Z20" s="1542"/>
      <c r="AA20" s="1539">
        <v>1</v>
      </c>
      <c r="AB20" s="1539">
        <v>1</v>
      </c>
      <c r="AC20" s="1539">
        <v>1</v>
      </c>
    </row>
    <row r="21" spans="1:29" ht="15">
      <c r="A21" s="387"/>
      <c r="B21" s="1293" t="s">
        <v>2509</v>
      </c>
      <c r="C21" s="2088" t="str">
        <f>估价对象房地状况!G6</f>
        <v xml:space="preserve">  </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2"/>
      <c r="Q22" s="1538"/>
      <c r="R22" s="714"/>
      <c r="S22" s="715"/>
      <c r="T22" s="714"/>
      <c r="U22" s="715"/>
      <c r="V22" s="714"/>
      <c r="W22" s="715"/>
      <c r="X22" s="1541"/>
      <c r="Y22" s="3332"/>
      <c r="Z22" s="1542"/>
      <c r="AA22" s="1539">
        <v>1</v>
      </c>
      <c r="AB22" s="1539">
        <v>1</v>
      </c>
      <c r="AC22" s="1539">
        <v>1</v>
      </c>
    </row>
    <row r="23" spans="1:29" ht="15">
      <c r="A23" s="387"/>
      <c r="B23" s="410" t="s">
        <v>2510</v>
      </c>
      <c r="C23" s="2088" t="str">
        <f>估价对象房地状况!G7</f>
        <v xml:space="preserve"> </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2"/>
      <c r="Q24" s="1538"/>
      <c r="R24" s="714"/>
      <c r="S24" s="715"/>
      <c r="T24" s="714"/>
      <c r="U24" s="715"/>
      <c r="V24" s="714"/>
      <c r="W24" s="715"/>
      <c r="X24" s="1541"/>
      <c r="Y24" s="333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8">
        <f>B25</f>
        <v>111</v>
      </c>
      <c r="R25" s="714" t="s">
        <v>17</v>
      </c>
      <c r="S25" s="715">
        <f>F25</f>
        <v>100</v>
      </c>
      <c r="T25" s="714" t="s">
        <v>17</v>
      </c>
      <c r="U25" s="715">
        <f>H25</f>
        <v>100</v>
      </c>
      <c r="V25" s="714" t="s">
        <v>17</v>
      </c>
      <c r="W25" s="715">
        <f>J25</f>
        <v>100</v>
      </c>
      <c r="X25" s="1541"/>
      <c r="Y25" s="333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8">
        <f t="shared" ref="Q26:Q40" si="11">B26</f>
        <v>111</v>
      </c>
      <c r="R26" s="714" t="s">
        <v>17</v>
      </c>
      <c r="S26" s="715">
        <f>F26</f>
        <v>100</v>
      </c>
      <c r="T26" s="714" t="s">
        <v>17</v>
      </c>
      <c r="U26" s="715">
        <f>H26</f>
        <v>100</v>
      </c>
      <c r="V26" s="714" t="s">
        <v>17</v>
      </c>
      <c r="W26" s="715">
        <f>J26</f>
        <v>100</v>
      </c>
      <c r="X26" s="1541"/>
      <c r="Y26" s="333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9">
        <f t="shared" si="11"/>
        <v>111</v>
      </c>
      <c r="R27" s="710" t="s">
        <v>17</v>
      </c>
      <c r="S27" s="711">
        <f>F27</f>
        <v>100</v>
      </c>
      <c r="T27" s="710" t="s">
        <v>17</v>
      </c>
      <c r="U27" s="711">
        <f>H27</f>
        <v>100</v>
      </c>
      <c r="V27" s="710" t="s">
        <v>17</v>
      </c>
      <c r="W27" s="711">
        <f>J27</f>
        <v>100</v>
      </c>
      <c r="X27" s="712"/>
      <c r="Y27" s="333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8">
        <f t="shared" si="11"/>
        <v>111</v>
      </c>
      <c r="R28" s="714" t="s">
        <v>17</v>
      </c>
      <c r="S28" s="715">
        <f t="shared" ref="S28:S40" si="12">F28</f>
        <v>100</v>
      </c>
      <c r="T28" s="714" t="s">
        <v>17</v>
      </c>
      <c r="U28" s="715">
        <f t="shared" ref="U28:U40" si="13">H28</f>
        <v>100</v>
      </c>
      <c r="V28" s="714" t="s">
        <v>17</v>
      </c>
      <c r="W28" s="715">
        <f t="shared" ref="W28:W40" si="14">J28</f>
        <v>100</v>
      </c>
      <c r="X28" s="1541"/>
      <c r="Y28" s="3332"/>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7" t="s">
        <v>2385</v>
      </c>
      <c r="Q29" s="1538" t="str">
        <f t="shared" si="11"/>
        <v>建筑类型</v>
      </c>
      <c r="R29" s="714" t="s">
        <v>17</v>
      </c>
      <c r="S29" s="715">
        <f t="shared" si="12"/>
        <v>100</v>
      </c>
      <c r="T29" s="714" t="s">
        <v>17</v>
      </c>
      <c r="U29" s="715">
        <f t="shared" si="13"/>
        <v>100</v>
      </c>
      <c r="V29" s="714" t="s">
        <v>17</v>
      </c>
      <c r="W29" s="715">
        <f t="shared" si="14"/>
        <v>100</v>
      </c>
      <c r="X29" s="1541"/>
      <c r="Y29" s="3336"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6"/>
      <c r="Q30" s="716" t="str">
        <f t="shared" si="11"/>
        <v>项目建筑规模</v>
      </c>
      <c r="R30" s="717" t="s">
        <v>17</v>
      </c>
      <c r="S30" s="718" t="e">
        <f t="shared" si="12"/>
        <v>#N/A</v>
      </c>
      <c r="T30" s="717" t="s">
        <v>17</v>
      </c>
      <c r="U30" s="718" t="e">
        <f t="shared" si="13"/>
        <v>#N/A</v>
      </c>
      <c r="V30" s="717" t="s">
        <v>17</v>
      </c>
      <c r="W30" s="718" t="e">
        <f t="shared" si="14"/>
        <v>#N/A</v>
      </c>
      <c r="X30" s="719"/>
      <c r="Y30" s="3336"/>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6"/>
      <c r="Q31" s="1538" t="str">
        <f t="shared" si="11"/>
        <v>建筑结构</v>
      </c>
      <c r="R31" s="714" t="s">
        <v>17</v>
      </c>
      <c r="S31" s="715">
        <f t="shared" si="12"/>
        <v>100</v>
      </c>
      <c r="T31" s="714" t="s">
        <v>17</v>
      </c>
      <c r="U31" s="715">
        <f t="shared" si="13"/>
        <v>100</v>
      </c>
      <c r="V31" s="714" t="s">
        <v>17</v>
      </c>
      <c r="W31" s="715">
        <f t="shared" si="14"/>
        <v>100</v>
      </c>
      <c r="X31" s="1541"/>
      <c r="Y31" s="3336"/>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6"/>
      <c r="Q32" s="1538" t="str">
        <f t="shared" si="11"/>
        <v>公共部分装修</v>
      </c>
      <c r="R32" s="714" t="s">
        <v>17</v>
      </c>
      <c r="S32" s="715">
        <f t="shared" si="12"/>
        <v>100</v>
      </c>
      <c r="T32" s="714" t="s">
        <v>17</v>
      </c>
      <c r="U32" s="715">
        <f t="shared" si="13"/>
        <v>100</v>
      </c>
      <c r="V32" s="714" t="s">
        <v>17</v>
      </c>
      <c r="W32" s="715">
        <f t="shared" si="14"/>
        <v>100</v>
      </c>
      <c r="X32" s="1541"/>
      <c r="Y32" s="3336"/>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6"/>
      <c r="Q33" s="1538" t="str">
        <f t="shared" si="11"/>
        <v>成新度</v>
      </c>
      <c r="R33" s="714" t="s">
        <v>17</v>
      </c>
      <c r="S33" s="715" t="e">
        <f t="shared" si="12"/>
        <v>#N/A</v>
      </c>
      <c r="T33" s="714" t="s">
        <v>17</v>
      </c>
      <c r="U33" s="715" t="e">
        <f t="shared" si="13"/>
        <v>#N/A</v>
      </c>
      <c r="V33" s="714" t="s">
        <v>17</v>
      </c>
      <c r="W33" s="715" t="e">
        <f t="shared" si="14"/>
        <v>#N/A</v>
      </c>
      <c r="X33" s="1541"/>
      <c r="Y33" s="3336"/>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6"/>
      <c r="Q34" s="1529" t="str">
        <f t="shared" si="11"/>
        <v>物业管理</v>
      </c>
      <c r="R34" s="710" t="s">
        <v>17</v>
      </c>
      <c r="S34" s="711">
        <f t="shared" si="12"/>
        <v>100</v>
      </c>
      <c r="T34" s="710" t="s">
        <v>17</v>
      </c>
      <c r="U34" s="711">
        <f t="shared" si="13"/>
        <v>100</v>
      </c>
      <c r="V34" s="710" t="s">
        <v>17</v>
      </c>
      <c r="W34" s="711">
        <f t="shared" si="14"/>
        <v>100</v>
      </c>
      <c r="X34" s="712"/>
      <c r="Y34" s="3336"/>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6" t="s">
        <v>2385</v>
      </c>
      <c r="Q35" s="1538" t="str">
        <f t="shared" si="11"/>
        <v>市政基础设施</v>
      </c>
      <c r="R35" s="714" t="s">
        <v>17</v>
      </c>
      <c r="S35" s="715">
        <f t="shared" si="12"/>
        <v>100</v>
      </c>
      <c r="T35" s="714" t="s">
        <v>17</v>
      </c>
      <c r="U35" s="715">
        <f t="shared" si="13"/>
        <v>100</v>
      </c>
      <c r="V35" s="714" t="s">
        <v>17</v>
      </c>
      <c r="W35" s="715">
        <f t="shared" si="14"/>
        <v>100</v>
      </c>
      <c r="X35" s="1541"/>
      <c r="Y35" s="3336"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6"/>
      <c r="Q36" s="1538" t="str">
        <f t="shared" si="11"/>
        <v>内部装修</v>
      </c>
      <c r="R36" s="714" t="s">
        <v>17</v>
      </c>
      <c r="S36" s="715">
        <f t="shared" si="12"/>
        <v>100</v>
      </c>
      <c r="T36" s="714" t="s">
        <v>17</v>
      </c>
      <c r="U36" s="715">
        <f t="shared" si="13"/>
        <v>100</v>
      </c>
      <c r="V36" s="714" t="s">
        <v>17</v>
      </c>
      <c r="W36" s="715">
        <f t="shared" si="14"/>
        <v>100</v>
      </c>
      <c r="X36" s="1541"/>
      <c r="Y36" s="3336"/>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6"/>
      <c r="Q37" s="1538" t="str">
        <f t="shared" si="11"/>
        <v>内部装修状况</v>
      </c>
      <c r="R37" s="714" t="s">
        <v>17</v>
      </c>
      <c r="S37" s="715">
        <f t="shared" si="12"/>
        <v>100</v>
      </c>
      <c r="T37" s="714" t="s">
        <v>17</v>
      </c>
      <c r="U37" s="715">
        <f t="shared" si="13"/>
        <v>100</v>
      </c>
      <c r="V37" s="714" t="s">
        <v>17</v>
      </c>
      <c r="W37" s="715">
        <f t="shared" si="14"/>
        <v>100</v>
      </c>
      <c r="X37" s="1541"/>
      <c r="Y37" s="3336"/>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6"/>
      <c r="Q38" s="716">
        <f t="shared" si="11"/>
        <v>111</v>
      </c>
      <c r="R38" s="717" t="s">
        <v>17</v>
      </c>
      <c r="S38" s="718">
        <f t="shared" si="12"/>
        <v>100</v>
      </c>
      <c r="T38" s="717" t="s">
        <v>17</v>
      </c>
      <c r="U38" s="718">
        <f t="shared" si="13"/>
        <v>100</v>
      </c>
      <c r="V38" s="717" t="s">
        <v>17</v>
      </c>
      <c r="W38" s="718">
        <f t="shared" si="14"/>
        <v>100</v>
      </c>
      <c r="X38" s="719"/>
      <c r="Y38" s="3336"/>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6"/>
      <c r="Q39" s="1538">
        <f t="shared" si="11"/>
        <v>111</v>
      </c>
      <c r="R39" s="714" t="s">
        <v>17</v>
      </c>
      <c r="S39" s="715">
        <f t="shared" si="12"/>
        <v>100</v>
      </c>
      <c r="T39" s="714" t="s">
        <v>17</v>
      </c>
      <c r="U39" s="715">
        <f t="shared" si="13"/>
        <v>100</v>
      </c>
      <c r="V39" s="714" t="s">
        <v>17</v>
      </c>
      <c r="W39" s="715">
        <f t="shared" si="14"/>
        <v>100</v>
      </c>
      <c r="X39" s="1541"/>
      <c r="Y39" s="3336"/>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7"/>
      <c r="Q40" s="1538">
        <f t="shared" si="11"/>
        <v>111</v>
      </c>
      <c r="R40" s="714" t="s">
        <v>17</v>
      </c>
      <c r="S40" s="715">
        <f t="shared" si="12"/>
        <v>100</v>
      </c>
      <c r="T40" s="714" t="s">
        <v>17</v>
      </c>
      <c r="U40" s="715">
        <f t="shared" si="13"/>
        <v>100</v>
      </c>
      <c r="V40" s="714" t="s">
        <v>17</v>
      </c>
      <c r="W40" s="715">
        <f t="shared" si="14"/>
        <v>100</v>
      </c>
      <c r="X40" s="1541"/>
      <c r="Y40" s="3337"/>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329" t="str">
        <f>A41</f>
        <v>成交单价（元/平方米）</v>
      </c>
      <c r="Q41" s="3329"/>
      <c r="R41" s="3330">
        <f>E41</f>
        <v>0</v>
      </c>
      <c r="S41" s="3330"/>
      <c r="T41" s="3330">
        <f>G41</f>
        <v>0</v>
      </c>
      <c r="U41" s="3330"/>
      <c r="V41" s="3330">
        <f>I41</f>
        <v>0</v>
      </c>
      <c r="W41" s="3330"/>
      <c r="X41" s="699"/>
      <c r="Y41" s="721"/>
      <c r="Z41" s="699"/>
      <c r="AA41" s="699"/>
      <c r="AB41" s="699"/>
      <c r="AC41" s="699"/>
    </row>
    <row r="42" spans="1:29" ht="15.75" thickBot="1">
      <c r="A42" s="445" t="s">
        <v>2489</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29" t="str">
        <f>A42</f>
        <v>比较价值（元/平方米）</v>
      </c>
      <c r="Q42" s="3329"/>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2020-8</v>
      </c>
      <c r="D52" s="1347">
        <f>EDATE(C52,-1)</f>
        <v>44013</v>
      </c>
      <c r="E52" s="1347">
        <f t="shared" ref="E52:O52" si="16">EDATE(D52,-1)</f>
        <v>43983</v>
      </c>
      <c r="F52" s="1347">
        <f t="shared" si="16"/>
        <v>43952</v>
      </c>
      <c r="G52" s="1347">
        <f t="shared" si="16"/>
        <v>43922</v>
      </c>
      <c r="H52" s="1347">
        <f t="shared" si="16"/>
        <v>43891</v>
      </c>
      <c r="I52" s="1347">
        <f t="shared" si="16"/>
        <v>43862</v>
      </c>
      <c r="J52" s="1347">
        <f t="shared" si="16"/>
        <v>43831</v>
      </c>
      <c r="K52" s="1347">
        <f t="shared" si="16"/>
        <v>43800</v>
      </c>
      <c r="L52" s="1347">
        <f t="shared" si="16"/>
        <v>43770</v>
      </c>
      <c r="M52" s="1347">
        <f t="shared" si="16"/>
        <v>43739</v>
      </c>
      <c r="N52" s="1347">
        <f t="shared" si="16"/>
        <v>43709</v>
      </c>
      <c r="O52" s="1347">
        <f t="shared" si="16"/>
        <v>43678</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估价对象为北京市房地产，为所有。根据《国有土地使用证》[]，估价对象（分摊）出让国有建设用地使用权面积为101087.14平方米，建筑面积为177117.85平方米。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估价对象为北京市房地产,属开发建设的工业项目，该项目尚在开发建设中。根据《国有土地使用证》[]，估价对象（分摊）出让国有建设用地使用权面积为101087.14平方米，规划建筑面积为177117.85平方米。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2020年8月31日（评估专业人员实地查勘之日）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2150</v>
      </c>
      <c r="B2" s="1326" t="e">
        <f ca="1">IF(C2="——",IF(B37="元/平方米",ROUND(C39*D3/10000,0),ROUND(F3*C39/10000,0)),IF(B37="元/平方米",ROUND(C39*D3/10000,0),ROUND(F3*C39/10000,0))-D2)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54" t="s">
        <v>2467</v>
      </c>
      <c r="S4" s="3355"/>
      <c r="T4" s="3354" t="s">
        <v>2468</v>
      </c>
      <c r="U4" s="3355"/>
      <c r="V4" s="3360" t="s">
        <v>2469</v>
      </c>
      <c r="W4" s="3360"/>
      <c r="X4" s="1541"/>
      <c r="Y4" s="3354" t="s">
        <v>2471</v>
      </c>
      <c r="Z4" s="3355"/>
      <c r="AA4" s="3341" t="s">
        <v>2467</v>
      </c>
      <c r="AB4" s="3342" t="s">
        <v>2468</v>
      </c>
      <c r="AC4" s="3341" t="s">
        <v>2469</v>
      </c>
    </row>
    <row r="5" spans="1:29" ht="15">
      <c r="A5" s="364"/>
      <c r="B5" s="365"/>
      <c r="C5" s="3363" t="s">
        <v>2362</v>
      </c>
      <c r="D5" s="3364"/>
      <c r="E5" s="3370" t="s">
        <v>2363</v>
      </c>
      <c r="F5" s="3371"/>
      <c r="G5" s="3363" t="s">
        <v>2364</v>
      </c>
      <c r="H5" s="3364"/>
      <c r="I5" s="3363" t="s">
        <v>2365</v>
      </c>
      <c r="J5" s="3364"/>
      <c r="K5" s="567"/>
      <c r="L5" s="2946"/>
      <c r="M5" s="2947"/>
      <c r="N5" s="2947"/>
      <c r="O5" s="2947"/>
      <c r="P5" s="3350"/>
      <c r="Q5" s="3351"/>
      <c r="R5" s="3356"/>
      <c r="S5" s="3357"/>
      <c r="T5" s="3356"/>
      <c r="U5" s="3357"/>
      <c r="V5" s="3360"/>
      <c r="W5" s="3360"/>
      <c r="X5" s="1541"/>
      <c r="Y5" s="3356"/>
      <c r="Z5" s="3357"/>
      <c r="AA5" s="3342"/>
      <c r="AB5" s="3342"/>
      <c r="AC5" s="3342"/>
    </row>
    <row r="6" spans="1:29" ht="15.75" thickBot="1">
      <c r="A6" s="366"/>
      <c r="B6" s="367"/>
      <c r="C6" s="3361" t="s">
        <v>2366</v>
      </c>
      <c r="D6" s="3362"/>
      <c r="E6" s="3368" t="s">
        <v>2366</v>
      </c>
      <c r="F6" s="3369"/>
      <c r="G6" s="3361" t="s">
        <v>2366</v>
      </c>
      <c r="H6" s="3362"/>
      <c r="I6" s="3361" t="s">
        <v>2366</v>
      </c>
      <c r="J6" s="3362"/>
      <c r="K6" s="567" t="s">
        <v>2367</v>
      </c>
      <c r="L6" s="2946"/>
      <c r="M6" s="2947"/>
      <c r="N6" s="2947"/>
      <c r="O6" s="2947"/>
      <c r="P6" s="3352"/>
      <c r="Q6" s="3353"/>
      <c r="R6" s="3356"/>
      <c r="S6" s="3357"/>
      <c r="T6" s="3358"/>
      <c r="U6" s="3359"/>
      <c r="V6" s="3360"/>
      <c r="W6" s="3360"/>
      <c r="X6" s="1541"/>
      <c r="Y6" s="3358"/>
      <c r="Z6" s="3359"/>
      <c r="AA6" s="3343"/>
      <c r="AB6" s="3343"/>
      <c r="AC6" s="3343"/>
    </row>
    <row r="7" spans="1:29" s="113" customFormat="1" ht="15.75" thickBot="1">
      <c r="A7" s="368" t="s">
        <v>2368</v>
      </c>
      <c r="B7" s="369"/>
      <c r="C7" s="370">
        <f>'数据-取费表'!B2</f>
        <v>44074</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65" t="s">
        <v>2369</v>
      </c>
      <c r="Q7" s="3367"/>
      <c r="R7" s="710" t="s">
        <v>17</v>
      </c>
      <c r="S7" s="711">
        <f t="shared" ref="S7:S14" si="0">F7</f>
        <v>0</v>
      </c>
      <c r="T7" s="710" t="s">
        <v>17</v>
      </c>
      <c r="U7" s="711">
        <f t="shared" ref="U7:U14" si="1">H7</f>
        <v>0</v>
      </c>
      <c r="V7" s="710" t="s">
        <v>17</v>
      </c>
      <c r="W7" s="711">
        <f t="shared" ref="W7:W14" si="2">J7</f>
        <v>0</v>
      </c>
      <c r="X7" s="712"/>
      <c r="Y7" s="3365" t="s">
        <v>2369</v>
      </c>
      <c r="Z7" s="336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65" t="s">
        <v>2372</v>
      </c>
      <c r="Q8" s="3366"/>
      <c r="R8" s="710" t="s">
        <v>17</v>
      </c>
      <c r="S8" s="711">
        <f t="shared" si="0"/>
        <v>0</v>
      </c>
      <c r="T8" s="710" t="s">
        <v>17</v>
      </c>
      <c r="U8" s="711">
        <f t="shared" si="1"/>
        <v>0</v>
      </c>
      <c r="V8" s="710" t="s">
        <v>17</v>
      </c>
      <c r="W8" s="711">
        <f t="shared" si="2"/>
        <v>0</v>
      </c>
      <c r="X8" s="712"/>
      <c r="Y8" s="3365" t="s">
        <v>2372</v>
      </c>
      <c r="Z8" s="336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29" t="s">
        <v>2375</v>
      </c>
      <c r="Q9" s="1529" t="str">
        <f t="shared" ref="Q9:Q14" si="6">B9</f>
        <v>用途</v>
      </c>
      <c r="R9" s="710" t="s">
        <v>17</v>
      </c>
      <c r="S9" s="711">
        <f t="shared" si="0"/>
        <v>100</v>
      </c>
      <c r="T9" s="710" t="s">
        <v>17</v>
      </c>
      <c r="U9" s="711">
        <f t="shared" si="1"/>
        <v>100</v>
      </c>
      <c r="V9" s="710" t="s">
        <v>17</v>
      </c>
      <c r="W9" s="711">
        <f t="shared" si="2"/>
        <v>100</v>
      </c>
      <c r="X9" s="712"/>
      <c r="Y9" s="319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29"/>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29"/>
      <c r="Q11" s="1529">
        <f t="shared" si="6"/>
        <v>111</v>
      </c>
      <c r="R11" s="710" t="s">
        <v>17</v>
      </c>
      <c r="S11" s="711">
        <f t="shared" si="0"/>
        <v>100</v>
      </c>
      <c r="T11" s="710" t="s">
        <v>17</v>
      </c>
      <c r="U11" s="711">
        <f t="shared" si="1"/>
        <v>100</v>
      </c>
      <c r="V11" s="710" t="s">
        <v>17</v>
      </c>
      <c r="W11" s="711">
        <f t="shared" si="2"/>
        <v>100</v>
      </c>
      <c r="X11" s="712"/>
      <c r="Y11" s="31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29"/>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29"/>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31" t="s">
        <v>2380</v>
      </c>
      <c r="Q14" s="1538" t="str">
        <f t="shared" si="6"/>
        <v>交通便捷度</v>
      </c>
      <c r="R14" s="714" t="s">
        <v>17</v>
      </c>
      <c r="S14" s="715">
        <f t="shared" si="0"/>
        <v>100</v>
      </c>
      <c r="T14" s="714" t="s">
        <v>17</v>
      </c>
      <c r="U14" s="715">
        <f t="shared" si="1"/>
        <v>100</v>
      </c>
      <c r="V14" s="714" t="s">
        <v>17</v>
      </c>
      <c r="W14" s="715">
        <f t="shared" si="2"/>
        <v>100</v>
      </c>
      <c r="X14" s="1541"/>
      <c r="Y14" s="3331"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32"/>
      <c r="Q15" s="1538"/>
      <c r="R15" s="714"/>
      <c r="S15" s="715"/>
      <c r="T15" s="714"/>
      <c r="U15" s="715"/>
      <c r="V15" s="714"/>
      <c r="W15" s="715"/>
      <c r="X15" s="1541"/>
      <c r="Y15" s="3332"/>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32"/>
      <c r="Q17" s="1538"/>
      <c r="R17" s="714"/>
      <c r="S17" s="715"/>
      <c r="T17" s="714"/>
      <c r="U17" s="715"/>
      <c r="V17" s="714"/>
      <c r="W17" s="715"/>
      <c r="X17" s="1541"/>
      <c r="Y17" s="3332"/>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32"/>
      <c r="Q19" s="1538"/>
      <c r="R19" s="714"/>
      <c r="S19" s="715"/>
      <c r="T19" s="714"/>
      <c r="U19" s="715"/>
      <c r="V19" s="714"/>
      <c r="W19" s="715"/>
      <c r="X19" s="1541"/>
      <c r="Y19" s="3332"/>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32"/>
      <c r="Q21" s="1538"/>
      <c r="R21" s="714"/>
      <c r="S21" s="715"/>
      <c r="T21" s="714"/>
      <c r="U21" s="715"/>
      <c r="V21" s="714"/>
      <c r="W21" s="715"/>
      <c r="X21" s="1541"/>
      <c r="Y21" s="3332"/>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32"/>
      <c r="Q24" s="1538">
        <f t="shared" ref="Q24:Q36"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87"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6"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36"/>
      <c r="Q27" s="716" t="str">
        <f t="shared" si="11"/>
        <v>项目停车位配比</v>
      </c>
      <c r="R27" s="717" t="s">
        <v>17</v>
      </c>
      <c r="S27" s="718">
        <f t="shared" si="12"/>
        <v>100</v>
      </c>
      <c r="T27" s="717" t="s">
        <v>17</v>
      </c>
      <c r="U27" s="718">
        <f t="shared" si="13"/>
        <v>100</v>
      </c>
      <c r="V27" s="717" t="s">
        <v>17</v>
      </c>
      <c r="W27" s="718">
        <f t="shared" si="14"/>
        <v>100</v>
      </c>
      <c r="X27" s="719"/>
      <c r="Y27" s="3336"/>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36"/>
      <c r="Q28" s="1538" t="str">
        <f t="shared" si="11"/>
        <v>公共部分装修</v>
      </c>
      <c r="R28" s="714" t="s">
        <v>17</v>
      </c>
      <c r="S28" s="715">
        <f t="shared" si="12"/>
        <v>100</v>
      </c>
      <c r="T28" s="714" t="s">
        <v>17</v>
      </c>
      <c r="U28" s="715">
        <f t="shared" si="13"/>
        <v>100</v>
      </c>
      <c r="V28" s="714" t="s">
        <v>17</v>
      </c>
      <c r="W28" s="715">
        <f t="shared" si="14"/>
        <v>100</v>
      </c>
      <c r="X28" s="1541"/>
      <c r="Y28" s="3336"/>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36"/>
      <c r="Q29" s="1538" t="str">
        <f t="shared" si="11"/>
        <v>成新率</v>
      </c>
      <c r="R29" s="714" t="s">
        <v>17</v>
      </c>
      <c r="S29" s="715" t="e">
        <f t="shared" si="12"/>
        <v>#N/A</v>
      </c>
      <c r="T29" s="714" t="s">
        <v>17</v>
      </c>
      <c r="U29" s="715" t="e">
        <f t="shared" si="13"/>
        <v>#N/A</v>
      </c>
      <c r="V29" s="714" t="s">
        <v>17</v>
      </c>
      <c r="W29" s="715" t="e">
        <f t="shared" si="14"/>
        <v>#N/A</v>
      </c>
      <c r="X29" s="1541"/>
      <c r="Y29" s="3336"/>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36"/>
      <c r="Q30" s="1538" t="str">
        <f t="shared" si="11"/>
        <v>物业等级</v>
      </c>
      <c r="R30" s="714" t="s">
        <v>17</v>
      </c>
      <c r="S30" s="715">
        <f t="shared" si="12"/>
        <v>100</v>
      </c>
      <c r="T30" s="714" t="s">
        <v>17</v>
      </c>
      <c r="U30" s="715">
        <f t="shared" si="13"/>
        <v>100</v>
      </c>
      <c r="V30" s="714" t="s">
        <v>17</v>
      </c>
      <c r="W30" s="715">
        <f t="shared" si="14"/>
        <v>100</v>
      </c>
      <c r="X30" s="1541"/>
      <c r="Y30" s="3336"/>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36"/>
      <c r="Q31" s="1529" t="str">
        <f t="shared" si="11"/>
        <v>停车位面积</v>
      </c>
      <c r="R31" s="710" t="s">
        <v>17</v>
      </c>
      <c r="S31" s="711" t="e">
        <f t="shared" si="12"/>
        <v>#N/A</v>
      </c>
      <c r="T31" s="710" t="s">
        <v>17</v>
      </c>
      <c r="U31" s="711" t="e">
        <f t="shared" si="13"/>
        <v>#N/A</v>
      </c>
      <c r="V31" s="710" t="s">
        <v>17</v>
      </c>
      <c r="W31" s="711" t="e">
        <f t="shared" si="14"/>
        <v>#N/A</v>
      </c>
      <c r="X31" s="712"/>
      <c r="Y31" s="3336"/>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36" t="s">
        <v>2385</v>
      </c>
      <c r="Q32" s="1538" t="str">
        <f t="shared" si="11"/>
        <v>车位类型</v>
      </c>
      <c r="R32" s="714" t="s">
        <v>17</v>
      </c>
      <c r="S32" s="715">
        <f t="shared" si="12"/>
        <v>100</v>
      </c>
      <c r="T32" s="714" t="s">
        <v>17</v>
      </c>
      <c r="U32" s="715">
        <f t="shared" si="13"/>
        <v>100</v>
      </c>
      <c r="V32" s="714" t="s">
        <v>17</v>
      </c>
      <c r="W32" s="715">
        <f t="shared" si="14"/>
        <v>100</v>
      </c>
      <c r="X32" s="1541"/>
      <c r="Y32" s="3336"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36"/>
      <c r="Q33" s="1538" t="str">
        <f t="shared" si="11"/>
        <v>是否直接入户</v>
      </c>
      <c r="R33" s="714" t="s">
        <v>17</v>
      </c>
      <c r="S33" s="715">
        <f t="shared" si="12"/>
        <v>100</v>
      </c>
      <c r="T33" s="714" t="s">
        <v>17</v>
      </c>
      <c r="U33" s="715">
        <f t="shared" si="13"/>
        <v>100</v>
      </c>
      <c r="V33" s="714" t="s">
        <v>17</v>
      </c>
      <c r="W33" s="715">
        <f t="shared" si="14"/>
        <v>100</v>
      </c>
      <c r="X33" s="1541"/>
      <c r="Y33" s="3336"/>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36"/>
      <c r="Q35" s="716">
        <f t="shared" si="11"/>
        <v>111</v>
      </c>
      <c r="R35" s="717" t="s">
        <v>17</v>
      </c>
      <c r="S35" s="718">
        <f t="shared" si="12"/>
        <v>100</v>
      </c>
      <c r="T35" s="717" t="s">
        <v>17</v>
      </c>
      <c r="U35" s="718">
        <f t="shared" si="13"/>
        <v>100</v>
      </c>
      <c r="V35" s="717" t="s">
        <v>17</v>
      </c>
      <c r="W35" s="718">
        <f t="shared" si="14"/>
        <v>100</v>
      </c>
      <c r="X35" s="719"/>
      <c r="Y35" s="3336"/>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36"/>
      <c r="Q36" s="1538">
        <f t="shared" si="11"/>
        <v>111</v>
      </c>
      <c r="R36" s="714" t="s">
        <v>17</v>
      </c>
      <c r="S36" s="715">
        <f t="shared" si="12"/>
        <v>100</v>
      </c>
      <c r="T36" s="714" t="s">
        <v>17</v>
      </c>
      <c r="U36" s="715">
        <f t="shared" si="13"/>
        <v>100</v>
      </c>
      <c r="V36" s="714" t="s">
        <v>17</v>
      </c>
      <c r="W36" s="715">
        <f t="shared" si="14"/>
        <v>100</v>
      </c>
      <c r="X36" s="1541"/>
      <c r="Y36" s="3336"/>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329" t="str">
        <f>A37</f>
        <v>成交单价</v>
      </c>
      <c r="Q37" s="3329"/>
      <c r="R37" s="3330">
        <f>E37</f>
        <v>0</v>
      </c>
      <c r="S37" s="3330"/>
      <c r="T37" s="3330">
        <f>G37</f>
        <v>0</v>
      </c>
      <c r="U37" s="3330"/>
      <c r="V37" s="3330">
        <f>I37</f>
        <v>0</v>
      </c>
      <c r="W37" s="3330"/>
      <c r="X37" s="699"/>
      <c r="Y37" s="721"/>
      <c r="Z37" s="699"/>
      <c r="AA37" s="699"/>
      <c r="AB37" s="699"/>
      <c r="AC37" s="699"/>
    </row>
    <row r="38" spans="1:29" ht="15.75" thickBot="1">
      <c r="A38" s="445" t="s">
        <v>2542</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29" t="str">
        <f>A38</f>
        <v>比较价值（元/平方米）</v>
      </c>
      <c r="Q38" s="3329"/>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326" t="str">
        <f>A39</f>
        <v>估价对象XX用房的比较价值（楼面单价，元/平方米）</v>
      </c>
      <c r="Q39" s="3327"/>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2020-8</v>
      </c>
      <c r="D48" s="1347">
        <f>EDATE(C48,-1)</f>
        <v>44013</v>
      </c>
      <c r="E48" s="1347">
        <f t="shared" ref="E48:O48" si="16">EDATE(D48,-1)</f>
        <v>43983</v>
      </c>
      <c r="F48" s="1347">
        <f t="shared" si="16"/>
        <v>43952</v>
      </c>
      <c r="G48" s="1347">
        <f t="shared" si="16"/>
        <v>43922</v>
      </c>
      <c r="H48" s="1347">
        <f t="shared" si="16"/>
        <v>43891</v>
      </c>
      <c r="I48" s="1347">
        <f t="shared" si="16"/>
        <v>43862</v>
      </c>
      <c r="J48" s="1347">
        <f t="shared" si="16"/>
        <v>43831</v>
      </c>
      <c r="K48" s="1347">
        <f t="shared" si="16"/>
        <v>43800</v>
      </c>
      <c r="L48" s="1347">
        <f t="shared" si="16"/>
        <v>43770</v>
      </c>
      <c r="M48" s="1347">
        <f t="shared" si="16"/>
        <v>43739</v>
      </c>
      <c r="N48" s="1347">
        <f t="shared" si="16"/>
        <v>43709</v>
      </c>
      <c r="O48" s="1347">
        <f t="shared" si="16"/>
        <v>43678</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IF(C2="——",ROUND(C37*D3/10000,0),ROUND(C37*D3/10000,0)-D2)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54" t="s">
        <v>2467</v>
      </c>
      <c r="S4" s="3355"/>
      <c r="T4" s="3354" t="s">
        <v>2468</v>
      </c>
      <c r="U4" s="3355"/>
      <c r="V4" s="3360" t="s">
        <v>2469</v>
      </c>
      <c r="W4" s="3360"/>
      <c r="X4" s="1541"/>
      <c r="Y4" s="3354" t="s">
        <v>2471</v>
      </c>
      <c r="Z4" s="3355"/>
      <c r="AA4" s="3341" t="s">
        <v>2467</v>
      </c>
      <c r="AB4" s="3342" t="s">
        <v>2468</v>
      </c>
      <c r="AC4" s="3341" t="s">
        <v>2469</v>
      </c>
    </row>
    <row r="5" spans="1:29" ht="15">
      <c r="A5" s="364"/>
      <c r="B5" s="365"/>
      <c r="C5" s="3363" t="s">
        <v>2362</v>
      </c>
      <c r="D5" s="3364"/>
      <c r="E5" s="3370" t="s">
        <v>2363</v>
      </c>
      <c r="F5" s="3371"/>
      <c r="G5" s="3363" t="s">
        <v>2364</v>
      </c>
      <c r="H5" s="3364"/>
      <c r="I5" s="3363" t="s">
        <v>2365</v>
      </c>
      <c r="J5" s="3364"/>
      <c r="K5" s="567"/>
      <c r="L5" s="2946"/>
      <c r="M5" s="2947"/>
      <c r="N5" s="2947"/>
      <c r="O5" s="2947"/>
      <c r="P5" s="3350"/>
      <c r="Q5" s="3351"/>
      <c r="R5" s="3356"/>
      <c r="S5" s="3357"/>
      <c r="T5" s="3356"/>
      <c r="U5" s="3357"/>
      <c r="V5" s="3360"/>
      <c r="W5" s="3360"/>
      <c r="X5" s="1541"/>
      <c r="Y5" s="3356"/>
      <c r="Z5" s="3357"/>
      <c r="AA5" s="3342"/>
      <c r="AB5" s="3342"/>
      <c r="AC5" s="3342"/>
    </row>
    <row r="6" spans="1:29" ht="15.75" thickBot="1">
      <c r="A6" s="366"/>
      <c r="B6" s="367"/>
      <c r="C6" s="3361" t="s">
        <v>2366</v>
      </c>
      <c r="D6" s="3362"/>
      <c r="E6" s="3368" t="s">
        <v>2366</v>
      </c>
      <c r="F6" s="3369"/>
      <c r="G6" s="3361" t="s">
        <v>2366</v>
      </c>
      <c r="H6" s="3362"/>
      <c r="I6" s="3361" t="s">
        <v>2366</v>
      </c>
      <c r="J6" s="3362"/>
      <c r="K6" s="567" t="s">
        <v>2367</v>
      </c>
      <c r="L6" s="2946"/>
      <c r="M6" s="2947"/>
      <c r="N6" s="2947"/>
      <c r="O6" s="2947"/>
      <c r="P6" s="3352"/>
      <c r="Q6" s="3353"/>
      <c r="R6" s="3356"/>
      <c r="S6" s="3357"/>
      <c r="T6" s="3358"/>
      <c r="U6" s="3359"/>
      <c r="V6" s="3360"/>
      <c r="W6" s="3360"/>
      <c r="X6" s="1541"/>
      <c r="Y6" s="3358"/>
      <c r="Z6" s="3359"/>
      <c r="AA6" s="3343"/>
      <c r="AB6" s="3343"/>
      <c r="AC6" s="3343"/>
    </row>
    <row r="7" spans="1:29" s="113" customFormat="1" ht="15.75" thickBot="1">
      <c r="A7" s="368" t="s">
        <v>2368</v>
      </c>
      <c r="B7" s="369"/>
      <c r="C7" s="370">
        <f>'数据-取费表'!B2</f>
        <v>44074</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65" t="s">
        <v>2369</v>
      </c>
      <c r="Q7" s="3367"/>
      <c r="R7" s="710" t="s">
        <v>17</v>
      </c>
      <c r="S7" s="711">
        <f t="shared" ref="S7:S14" si="0">F7</f>
        <v>0</v>
      </c>
      <c r="T7" s="710" t="s">
        <v>17</v>
      </c>
      <c r="U7" s="711">
        <f t="shared" ref="U7:U14" si="1">H7</f>
        <v>0</v>
      </c>
      <c r="V7" s="710" t="s">
        <v>17</v>
      </c>
      <c r="W7" s="711">
        <f t="shared" ref="W7:W14" si="2">J7</f>
        <v>0</v>
      </c>
      <c r="X7" s="712"/>
      <c r="Y7" s="3365" t="s">
        <v>2369</v>
      </c>
      <c r="Z7" s="336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65" t="s">
        <v>2372</v>
      </c>
      <c r="Q8" s="3366"/>
      <c r="R8" s="710" t="s">
        <v>17</v>
      </c>
      <c r="S8" s="711">
        <f t="shared" si="0"/>
        <v>0</v>
      </c>
      <c r="T8" s="710" t="s">
        <v>17</v>
      </c>
      <c r="U8" s="711">
        <f t="shared" si="1"/>
        <v>0</v>
      </c>
      <c r="V8" s="710" t="s">
        <v>17</v>
      </c>
      <c r="W8" s="711">
        <f t="shared" si="2"/>
        <v>0</v>
      </c>
      <c r="X8" s="712"/>
      <c r="Y8" s="3365" t="s">
        <v>2372</v>
      </c>
      <c r="Z8" s="336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29" t="s">
        <v>2375</v>
      </c>
      <c r="Q9" s="1529" t="str">
        <f t="shared" ref="Q9:Q14" si="6">B9</f>
        <v>用途</v>
      </c>
      <c r="R9" s="710" t="s">
        <v>17</v>
      </c>
      <c r="S9" s="711">
        <f t="shared" si="0"/>
        <v>100</v>
      </c>
      <c r="T9" s="710" t="s">
        <v>17</v>
      </c>
      <c r="U9" s="711">
        <f t="shared" si="1"/>
        <v>100</v>
      </c>
      <c r="V9" s="710" t="s">
        <v>17</v>
      </c>
      <c r="W9" s="711">
        <f t="shared" si="2"/>
        <v>100</v>
      </c>
      <c r="X9" s="712"/>
      <c r="Y9" s="319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29"/>
      <c r="Q10" s="1529" t="str">
        <f t="shared" si="6"/>
        <v>土地使用年限（年）</v>
      </c>
      <c r="R10" s="710" t="s">
        <v>17</v>
      </c>
      <c r="S10" s="711">
        <f t="shared" si="0"/>
        <v>100</v>
      </c>
      <c r="T10" s="710" t="s">
        <v>17</v>
      </c>
      <c r="U10" s="711">
        <f t="shared" si="1"/>
        <v>100</v>
      </c>
      <c r="V10" s="710" t="s">
        <v>17</v>
      </c>
      <c r="W10" s="711">
        <f t="shared" si="2"/>
        <v>100</v>
      </c>
      <c r="X10" s="712"/>
      <c r="Y10" s="3199"/>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29"/>
      <c r="Q11" s="1529">
        <f t="shared" si="6"/>
        <v>111</v>
      </c>
      <c r="R11" s="710" t="s">
        <v>17</v>
      </c>
      <c r="S11" s="711">
        <f t="shared" si="0"/>
        <v>100</v>
      </c>
      <c r="T11" s="710" t="s">
        <v>17</v>
      </c>
      <c r="U11" s="711">
        <f t="shared" si="1"/>
        <v>100</v>
      </c>
      <c r="V11" s="710" t="s">
        <v>17</v>
      </c>
      <c r="W11" s="711">
        <f t="shared" si="2"/>
        <v>100</v>
      </c>
      <c r="X11" s="712"/>
      <c r="Y11" s="3199"/>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29"/>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29"/>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31" t="s">
        <v>2380</v>
      </c>
      <c r="Q14" s="1538" t="str">
        <f t="shared" si="6"/>
        <v>交通便捷度</v>
      </c>
      <c r="R14" s="714" t="s">
        <v>17</v>
      </c>
      <c r="S14" s="715">
        <f t="shared" si="0"/>
        <v>100</v>
      </c>
      <c r="T14" s="714" t="s">
        <v>17</v>
      </c>
      <c r="U14" s="715">
        <f t="shared" si="1"/>
        <v>100</v>
      </c>
      <c r="V14" s="714" t="s">
        <v>17</v>
      </c>
      <c r="W14" s="715">
        <f t="shared" si="2"/>
        <v>100</v>
      </c>
      <c r="X14" s="1541"/>
      <c r="Y14" s="3331"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32"/>
      <c r="Q15" s="1538"/>
      <c r="R15" s="714"/>
      <c r="S15" s="715"/>
      <c r="T15" s="714"/>
      <c r="U15" s="715"/>
      <c r="V15" s="714"/>
      <c r="W15" s="715"/>
      <c r="X15" s="1541"/>
      <c r="Y15" s="3332"/>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32"/>
      <c r="Q17" s="1538"/>
      <c r="R17" s="714"/>
      <c r="S17" s="715"/>
      <c r="T17" s="714"/>
      <c r="U17" s="715"/>
      <c r="V17" s="714"/>
      <c r="W17" s="715"/>
      <c r="X17" s="1541"/>
      <c r="Y17" s="3332"/>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32"/>
      <c r="Q19" s="1538"/>
      <c r="R19" s="714"/>
      <c r="S19" s="715"/>
      <c r="T19" s="714"/>
      <c r="U19" s="715"/>
      <c r="V19" s="714"/>
      <c r="W19" s="715"/>
      <c r="X19" s="1541"/>
      <c r="Y19" s="3332"/>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32"/>
      <c r="Q21" s="1538"/>
      <c r="R21" s="714"/>
      <c r="S21" s="715"/>
      <c r="T21" s="714"/>
      <c r="U21" s="715"/>
      <c r="V21" s="714"/>
      <c r="W21" s="715"/>
      <c r="X21" s="1541"/>
      <c r="Y21" s="3332"/>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32"/>
      <c r="Q24" s="1538">
        <f t="shared" ref="Q24:Q34"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87"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6"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36"/>
      <c r="Q27" s="716" t="str">
        <f t="shared" si="11"/>
        <v>成新率</v>
      </c>
      <c r="R27" s="717" t="s">
        <v>17</v>
      </c>
      <c r="S27" s="718" t="e">
        <f t="shared" si="12"/>
        <v>#N/A</v>
      </c>
      <c r="T27" s="717" t="s">
        <v>17</v>
      </c>
      <c r="U27" s="718" t="e">
        <f t="shared" si="13"/>
        <v>#N/A</v>
      </c>
      <c r="V27" s="717" t="s">
        <v>17</v>
      </c>
      <c r="W27" s="718" t="e">
        <f t="shared" si="14"/>
        <v>#N/A</v>
      </c>
      <c r="X27" s="719"/>
      <c r="Y27" s="3336"/>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36"/>
      <c r="Q28" s="1538" t="str">
        <f t="shared" si="11"/>
        <v>物业等级</v>
      </c>
      <c r="R28" s="714" t="s">
        <v>17</v>
      </c>
      <c r="S28" s="715">
        <f t="shared" si="12"/>
        <v>100</v>
      </c>
      <c r="T28" s="714" t="s">
        <v>17</v>
      </c>
      <c r="U28" s="715">
        <f t="shared" si="13"/>
        <v>100</v>
      </c>
      <c r="V28" s="714" t="s">
        <v>17</v>
      </c>
      <c r="W28" s="715">
        <f t="shared" si="14"/>
        <v>100</v>
      </c>
      <c r="X28" s="1541"/>
      <c r="Y28" s="3336"/>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36"/>
      <c r="Q29" s="1538" t="str">
        <f t="shared" si="11"/>
        <v>有无电梯</v>
      </c>
      <c r="R29" s="714" t="s">
        <v>17</v>
      </c>
      <c r="S29" s="715">
        <f t="shared" si="12"/>
        <v>100</v>
      </c>
      <c r="T29" s="714" t="s">
        <v>17</v>
      </c>
      <c r="U29" s="715">
        <f t="shared" si="13"/>
        <v>100</v>
      </c>
      <c r="V29" s="714" t="s">
        <v>17</v>
      </c>
      <c r="W29" s="715">
        <f t="shared" si="14"/>
        <v>100</v>
      </c>
      <c r="X29" s="1541"/>
      <c r="Y29" s="3336"/>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36"/>
      <c r="Q30" s="1538" t="str">
        <f t="shared" si="11"/>
        <v>建筑面积</v>
      </c>
      <c r="R30" s="714" t="s">
        <v>17</v>
      </c>
      <c r="S30" s="715" t="e">
        <f t="shared" si="12"/>
        <v>#N/A</v>
      </c>
      <c r="T30" s="714" t="s">
        <v>17</v>
      </c>
      <c r="U30" s="715" t="e">
        <f t="shared" si="13"/>
        <v>#N/A</v>
      </c>
      <c r="V30" s="714" t="s">
        <v>17</v>
      </c>
      <c r="W30" s="715" t="e">
        <f t="shared" si="14"/>
        <v>#N/A</v>
      </c>
      <c r="X30" s="1541"/>
      <c r="Y30" s="3336"/>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36"/>
      <c r="Q31" s="1529" t="str">
        <f t="shared" si="11"/>
        <v>是否封闭</v>
      </c>
      <c r="R31" s="710" t="s">
        <v>17</v>
      </c>
      <c r="S31" s="711">
        <f t="shared" si="12"/>
        <v>100</v>
      </c>
      <c r="T31" s="710" t="s">
        <v>17</v>
      </c>
      <c r="U31" s="711">
        <f t="shared" si="13"/>
        <v>100</v>
      </c>
      <c r="V31" s="710" t="s">
        <v>17</v>
      </c>
      <c r="W31" s="711">
        <f t="shared" si="14"/>
        <v>100</v>
      </c>
      <c r="X31" s="712"/>
      <c r="Y31" s="3336"/>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36" t="s">
        <v>2385</v>
      </c>
      <c r="Q32" s="1538">
        <f t="shared" si="11"/>
        <v>111</v>
      </c>
      <c r="R32" s="714" t="s">
        <v>17</v>
      </c>
      <c r="S32" s="715">
        <f t="shared" si="12"/>
        <v>100</v>
      </c>
      <c r="T32" s="714" t="s">
        <v>17</v>
      </c>
      <c r="U32" s="715">
        <f t="shared" si="13"/>
        <v>100</v>
      </c>
      <c r="V32" s="714" t="s">
        <v>17</v>
      </c>
      <c r="W32" s="715">
        <f t="shared" si="14"/>
        <v>100</v>
      </c>
      <c r="X32" s="1541"/>
      <c r="Y32" s="3336"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36"/>
      <c r="Q33" s="1538">
        <f t="shared" si="11"/>
        <v>111</v>
      </c>
      <c r="R33" s="714" t="s">
        <v>17</v>
      </c>
      <c r="S33" s="715">
        <f t="shared" si="12"/>
        <v>100</v>
      </c>
      <c r="T33" s="714" t="s">
        <v>17</v>
      </c>
      <c r="U33" s="715">
        <f t="shared" si="13"/>
        <v>100</v>
      </c>
      <c r="V33" s="714" t="s">
        <v>17</v>
      </c>
      <c r="W33" s="715">
        <f t="shared" si="14"/>
        <v>100</v>
      </c>
      <c r="X33" s="1541"/>
      <c r="Y33" s="3336"/>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329" t="str">
        <f>A35</f>
        <v>成交单价（元/平方米）</v>
      </c>
      <c r="Q35" s="3329"/>
      <c r="R35" s="3330">
        <f>E35</f>
        <v>0</v>
      </c>
      <c r="S35" s="3330"/>
      <c r="T35" s="3330">
        <f>G35</f>
        <v>0</v>
      </c>
      <c r="U35" s="3330"/>
      <c r="V35" s="3330">
        <f>I35</f>
        <v>0</v>
      </c>
      <c r="W35" s="3330"/>
      <c r="X35" s="699"/>
      <c r="Y35" s="721"/>
      <c r="Z35" s="699"/>
      <c r="AA35" s="699"/>
      <c r="AB35" s="699"/>
      <c r="AC35" s="699"/>
    </row>
    <row r="36" spans="1:30" ht="15.75" thickBot="1">
      <c r="A36" s="445" t="s">
        <v>2489</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29" t="str">
        <f>A36</f>
        <v>比较价值（元/平方米）</v>
      </c>
      <c r="Q36" s="3329"/>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326" t="str">
        <f>A37</f>
        <v>估价对象XX用房的比较价值（楼面单价，元/平方米）</v>
      </c>
      <c r="Q37" s="3327"/>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2020-8</v>
      </c>
      <c r="D46" s="1347">
        <f>EDATE(C46,-1)</f>
        <v>44013</v>
      </c>
      <c r="E46" s="1347">
        <f t="shared" ref="E46:O46" si="16">EDATE(D46,-1)</f>
        <v>43983</v>
      </c>
      <c r="F46" s="1347">
        <f t="shared" si="16"/>
        <v>43952</v>
      </c>
      <c r="G46" s="1347">
        <f t="shared" si="16"/>
        <v>43922</v>
      </c>
      <c r="H46" s="1347">
        <f t="shared" si="16"/>
        <v>43891</v>
      </c>
      <c r="I46" s="1347">
        <f t="shared" si="16"/>
        <v>43862</v>
      </c>
      <c r="J46" s="1347">
        <f t="shared" si="16"/>
        <v>43831</v>
      </c>
      <c r="K46" s="1347">
        <f t="shared" si="16"/>
        <v>43800</v>
      </c>
      <c r="L46" s="1347">
        <f t="shared" si="16"/>
        <v>43770</v>
      </c>
      <c r="M46" s="1347">
        <f t="shared" si="16"/>
        <v>43739</v>
      </c>
      <c r="N46" s="1347">
        <f t="shared" si="16"/>
        <v>43709</v>
      </c>
      <c r="O46" s="1347">
        <f t="shared" si="16"/>
        <v>43678</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2152</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54" t="s">
        <v>2467</v>
      </c>
      <c r="S4" s="3355"/>
      <c r="T4" s="3354" t="s">
        <v>2468</v>
      </c>
      <c r="U4" s="3355"/>
      <c r="V4" s="3360" t="s">
        <v>2469</v>
      </c>
      <c r="W4" s="3360"/>
      <c r="X4" s="1541"/>
      <c r="Y4" s="3354" t="s">
        <v>2471</v>
      </c>
      <c r="Z4" s="3355"/>
      <c r="AA4" s="3341" t="s">
        <v>2467</v>
      </c>
      <c r="AB4" s="3342" t="s">
        <v>2468</v>
      </c>
      <c r="AC4" s="3341" t="s">
        <v>2469</v>
      </c>
    </row>
    <row r="5" spans="1:30" ht="15">
      <c r="A5" s="364"/>
      <c r="B5" s="365"/>
      <c r="C5" s="3363" t="s">
        <v>2362</v>
      </c>
      <c r="D5" s="3364"/>
      <c r="E5" s="3370" t="s">
        <v>2363</v>
      </c>
      <c r="F5" s="3371"/>
      <c r="G5" s="3363" t="s">
        <v>2364</v>
      </c>
      <c r="H5" s="3364"/>
      <c r="I5" s="3363" t="s">
        <v>2365</v>
      </c>
      <c r="J5" s="3364"/>
      <c r="K5" s="567"/>
      <c r="L5" s="2946"/>
      <c r="M5" s="2947"/>
      <c r="N5" s="2947"/>
      <c r="O5" s="2947"/>
      <c r="P5" s="3350"/>
      <c r="Q5" s="3351"/>
      <c r="R5" s="3356"/>
      <c r="S5" s="3357"/>
      <c r="T5" s="3356"/>
      <c r="U5" s="3357"/>
      <c r="V5" s="3360"/>
      <c r="W5" s="3360"/>
      <c r="X5" s="1541"/>
      <c r="Y5" s="3356"/>
      <c r="Z5" s="3357"/>
      <c r="AA5" s="3342"/>
      <c r="AB5" s="3342"/>
      <c r="AC5" s="3342"/>
    </row>
    <row r="6" spans="1:30" ht="15.75" thickBot="1">
      <c r="A6" s="366"/>
      <c r="B6" s="367"/>
      <c r="C6" s="3361" t="s">
        <v>2366</v>
      </c>
      <c r="D6" s="3362"/>
      <c r="E6" s="3368" t="s">
        <v>2366</v>
      </c>
      <c r="F6" s="3369"/>
      <c r="G6" s="3361" t="s">
        <v>2366</v>
      </c>
      <c r="H6" s="3362"/>
      <c r="I6" s="3361" t="s">
        <v>2366</v>
      </c>
      <c r="J6" s="3362"/>
      <c r="K6" s="567" t="s">
        <v>2367</v>
      </c>
      <c r="L6" s="2946"/>
      <c r="M6" s="2947"/>
      <c r="N6" s="2947"/>
      <c r="O6" s="2947"/>
      <c r="P6" s="3352"/>
      <c r="Q6" s="3353"/>
      <c r="R6" s="3356"/>
      <c r="S6" s="3357"/>
      <c r="T6" s="3358"/>
      <c r="U6" s="3359"/>
      <c r="V6" s="3360"/>
      <c r="W6" s="3360"/>
      <c r="X6" s="1541"/>
      <c r="Y6" s="3358"/>
      <c r="Z6" s="3359"/>
      <c r="AA6" s="3343"/>
      <c r="AB6" s="3343"/>
      <c r="AC6" s="3343"/>
    </row>
    <row r="7" spans="1:30" s="113" customFormat="1" ht="15.75" thickBot="1">
      <c r="A7" s="368" t="s">
        <v>2368</v>
      </c>
      <c r="B7" s="369"/>
      <c r="C7" s="370">
        <f>'数据-取费表'!B2</f>
        <v>44074</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65" t="s">
        <v>2372</v>
      </c>
      <c r="Q8" s="3366"/>
      <c r="R8" s="710" t="s">
        <v>17</v>
      </c>
      <c r="S8" s="711">
        <f t="shared" si="0"/>
        <v>0</v>
      </c>
      <c r="T8" s="710" t="s">
        <v>17</v>
      </c>
      <c r="U8" s="711">
        <f t="shared" si="1"/>
        <v>0</v>
      </c>
      <c r="V8" s="710" t="s">
        <v>17</v>
      </c>
      <c r="W8" s="711">
        <f t="shared" si="2"/>
        <v>0</v>
      </c>
      <c r="X8" s="712"/>
      <c r="Y8" s="3365" t="s">
        <v>2372</v>
      </c>
      <c r="Z8" s="3366"/>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29"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50"/>
      <c r="M10" s="2951"/>
      <c r="N10" s="2951"/>
      <c r="O10" s="3004"/>
      <c r="P10" s="3329"/>
      <c r="Q10" s="1529" t="str">
        <f t="shared" si="6"/>
        <v>土地使用年限（年）</v>
      </c>
      <c r="R10" s="710" t="s">
        <v>17</v>
      </c>
      <c r="S10" s="711">
        <f t="shared" si="0"/>
        <v>103</v>
      </c>
      <c r="T10" s="710" t="s">
        <v>17</v>
      </c>
      <c r="U10" s="711">
        <f t="shared" si="1"/>
        <v>103</v>
      </c>
      <c r="V10" s="710" t="s">
        <v>17</v>
      </c>
      <c r="W10" s="711">
        <f t="shared" si="2"/>
        <v>103</v>
      </c>
      <c r="X10" s="712"/>
      <c r="Y10" s="3199"/>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29"/>
      <c r="Q11" s="1529" t="str">
        <f t="shared" si="6"/>
        <v>容积率</v>
      </c>
      <c r="R11" s="710" t="s">
        <v>17</v>
      </c>
      <c r="S11" s="711" t="e">
        <f t="shared" si="0"/>
        <v>#N/A</v>
      </c>
      <c r="T11" s="710" t="s">
        <v>17</v>
      </c>
      <c r="U11" s="711" t="e">
        <f t="shared" si="1"/>
        <v>#N/A</v>
      </c>
      <c r="V11" s="710" t="s">
        <v>17</v>
      </c>
      <c r="W11" s="711" t="e">
        <f t="shared" si="2"/>
        <v>#N/A</v>
      </c>
      <c r="X11" s="712"/>
      <c r="Y11" s="3199"/>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29"/>
      <c r="Q12" s="1529" t="str">
        <f t="shared" si="6"/>
        <v>配建</v>
      </c>
      <c r="R12" s="710" t="s">
        <v>17</v>
      </c>
      <c r="S12" s="711">
        <f t="shared" si="0"/>
        <v>100</v>
      </c>
      <c r="T12" s="710" t="s">
        <v>17</v>
      </c>
      <c r="U12" s="711">
        <f t="shared" si="1"/>
        <v>100</v>
      </c>
      <c r="V12" s="710" t="s">
        <v>17</v>
      </c>
      <c r="W12" s="711">
        <f t="shared" si="2"/>
        <v>100</v>
      </c>
      <c r="X12" s="712"/>
      <c r="Y12" s="3199"/>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29"/>
      <c r="Q13" s="1529">
        <f t="shared" si="6"/>
        <v>111</v>
      </c>
      <c r="R13" s="710" t="s">
        <v>17</v>
      </c>
      <c r="S13" s="711">
        <f t="shared" si="0"/>
        <v>100</v>
      </c>
      <c r="T13" s="710" t="s">
        <v>17</v>
      </c>
      <c r="U13" s="711">
        <f t="shared" si="1"/>
        <v>100</v>
      </c>
      <c r="V13" s="710" t="s">
        <v>17</v>
      </c>
      <c r="W13" s="711">
        <f t="shared" si="2"/>
        <v>100</v>
      </c>
      <c r="X13" s="712"/>
      <c r="Y13" s="3199"/>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29"/>
      <c r="Q14" s="1529">
        <f t="shared" si="6"/>
        <v>111</v>
      </c>
      <c r="R14" s="710" t="s">
        <v>17</v>
      </c>
      <c r="S14" s="711">
        <f t="shared" si="0"/>
        <v>100</v>
      </c>
      <c r="T14" s="710" t="s">
        <v>17</v>
      </c>
      <c r="U14" s="711">
        <f t="shared" si="1"/>
        <v>100</v>
      </c>
      <c r="V14" s="710" t="s">
        <v>17</v>
      </c>
      <c r="W14" s="711">
        <f t="shared" si="2"/>
        <v>100</v>
      </c>
      <c r="X14" s="712"/>
      <c r="Y14" s="3199"/>
      <c r="Z14" s="55">
        <f t="shared" si="7"/>
        <v>111</v>
      </c>
      <c r="AA14" s="713">
        <f>D14/F14</f>
        <v>1</v>
      </c>
      <c r="AB14" s="713">
        <f>D14/H14</f>
        <v>1</v>
      </c>
      <c r="AC14" s="713">
        <f>D14/J14</f>
        <v>1</v>
      </c>
    </row>
    <row r="15" spans="1:30" ht="99.75">
      <c r="A15" s="399" t="s">
        <v>2379</v>
      </c>
      <c r="B15" s="65" t="s">
        <v>1945</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31" t="s">
        <v>2380</v>
      </c>
      <c r="Q15" s="1538" t="str">
        <f t="shared" si="6"/>
        <v>居住社区成熟度</v>
      </c>
      <c r="R15" s="714" t="s">
        <v>17</v>
      </c>
      <c r="S15" s="715">
        <f t="shared" si="0"/>
        <v>100</v>
      </c>
      <c r="T15" s="714" t="s">
        <v>17</v>
      </c>
      <c r="U15" s="715">
        <f t="shared" si="1"/>
        <v>100</v>
      </c>
      <c r="V15" s="714" t="s">
        <v>17</v>
      </c>
      <c r="W15" s="715">
        <f t="shared" si="2"/>
        <v>100</v>
      </c>
      <c r="X15" s="1541"/>
      <c r="Y15" s="3331"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32"/>
      <c r="Q16" s="1538"/>
      <c r="R16" s="714"/>
      <c r="S16" s="715"/>
      <c r="T16" s="714"/>
      <c r="U16" s="715"/>
      <c r="V16" s="714"/>
      <c r="W16" s="715"/>
      <c r="X16" s="1541"/>
      <c r="Y16" s="3332"/>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32"/>
      <c r="Q17" s="1538" t="str">
        <f>B17</f>
        <v>商业繁华度</v>
      </c>
      <c r="R17" s="714" t="s">
        <v>17</v>
      </c>
      <c r="S17" s="715">
        <f>F17</f>
        <v>100</v>
      </c>
      <c r="T17" s="714" t="s">
        <v>17</v>
      </c>
      <c r="U17" s="715">
        <f>H17</f>
        <v>100</v>
      </c>
      <c r="V17" s="714" t="s">
        <v>17</v>
      </c>
      <c r="W17" s="715">
        <f>J17</f>
        <v>100</v>
      </c>
      <c r="X17" s="1541"/>
      <c r="Y17" s="3332"/>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32"/>
      <c r="Q18" s="1538"/>
      <c r="R18" s="714"/>
      <c r="S18" s="715"/>
      <c r="T18" s="714"/>
      <c r="U18" s="715"/>
      <c r="V18" s="714"/>
      <c r="W18" s="715"/>
      <c r="X18" s="1541"/>
      <c r="Y18" s="3332"/>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32"/>
      <c r="Q19" s="1538" t="str">
        <f>B19</f>
        <v>办公集聚程度</v>
      </c>
      <c r="R19" s="714" t="s">
        <v>17</v>
      </c>
      <c r="S19" s="715">
        <f>F19</f>
        <v>100</v>
      </c>
      <c r="T19" s="714" t="s">
        <v>17</v>
      </c>
      <c r="U19" s="715">
        <f>H19</f>
        <v>100</v>
      </c>
      <c r="V19" s="714" t="s">
        <v>17</v>
      </c>
      <c r="W19" s="715">
        <f>J19</f>
        <v>100</v>
      </c>
      <c r="X19" s="1541"/>
      <c r="Y19" s="3332"/>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32"/>
      <c r="Q20" s="1538"/>
      <c r="R20" s="714"/>
      <c r="S20" s="715"/>
      <c r="T20" s="714"/>
      <c r="U20" s="715"/>
      <c r="V20" s="714"/>
      <c r="W20" s="715"/>
      <c r="X20" s="1541"/>
      <c r="Y20" s="3332"/>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32"/>
      <c r="Q21" s="1538" t="str">
        <f>B21</f>
        <v>交通便捷度</v>
      </c>
      <c r="R21" s="714" t="s">
        <v>17</v>
      </c>
      <c r="S21" s="715">
        <f>F21</f>
        <v>100</v>
      </c>
      <c r="T21" s="714" t="s">
        <v>17</v>
      </c>
      <c r="U21" s="715">
        <f>H21</f>
        <v>100</v>
      </c>
      <c r="V21" s="714" t="s">
        <v>17</v>
      </c>
      <c r="W21" s="715">
        <f>J21</f>
        <v>100</v>
      </c>
      <c r="X21" s="1541"/>
      <c r="Y21" s="3332"/>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32"/>
      <c r="Q22" s="1538"/>
      <c r="R22" s="714"/>
      <c r="S22" s="715"/>
      <c r="T22" s="714"/>
      <c r="U22" s="715"/>
      <c r="V22" s="714"/>
      <c r="W22" s="715"/>
      <c r="X22" s="1541"/>
      <c r="Y22" s="3332"/>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32"/>
      <c r="Q23" s="1538" t="str">
        <f t="shared" ref="Q23:Q37" si="8">B23</f>
        <v>区域土地利用方向</v>
      </c>
      <c r="R23" s="714" t="s">
        <v>17</v>
      </c>
      <c r="S23" s="715">
        <f>F23</f>
        <v>100</v>
      </c>
      <c r="T23" s="714" t="s">
        <v>17</v>
      </c>
      <c r="U23" s="715">
        <f>H23</f>
        <v>100</v>
      </c>
      <c r="V23" s="714" t="s">
        <v>17</v>
      </c>
      <c r="W23" s="715">
        <f>J23</f>
        <v>100</v>
      </c>
      <c r="X23" s="1541"/>
      <c r="Y23" s="3332"/>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32"/>
      <c r="Q24" s="1538"/>
      <c r="R24" s="714"/>
      <c r="S24" s="715"/>
      <c r="T24" s="714"/>
      <c r="U24" s="715"/>
      <c r="V24" s="714"/>
      <c r="W24" s="715"/>
      <c r="X24" s="1541"/>
      <c r="Y24" s="3332"/>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32"/>
      <c r="Q25" s="1538" t="str">
        <f t="shared" si="8"/>
        <v>自然及人文环境状况</v>
      </c>
      <c r="R25" s="714" t="s">
        <v>17</v>
      </c>
      <c r="S25" s="715">
        <f>F25</f>
        <v>100</v>
      </c>
      <c r="T25" s="714" t="s">
        <v>17</v>
      </c>
      <c r="U25" s="715">
        <f>H25</f>
        <v>100</v>
      </c>
      <c r="V25" s="714" t="s">
        <v>17</v>
      </c>
      <c r="W25" s="715">
        <f>J25</f>
        <v>100</v>
      </c>
      <c r="X25" s="1541"/>
      <c r="Y25" s="3332"/>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32"/>
      <c r="Q26" s="1538"/>
      <c r="R26" s="714"/>
      <c r="S26" s="715"/>
      <c r="T26" s="714"/>
      <c r="U26" s="715"/>
      <c r="V26" s="714"/>
      <c r="W26" s="715"/>
      <c r="X26" s="1541"/>
      <c r="Y26" s="3332"/>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32"/>
      <c r="Q27" s="1529" t="str">
        <f t="shared" si="8"/>
        <v>公共配套设施</v>
      </c>
      <c r="R27" s="710" t="s">
        <v>17</v>
      </c>
      <c r="S27" s="711">
        <f>F27</f>
        <v>100</v>
      </c>
      <c r="T27" s="710" t="s">
        <v>17</v>
      </c>
      <c r="U27" s="711">
        <f>H27</f>
        <v>100</v>
      </c>
      <c r="V27" s="710" t="s">
        <v>17</v>
      </c>
      <c r="W27" s="711">
        <f>J27</f>
        <v>100</v>
      </c>
      <c r="X27" s="712"/>
      <c r="Y27" s="3332"/>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32"/>
      <c r="Q28" s="1529"/>
      <c r="R28" s="710"/>
      <c r="S28" s="711"/>
      <c r="T28" s="710"/>
      <c r="U28" s="711"/>
      <c r="V28" s="710"/>
      <c r="W28" s="711"/>
      <c r="X28" s="712"/>
      <c r="Y28" s="3332"/>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32"/>
      <c r="Q29" s="1529"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32"/>
      <c r="Q30" s="1529"/>
      <c r="R30" s="710"/>
      <c r="S30" s="711"/>
      <c r="T30" s="710"/>
      <c r="U30" s="711"/>
      <c r="V30" s="710"/>
      <c r="W30" s="711"/>
      <c r="X30" s="712"/>
      <c r="Y30" s="3332"/>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32"/>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2"/>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32"/>
      <c r="Q32" s="1538" t="str">
        <f t="shared" si="8"/>
        <v>毗邻道路的类型与等级</v>
      </c>
      <c r="R32" s="714" t="s">
        <v>17</v>
      </c>
      <c r="S32" s="715">
        <f t="shared" si="10"/>
        <v>100</v>
      </c>
      <c r="T32" s="714" t="s">
        <v>17</v>
      </c>
      <c r="U32" s="715">
        <f t="shared" si="11"/>
        <v>100</v>
      </c>
      <c r="V32" s="714" t="s">
        <v>17</v>
      </c>
      <c r="W32" s="715">
        <f t="shared" si="12"/>
        <v>100</v>
      </c>
      <c r="X32" s="1541"/>
      <c r="Y32" s="3332"/>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32"/>
      <c r="Q33" s="1538"/>
      <c r="R33" s="714"/>
      <c r="S33" s="715"/>
      <c r="T33" s="714"/>
      <c r="U33" s="715"/>
      <c r="V33" s="714"/>
      <c r="W33" s="715"/>
      <c r="X33" s="1541"/>
      <c r="Y33" s="3332"/>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32"/>
      <c r="Q34" s="1538" t="str">
        <f t="shared" si="8"/>
        <v>土地级别</v>
      </c>
      <c r="R34" s="714" t="s">
        <v>17</v>
      </c>
      <c r="S34" s="715">
        <f t="shared" si="10"/>
        <v>100</v>
      </c>
      <c r="T34" s="714" t="s">
        <v>17</v>
      </c>
      <c r="U34" s="715">
        <f t="shared" si="11"/>
        <v>100</v>
      </c>
      <c r="V34" s="714" t="s">
        <v>17</v>
      </c>
      <c r="W34" s="715">
        <f t="shared" si="12"/>
        <v>100</v>
      </c>
      <c r="X34" s="1541"/>
      <c r="Y34" s="3332"/>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32"/>
      <c r="Q35" s="1538">
        <f t="shared" si="8"/>
        <v>111</v>
      </c>
      <c r="R35" s="714" t="s">
        <v>17</v>
      </c>
      <c r="S35" s="715">
        <f t="shared" si="10"/>
        <v>100</v>
      </c>
      <c r="T35" s="714" t="s">
        <v>17</v>
      </c>
      <c r="U35" s="715">
        <f t="shared" si="11"/>
        <v>100</v>
      </c>
      <c r="V35" s="714" t="s">
        <v>17</v>
      </c>
      <c r="W35" s="715">
        <f t="shared" si="12"/>
        <v>100</v>
      </c>
      <c r="X35" s="1541"/>
      <c r="Y35" s="3332"/>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87" t="s">
        <v>2385</v>
      </c>
      <c r="Q36" s="1538">
        <f t="shared" si="8"/>
        <v>111</v>
      </c>
      <c r="R36" s="714" t="s">
        <v>17</v>
      </c>
      <c r="S36" s="715">
        <f t="shared" si="10"/>
        <v>100</v>
      </c>
      <c r="T36" s="714" t="s">
        <v>17</v>
      </c>
      <c r="U36" s="715">
        <f t="shared" si="11"/>
        <v>100</v>
      </c>
      <c r="V36" s="714" t="s">
        <v>17</v>
      </c>
      <c r="W36" s="715">
        <f t="shared" si="12"/>
        <v>100</v>
      </c>
      <c r="X36" s="1541"/>
      <c r="Y36" s="3336"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36"/>
      <c r="Q37" s="1538">
        <f t="shared" si="8"/>
        <v>111</v>
      </c>
      <c r="R37" s="717" t="s">
        <v>17</v>
      </c>
      <c r="S37" s="718">
        <f t="shared" si="10"/>
        <v>100</v>
      </c>
      <c r="T37" s="717" t="s">
        <v>17</v>
      </c>
      <c r="U37" s="718">
        <f t="shared" si="11"/>
        <v>100</v>
      </c>
      <c r="V37" s="717" t="s">
        <v>17</v>
      </c>
      <c r="W37" s="718">
        <f t="shared" si="12"/>
        <v>100</v>
      </c>
      <c r="X37" s="719"/>
      <c r="Y37" s="3336"/>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36"/>
      <c r="Q38" s="1538" t="str">
        <f>B38</f>
        <v>宗地面积</v>
      </c>
      <c r="R38" s="714" t="s">
        <v>17</v>
      </c>
      <c r="S38" s="715" t="e">
        <f t="shared" si="10"/>
        <v>#N/A</v>
      </c>
      <c r="T38" s="714" t="s">
        <v>17</v>
      </c>
      <c r="U38" s="715" t="e">
        <f t="shared" si="11"/>
        <v>#N/A</v>
      </c>
      <c r="V38" s="714" t="s">
        <v>17</v>
      </c>
      <c r="W38" s="715" t="e">
        <f t="shared" si="12"/>
        <v>#N/A</v>
      </c>
      <c r="X38" s="1541"/>
      <c r="Y38" s="3336"/>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36"/>
      <c r="Q39" s="1538" t="str">
        <f t="shared" ref="Q39:Q45" si="14">B39</f>
        <v>宗地形状</v>
      </c>
      <c r="R39" s="714" t="s">
        <v>17</v>
      </c>
      <c r="S39" s="715">
        <f t="shared" si="10"/>
        <v>100</v>
      </c>
      <c r="T39" s="714" t="s">
        <v>17</v>
      </c>
      <c r="U39" s="715">
        <f t="shared" si="11"/>
        <v>100</v>
      </c>
      <c r="V39" s="714" t="s">
        <v>17</v>
      </c>
      <c r="W39" s="715">
        <f t="shared" si="12"/>
        <v>100</v>
      </c>
      <c r="X39" s="1541"/>
      <c r="Y39" s="3336"/>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36"/>
      <c r="Q40" s="1538" t="str">
        <f t="shared" si="14"/>
        <v>临街宽度及深度</v>
      </c>
      <c r="R40" s="714" t="s">
        <v>17</v>
      </c>
      <c r="S40" s="715">
        <f t="shared" si="10"/>
        <v>100</v>
      </c>
      <c r="T40" s="714" t="s">
        <v>17</v>
      </c>
      <c r="U40" s="715">
        <f t="shared" si="11"/>
        <v>100</v>
      </c>
      <c r="V40" s="714" t="s">
        <v>17</v>
      </c>
      <c r="W40" s="715">
        <f t="shared" si="12"/>
        <v>100</v>
      </c>
      <c r="X40" s="1541"/>
      <c r="Y40" s="3336"/>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36"/>
      <c r="Q41" s="1538" t="str">
        <f t="shared" si="14"/>
        <v>宗地开发程度</v>
      </c>
      <c r="R41" s="710" t="s">
        <v>17</v>
      </c>
      <c r="S41" s="711">
        <f t="shared" si="10"/>
        <v>100</v>
      </c>
      <c r="T41" s="710" t="s">
        <v>17</v>
      </c>
      <c r="U41" s="711">
        <f t="shared" si="11"/>
        <v>100</v>
      </c>
      <c r="V41" s="710" t="s">
        <v>17</v>
      </c>
      <c r="W41" s="711">
        <f t="shared" si="12"/>
        <v>100</v>
      </c>
      <c r="X41" s="712"/>
      <c r="Y41" s="3336"/>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36" t="s">
        <v>2385</v>
      </c>
      <c r="Q42" s="1538" t="str">
        <f t="shared" si="14"/>
        <v>工程地质条件</v>
      </c>
      <c r="R42" s="714" t="s">
        <v>17</v>
      </c>
      <c r="S42" s="715">
        <f t="shared" si="10"/>
        <v>100</v>
      </c>
      <c r="T42" s="714" t="s">
        <v>17</v>
      </c>
      <c r="U42" s="715">
        <f t="shared" si="11"/>
        <v>100</v>
      </c>
      <c r="V42" s="714" t="s">
        <v>17</v>
      </c>
      <c r="W42" s="715">
        <f t="shared" si="12"/>
        <v>100</v>
      </c>
      <c r="X42" s="1541"/>
      <c r="Y42" s="3336"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36"/>
      <c r="Q43" s="1538">
        <f t="shared" si="14"/>
        <v>111</v>
      </c>
      <c r="R43" s="714" t="s">
        <v>17</v>
      </c>
      <c r="S43" s="715">
        <f t="shared" si="10"/>
        <v>100</v>
      </c>
      <c r="T43" s="714" t="s">
        <v>17</v>
      </c>
      <c r="U43" s="715">
        <f t="shared" si="11"/>
        <v>100</v>
      </c>
      <c r="V43" s="714" t="s">
        <v>17</v>
      </c>
      <c r="W43" s="715">
        <f t="shared" si="12"/>
        <v>100</v>
      </c>
      <c r="X43" s="1541"/>
      <c r="Y43" s="3336"/>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36"/>
      <c r="Q44" s="1538">
        <f t="shared" si="14"/>
        <v>111</v>
      </c>
      <c r="R44" s="714" t="s">
        <v>17</v>
      </c>
      <c r="S44" s="715">
        <f t="shared" si="10"/>
        <v>100</v>
      </c>
      <c r="T44" s="714" t="s">
        <v>17</v>
      </c>
      <c r="U44" s="715">
        <f t="shared" si="11"/>
        <v>100</v>
      </c>
      <c r="V44" s="714" t="s">
        <v>17</v>
      </c>
      <c r="W44" s="715">
        <f t="shared" si="12"/>
        <v>100</v>
      </c>
      <c r="X44" s="1541"/>
      <c r="Y44" s="3336"/>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36"/>
      <c r="Q45" s="1538">
        <f t="shared" si="14"/>
        <v>111</v>
      </c>
      <c r="R45" s="717" t="s">
        <v>17</v>
      </c>
      <c r="S45" s="718">
        <f t="shared" si="10"/>
        <v>100</v>
      </c>
      <c r="T45" s="717" t="s">
        <v>17</v>
      </c>
      <c r="U45" s="718">
        <f t="shared" si="11"/>
        <v>100</v>
      </c>
      <c r="V45" s="717" t="s">
        <v>17</v>
      </c>
      <c r="W45" s="718">
        <f t="shared" si="12"/>
        <v>100</v>
      </c>
      <c r="X45" s="719"/>
      <c r="Y45" s="3336"/>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5"/>
      <c r="M46" s="2956"/>
      <c r="N46" s="2947"/>
      <c r="O46" s="2956"/>
      <c r="P46" s="3329" t="str">
        <f>A46</f>
        <v>成交单价</v>
      </c>
      <c r="Q46" s="3329"/>
      <c r="R46" s="3360">
        <f>E46</f>
        <v>0</v>
      </c>
      <c r="S46" s="3360"/>
      <c r="T46" s="3360">
        <f>G46</f>
        <v>0</v>
      </c>
      <c r="U46" s="3360"/>
      <c r="V46" s="3360">
        <f>I46</f>
        <v>0</v>
      </c>
      <c r="W46" s="3360"/>
      <c r="X46" s="699"/>
      <c r="Y46" s="721"/>
      <c r="Z46" s="699"/>
      <c r="AA46" s="699"/>
      <c r="AB46" s="699"/>
      <c r="AC46" s="699"/>
    </row>
    <row r="47" spans="1:29" ht="15.75" thickBot="1">
      <c r="A47" s="445" t="s">
        <v>2489</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29" t="str">
        <f>A47</f>
        <v>比较价值（元/平方米）</v>
      </c>
      <c r="Q47" s="3329"/>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5"/>
      <c r="M48" s="2956"/>
      <c r="N48" s="2956"/>
      <c r="O48" s="2956"/>
      <c r="P48" s="3326" t="str">
        <f>A48</f>
        <v>估价对象XX用房的比较价值（楼面单价，元/平方米）</v>
      </c>
      <c r="Q48" s="3327"/>
      <c r="R48" s="3390" t="e">
        <f>ROUND(IF(D47="简单平均",AVERAGE(R47:W47),R47*F47+T47*H47+V47*J47),0)</f>
        <v>#DIV/0!</v>
      </c>
      <c r="S48" s="3390"/>
      <c r="T48" s="3390"/>
      <c r="U48" s="3390"/>
      <c r="V48" s="3390"/>
      <c r="W48" s="339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2578</v>
      </c>
      <c r="B55" s="641" t="s">
        <v>2579</v>
      </c>
      <c r="C55" s="2171" t="s">
        <v>2580</v>
      </c>
      <c r="D55" s="2172" t="s">
        <v>2581</v>
      </c>
      <c r="E55" s="642" t="s">
        <v>2582</v>
      </c>
      <c r="F55" s="1021" t="s">
        <v>2583</v>
      </c>
      <c r="G55" s="3344" t="s">
        <v>2584</v>
      </c>
      <c r="H55" s="3391"/>
      <c r="I55" s="140" t="s">
        <v>2585</v>
      </c>
      <c r="J55" s="2173">
        <f>项目基本情况!F35</f>
        <v>0</v>
      </c>
      <c r="K55" s="2174" t="s">
        <v>2586</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2587</v>
      </c>
      <c r="B56" s="645" t="e">
        <f>C48</f>
        <v>#DIV/0!</v>
      </c>
      <c r="C56" s="646">
        <v>1</v>
      </c>
      <c r="D56" s="1075">
        <v>1</v>
      </c>
      <c r="E56" s="646">
        <f>'数据-汇总表'!E8+'数据-汇总表'!E9</f>
        <v>134884.83000000002</v>
      </c>
      <c r="F56" s="1017" t="e">
        <f t="shared" ref="F56:F65" si="15">ROUND(B56*E56/10000,0)</f>
        <v>#DIV/0!</v>
      </c>
      <c r="G56" s="3340"/>
      <c r="H56" s="3329"/>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2588</v>
      </c>
      <c r="B57" s="224" t="e">
        <f>ROUND($C$48*C57*D57,0)</f>
        <v>#DIV/0!</v>
      </c>
      <c r="C57" s="176">
        <f t="shared" ref="C57:C65" si="16">IF($C$55="北京市系数",I57,J57)</f>
        <v>0</v>
      </c>
      <c r="D57" s="1076">
        <v>0.25</v>
      </c>
      <c r="E57" s="650"/>
      <c r="F57" s="1017" t="e">
        <f t="shared" si="15"/>
        <v>#DIV/0!</v>
      </c>
      <c r="G57" s="3392" t="s">
        <v>2589</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2590</v>
      </c>
      <c r="B58" s="224" t="e">
        <f t="shared" ref="B58:B65" si="17">ROUND($C$48*C58*D58,0)</f>
        <v>#DIV/0!</v>
      </c>
      <c r="C58" s="176">
        <f t="shared" si="16"/>
        <v>0</v>
      </c>
      <c r="D58" s="1076">
        <v>0.25</v>
      </c>
      <c r="E58" s="650"/>
      <c r="F58" s="1017" t="e">
        <f t="shared" si="15"/>
        <v>#DIV/0!</v>
      </c>
      <c r="G58" s="339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2591</v>
      </c>
      <c r="B59" s="224" t="e">
        <f t="shared" si="17"/>
        <v>#DIV/0!</v>
      </c>
      <c r="C59" s="176">
        <f t="shared" si="16"/>
        <v>0</v>
      </c>
      <c r="D59" s="1076">
        <v>0.25</v>
      </c>
      <c r="E59" s="650"/>
      <c r="F59" s="1017" t="e">
        <f t="shared" si="15"/>
        <v>#DIV/0!</v>
      </c>
      <c r="G59" s="339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2592</v>
      </c>
      <c r="B60" s="224" t="e">
        <f t="shared" si="17"/>
        <v>#DIV/0!</v>
      </c>
      <c r="C60" s="176">
        <f t="shared" si="16"/>
        <v>0</v>
      </c>
      <c r="D60" s="1076">
        <v>0.25</v>
      </c>
      <c r="E60" s="650"/>
      <c r="F60" s="1017" t="e">
        <f t="shared" si="15"/>
        <v>#DIV/0!</v>
      </c>
      <c r="G60" s="339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2597</v>
      </c>
      <c r="B63" s="224" t="e">
        <f t="shared" si="17"/>
        <v>#DIV/0!</v>
      </c>
      <c r="C63" s="176">
        <f t="shared" si="16"/>
        <v>0</v>
      </c>
      <c r="D63" s="1076">
        <v>0.25</v>
      </c>
      <c r="E63" s="223">
        <f>'数据-汇总表'!E13</f>
        <v>16210.670000000002</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2601</v>
      </c>
      <c r="B66" s="652" t="s">
        <v>28</v>
      </c>
      <c r="C66" s="652" t="s">
        <v>29</v>
      </c>
      <c r="D66" s="652" t="s">
        <v>997</v>
      </c>
      <c r="E66" s="652">
        <f>IF(B46="楼面地价",SUM(E56:E65),'数据-汇总表'!D3)</f>
        <v>151095.50000000003</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2020-8-1</v>
      </c>
      <c r="D68" s="701">
        <f>EDATE(C68,-3)</f>
        <v>43952</v>
      </c>
      <c r="E68" s="701">
        <f>EDATE(D68,-3)</f>
        <v>43862</v>
      </c>
      <c r="F68" s="701">
        <f t="shared" ref="F68:O68" si="18">EDATE(E68,-3)</f>
        <v>43770</v>
      </c>
      <c r="G68" s="701">
        <f t="shared" si="18"/>
        <v>43678</v>
      </c>
      <c r="H68" s="701">
        <f t="shared" si="18"/>
        <v>43586</v>
      </c>
      <c r="I68" s="701">
        <f t="shared" si="18"/>
        <v>43497</v>
      </c>
      <c r="J68" s="701">
        <f t="shared" si="18"/>
        <v>43405</v>
      </c>
      <c r="K68" s="701">
        <f t="shared" si="18"/>
        <v>43313</v>
      </c>
      <c r="L68" s="701">
        <f t="shared" si="18"/>
        <v>43221</v>
      </c>
      <c r="M68" s="701">
        <f t="shared" si="18"/>
        <v>43132</v>
      </c>
      <c r="N68" s="701">
        <f t="shared" si="18"/>
        <v>43040</v>
      </c>
      <c r="O68" s="701">
        <f t="shared" si="18"/>
        <v>42948</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2602</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2603</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2604</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2612</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2613</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2614</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2615</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49" sqref="E4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f>F61</f>
        <v>21683</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f>ROUND(IF(D3="",B2*10000/'数据-汇总表'!E3,B2*10000/D3),0)</f>
        <v>1224</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44" t="s">
        <v>2466</v>
      </c>
      <c r="D4" s="3345"/>
      <c r="E4" s="3346" t="s">
        <v>2467</v>
      </c>
      <c r="F4" s="3347"/>
      <c r="G4" s="3344" t="s">
        <v>2468</v>
      </c>
      <c r="H4" s="3345"/>
      <c r="I4" s="3344" t="s">
        <v>2469</v>
      </c>
      <c r="J4" s="3345"/>
      <c r="K4" s="567" t="s">
        <v>2470</v>
      </c>
      <c r="L4" s="2946"/>
      <c r="M4" s="2947"/>
      <c r="N4" s="2947"/>
      <c r="O4" s="2947"/>
      <c r="P4" s="3348" t="s">
        <v>2471</v>
      </c>
      <c r="Q4" s="3349"/>
      <c r="R4" s="3354" t="s">
        <v>2467</v>
      </c>
      <c r="S4" s="3355"/>
      <c r="T4" s="3354" t="s">
        <v>2468</v>
      </c>
      <c r="U4" s="3355"/>
      <c r="V4" s="3360" t="s">
        <v>2469</v>
      </c>
      <c r="W4" s="3360"/>
      <c r="X4" s="1541"/>
      <c r="Y4" s="3354" t="s">
        <v>2471</v>
      </c>
      <c r="Z4" s="3355"/>
      <c r="AA4" s="3341" t="s">
        <v>2467</v>
      </c>
      <c r="AB4" s="3342" t="s">
        <v>2468</v>
      </c>
      <c r="AC4" s="3341" t="s">
        <v>2469</v>
      </c>
    </row>
    <row r="5" spans="1:29" ht="15">
      <c r="A5" s="364"/>
      <c r="B5" s="365"/>
      <c r="C5" s="3363" t="s">
        <v>2362</v>
      </c>
      <c r="D5" s="3364"/>
      <c r="E5" s="3370" t="str">
        <f>Sheet1!A18</f>
        <v>北京经济技术开发区路东区E7M1地块工业项目</v>
      </c>
      <c r="F5" s="3371"/>
      <c r="G5" s="3363" t="str">
        <f>Sheet1!A19</f>
        <v>北京经济技术开发区河西区X61M4地块工业项目</v>
      </c>
      <c r="H5" s="3364"/>
      <c r="I5" s="3363" t="str">
        <f>Sheet1!A12</f>
        <v>北京经济技术开发区核心区76M2地块工业项目</v>
      </c>
      <c r="J5" s="3364"/>
      <c r="K5" s="567"/>
      <c r="L5" s="2946"/>
      <c r="M5" s="2947"/>
      <c r="N5" s="2947"/>
      <c r="O5" s="2947"/>
      <c r="P5" s="3350"/>
      <c r="Q5" s="3351"/>
      <c r="R5" s="3356"/>
      <c r="S5" s="3357"/>
      <c r="T5" s="3356"/>
      <c r="U5" s="3357"/>
      <c r="V5" s="3360"/>
      <c r="W5" s="3360"/>
      <c r="X5" s="1541"/>
      <c r="Y5" s="3356"/>
      <c r="Z5" s="3357"/>
      <c r="AA5" s="3342"/>
      <c r="AB5" s="3342"/>
      <c r="AC5" s="3342"/>
    </row>
    <row r="6" spans="1:29" ht="15.75" thickBot="1">
      <c r="A6" s="366"/>
      <c r="B6" s="367"/>
      <c r="C6" s="3393" t="s">
        <v>2617</v>
      </c>
      <c r="D6" s="3394"/>
      <c r="E6" s="3395" t="s">
        <v>2617</v>
      </c>
      <c r="F6" s="3396"/>
      <c r="G6" s="3393" t="s">
        <v>2617</v>
      </c>
      <c r="H6" s="3394"/>
      <c r="I6" s="3393" t="s">
        <v>2617</v>
      </c>
      <c r="J6" s="3394"/>
      <c r="K6" s="567" t="s">
        <v>2367</v>
      </c>
      <c r="L6" s="2946"/>
      <c r="M6" s="2947"/>
      <c r="N6" s="2947"/>
      <c r="O6" s="2947"/>
      <c r="P6" s="3352"/>
      <c r="Q6" s="3353"/>
      <c r="R6" s="3356"/>
      <c r="S6" s="3357"/>
      <c r="T6" s="3358"/>
      <c r="U6" s="3359"/>
      <c r="V6" s="3360"/>
      <c r="W6" s="3360"/>
      <c r="X6" s="1541"/>
      <c r="Y6" s="3358"/>
      <c r="Z6" s="3359"/>
      <c r="AA6" s="3343"/>
      <c r="AB6" s="3343"/>
      <c r="AC6" s="3343"/>
    </row>
    <row r="7" spans="1:29" s="113" customFormat="1" ht="15.75" thickBot="1">
      <c r="A7" s="368" t="s">
        <v>2368</v>
      </c>
      <c r="B7" s="369"/>
      <c r="C7" s="370">
        <f>'数据-取费表'!B2</f>
        <v>44074</v>
      </c>
      <c r="D7" s="371">
        <v>100</v>
      </c>
      <c r="E7" s="372" t="str">
        <f>Sheet1!I18</f>
        <v>2020-03-26</v>
      </c>
      <c r="F7" s="373">
        <f>SUMIF(65:65,YEAR(E7)&amp;"-"&amp;INT((MONTH(E7)+2)/3),66:66)</f>
        <v>99</v>
      </c>
      <c r="G7" s="2162" t="str">
        <f>Sheet1!I19</f>
        <v>2019-12-25</v>
      </c>
      <c r="H7" s="371">
        <f>SUMIF(65:65,YEAR(G7)&amp;"-"&amp;INT((MONTH(G7)+2)/3),66:66)</f>
        <v>98.5</v>
      </c>
      <c r="I7" s="2162" t="str">
        <f>Sheet1!I12</f>
        <v>2019-11-27</v>
      </c>
      <c r="J7" s="371">
        <f>SUMIF(65:65,YEAR(I7)&amp;"-"&amp;INT((MONTH(I7)+2)/3),66:66)</f>
        <v>98.5</v>
      </c>
      <c r="K7" s="568"/>
      <c r="L7" s="2948"/>
      <c r="M7" s="2949"/>
      <c r="N7" s="2949"/>
      <c r="O7" s="2949"/>
      <c r="P7" s="3365" t="s">
        <v>2369</v>
      </c>
      <c r="Q7" s="3367"/>
      <c r="R7" s="710" t="s">
        <v>17</v>
      </c>
      <c r="S7" s="711">
        <f t="shared" ref="S7:S15" si="0">F7</f>
        <v>99</v>
      </c>
      <c r="T7" s="710" t="s">
        <v>17</v>
      </c>
      <c r="U7" s="711">
        <f t="shared" ref="U7:U15" si="1">H7</f>
        <v>98.5</v>
      </c>
      <c r="V7" s="710" t="s">
        <v>17</v>
      </c>
      <c r="W7" s="711">
        <f t="shared" ref="W7:W15" si="2">J7</f>
        <v>98.5</v>
      </c>
      <c r="X7" s="712"/>
      <c r="Y7" s="3365" t="s">
        <v>2369</v>
      </c>
      <c r="Z7" s="3366"/>
      <c r="AA7" s="713">
        <f>D7/F7</f>
        <v>1.0101010101010102</v>
      </c>
      <c r="AB7" s="713">
        <f>D7/H7</f>
        <v>1.015228426395939</v>
      </c>
      <c r="AC7" s="713">
        <f>D7/J7</f>
        <v>1.015228426395939</v>
      </c>
    </row>
    <row r="8" spans="1:29" s="113" customFormat="1" ht="15.75" thickBot="1">
      <c r="A8" s="368" t="s">
        <v>2370</v>
      </c>
      <c r="B8" s="369"/>
      <c r="C8" s="374" t="s">
        <v>2371</v>
      </c>
      <c r="D8" s="371">
        <v>100</v>
      </c>
      <c r="E8" s="374" t="s">
        <v>2371</v>
      </c>
      <c r="F8" s="373">
        <f>SUMIF(68:68,E8,69:69)-SUMIF(68:68,C8,69:69)+100</f>
        <v>100</v>
      </c>
      <c r="G8" s="374" t="s">
        <v>2371</v>
      </c>
      <c r="H8" s="371">
        <f>SUMIF(68:68,G8,69:69)-SUMIF(68:68,C8,69:69)+100</f>
        <v>100</v>
      </c>
      <c r="I8" s="374" t="s">
        <v>2371</v>
      </c>
      <c r="J8" s="371">
        <f>SUMIF(68:68,I8,69:69)-SUMIF(68:68,C8,69:69)+100</f>
        <v>100</v>
      </c>
      <c r="K8" s="568"/>
      <c r="L8" s="2948"/>
      <c r="M8" s="2949"/>
      <c r="N8" s="2949"/>
      <c r="O8" s="2949"/>
      <c r="P8" s="3365" t="s">
        <v>2372</v>
      </c>
      <c r="Q8" s="3366"/>
      <c r="R8" s="710" t="s">
        <v>17</v>
      </c>
      <c r="S8" s="711">
        <f t="shared" si="0"/>
        <v>100</v>
      </c>
      <c r="T8" s="710" t="s">
        <v>17</v>
      </c>
      <c r="U8" s="711">
        <f t="shared" si="1"/>
        <v>100</v>
      </c>
      <c r="V8" s="710" t="s">
        <v>17</v>
      </c>
      <c r="W8" s="711">
        <f t="shared" si="2"/>
        <v>100</v>
      </c>
      <c r="X8" s="712"/>
      <c r="Y8" s="3365" t="s">
        <v>2372</v>
      </c>
      <c r="Z8" s="3366"/>
      <c r="AA8" s="713">
        <f t="shared" ref="AA8:AA40" si="3">D8/F8</f>
        <v>1</v>
      </c>
      <c r="AB8" s="713">
        <f t="shared" ref="AB8:AB40" si="4">D8/H8</f>
        <v>1</v>
      </c>
      <c r="AC8" s="713">
        <f t="shared" ref="AC8:AC40" si="5">D8/J8</f>
        <v>1</v>
      </c>
    </row>
    <row r="9" spans="1:29" s="113" customFormat="1">
      <c r="A9" s="375" t="s">
        <v>2373</v>
      </c>
      <c r="B9" s="67" t="s">
        <v>2374</v>
      </c>
      <c r="C9" s="2165" t="s">
        <v>6</v>
      </c>
      <c r="D9" s="131">
        <v>100</v>
      </c>
      <c r="E9" s="2165" t="s">
        <v>6</v>
      </c>
      <c r="F9" s="131">
        <f>SUMIF(70:70,E9,71:71)-SUMIF(70:70,C9,71:71)+100</f>
        <v>100</v>
      </c>
      <c r="G9" s="2165" t="s">
        <v>6</v>
      </c>
      <c r="H9" s="131">
        <f>SUMIF(70:70,G9,71:71)-SUMIF(70:70,C9,71:71)+100</f>
        <v>100</v>
      </c>
      <c r="I9" s="2165" t="s">
        <v>6</v>
      </c>
      <c r="J9" s="131">
        <f>SUMIF(70:70,I9,71:71)-SUMIF(70:70,C9,71:71)+100</f>
        <v>100</v>
      </c>
      <c r="K9" s="568"/>
      <c r="L9" s="2948"/>
      <c r="M9" s="2949"/>
      <c r="N9" s="2949"/>
      <c r="O9" s="3003"/>
      <c r="P9" s="3329" t="s">
        <v>2375</v>
      </c>
      <c r="Q9" s="1529" t="str">
        <f t="shared" ref="Q9:Q15" si="6">B9</f>
        <v>用途</v>
      </c>
      <c r="R9" s="710" t="s">
        <v>17</v>
      </c>
      <c r="S9" s="711">
        <f t="shared" si="0"/>
        <v>100</v>
      </c>
      <c r="T9" s="710" t="s">
        <v>17</v>
      </c>
      <c r="U9" s="711">
        <f t="shared" si="1"/>
        <v>100</v>
      </c>
      <c r="V9" s="710" t="s">
        <v>17</v>
      </c>
      <c r="W9" s="711">
        <f t="shared" si="2"/>
        <v>100</v>
      </c>
      <c r="X9" s="712"/>
      <c r="Y9" s="3199" t="s">
        <v>2376</v>
      </c>
      <c r="Z9" s="55" t="str">
        <f t="shared" ref="Z9:Z15" si="7">Q9</f>
        <v>用途</v>
      </c>
      <c r="AA9" s="713">
        <f t="shared" si="3"/>
        <v>1</v>
      </c>
      <c r="AB9" s="713">
        <f t="shared" si="4"/>
        <v>1</v>
      </c>
      <c r="AC9" s="713">
        <f t="shared" si="5"/>
        <v>1</v>
      </c>
    </row>
    <row r="10" spans="1:29" s="386" customFormat="1" ht="27">
      <c r="A10" s="380"/>
      <c r="B10" s="381" t="s">
        <v>2377</v>
      </c>
      <c r="C10" s="391">
        <f>项目基本情况!I15</f>
        <v>45.2</v>
      </c>
      <c r="D10" s="132">
        <v>100</v>
      </c>
      <c r="E10" s="391"/>
      <c r="F10" s="132">
        <f>ROUND(100/'数据-取费表'!G16,0)</f>
        <v>103</v>
      </c>
      <c r="G10" s="391"/>
      <c r="H10" s="132">
        <f>ROUND(100/'数据-取费表'!G16,0)</f>
        <v>103</v>
      </c>
      <c r="I10" s="391"/>
      <c r="J10" s="132">
        <f>ROUND(100/'数据-取费表'!G16,0)</f>
        <v>103</v>
      </c>
      <c r="K10" s="628"/>
      <c r="L10" s="2950"/>
      <c r="M10" s="2951"/>
      <c r="N10" s="2951"/>
      <c r="O10" s="3004"/>
      <c r="P10" s="3329"/>
      <c r="Q10" s="1529" t="str">
        <f t="shared" si="6"/>
        <v>土地使用年限（年）</v>
      </c>
      <c r="R10" s="710" t="s">
        <v>17</v>
      </c>
      <c r="S10" s="711">
        <f t="shared" si="0"/>
        <v>103</v>
      </c>
      <c r="T10" s="710" t="s">
        <v>17</v>
      </c>
      <c r="U10" s="711">
        <f t="shared" si="1"/>
        <v>103</v>
      </c>
      <c r="V10" s="710" t="s">
        <v>17</v>
      </c>
      <c r="W10" s="711">
        <f t="shared" si="2"/>
        <v>103</v>
      </c>
      <c r="X10" s="712"/>
      <c r="Y10" s="3199"/>
      <c r="Z10" s="55" t="str">
        <f t="shared" si="7"/>
        <v>土地使用年限（年）</v>
      </c>
      <c r="AA10" s="713">
        <f t="shared" si="3"/>
        <v>0.970873786407767</v>
      </c>
      <c r="AB10" s="713">
        <f t="shared" si="4"/>
        <v>0.970873786407767</v>
      </c>
      <c r="AC10" s="713">
        <f t="shared" si="5"/>
        <v>0.970873786407767</v>
      </c>
    </row>
    <row r="11" spans="1:29" ht="15.75" thickBot="1">
      <c r="A11" s="387"/>
      <c r="B11" s="381" t="s">
        <v>2378</v>
      </c>
      <c r="C11" s="388">
        <f>'数据-汇总表'!I5</f>
        <v>1.75</v>
      </c>
      <c r="D11" s="132">
        <v>100</v>
      </c>
      <c r="E11" s="388">
        <v>1.7</v>
      </c>
      <c r="F11" s="132">
        <f>LOOKUP(E11,75:75,76:76)-LOOKUP(C11,75:75,76:76)+100</f>
        <v>100</v>
      </c>
      <c r="G11" s="389">
        <v>2</v>
      </c>
      <c r="H11" s="132">
        <f>LOOKUP(G11,75:75,76:76)-LOOKUP(C11,75:75,76:76)+100</f>
        <v>106</v>
      </c>
      <c r="I11" s="388">
        <v>1.5</v>
      </c>
      <c r="J11" s="132">
        <f>LOOKUP(I11,75:75,76:76)-LOOKUP(C11,75:75,76:76)+100</f>
        <v>97</v>
      </c>
      <c r="K11" s="629">
        <v>3</v>
      </c>
      <c r="L11" s="2952"/>
      <c r="M11" s="2947"/>
      <c r="N11" s="2947"/>
      <c r="O11" s="3005"/>
      <c r="P11" s="3329"/>
      <c r="Q11" s="1529" t="str">
        <f t="shared" si="6"/>
        <v>容积率</v>
      </c>
      <c r="R11" s="710" t="s">
        <v>17</v>
      </c>
      <c r="S11" s="711">
        <f t="shared" si="0"/>
        <v>100</v>
      </c>
      <c r="T11" s="710" t="s">
        <v>17</v>
      </c>
      <c r="U11" s="711">
        <f t="shared" si="1"/>
        <v>106</v>
      </c>
      <c r="V11" s="710" t="s">
        <v>17</v>
      </c>
      <c r="W11" s="711">
        <f t="shared" si="2"/>
        <v>97</v>
      </c>
      <c r="X11" s="712"/>
      <c r="Y11" s="3199"/>
      <c r="Z11" s="55" t="str">
        <f t="shared" si="7"/>
        <v>容积率</v>
      </c>
      <c r="AA11" s="713">
        <f t="shared" si="3"/>
        <v>1</v>
      </c>
      <c r="AB11" s="713">
        <f t="shared" si="4"/>
        <v>0.94339622641509435</v>
      </c>
      <c r="AC11" s="713">
        <f t="shared" si="5"/>
        <v>1.0309278350515463</v>
      </c>
    </row>
    <row r="12" spans="1:29" s="113" customFormat="1" ht="15" hidden="1">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29"/>
      <c r="Q12" s="1529">
        <f t="shared" si="6"/>
        <v>111</v>
      </c>
      <c r="R12" s="710" t="s">
        <v>17</v>
      </c>
      <c r="S12" s="711">
        <f t="shared" si="0"/>
        <v>100</v>
      </c>
      <c r="T12" s="710" t="s">
        <v>17</v>
      </c>
      <c r="U12" s="711">
        <f t="shared" si="1"/>
        <v>100</v>
      </c>
      <c r="V12" s="710" t="s">
        <v>17</v>
      </c>
      <c r="W12" s="711">
        <f t="shared" si="2"/>
        <v>100</v>
      </c>
      <c r="X12" s="712"/>
      <c r="Y12" s="3199"/>
      <c r="Z12" s="55">
        <f t="shared" si="7"/>
        <v>111</v>
      </c>
      <c r="AA12" s="713">
        <f>D12/F12</f>
        <v>1</v>
      </c>
      <c r="AB12" s="713">
        <f>D12/H12</f>
        <v>1</v>
      </c>
      <c r="AC12" s="713">
        <f>D12/J12</f>
        <v>1</v>
      </c>
    </row>
    <row r="13" spans="1:29" ht="15" hidden="1">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29"/>
      <c r="Q13" s="1529">
        <f t="shared" si="6"/>
        <v>111</v>
      </c>
      <c r="R13" s="710" t="s">
        <v>17</v>
      </c>
      <c r="S13" s="711">
        <f t="shared" si="0"/>
        <v>100</v>
      </c>
      <c r="T13" s="710" t="s">
        <v>17</v>
      </c>
      <c r="U13" s="711">
        <f t="shared" si="1"/>
        <v>100</v>
      </c>
      <c r="V13" s="710" t="s">
        <v>17</v>
      </c>
      <c r="W13" s="711">
        <f t="shared" si="2"/>
        <v>100</v>
      </c>
      <c r="X13" s="712"/>
      <c r="Y13" s="3199"/>
      <c r="Z13" s="55">
        <f t="shared" si="7"/>
        <v>111</v>
      </c>
      <c r="AA13" s="713">
        <f t="shared" si="3"/>
        <v>1</v>
      </c>
      <c r="AB13" s="713">
        <f t="shared" si="4"/>
        <v>1</v>
      </c>
      <c r="AC13" s="713">
        <f t="shared" si="5"/>
        <v>1</v>
      </c>
    </row>
    <row r="14" spans="1:29" ht="15.75" hidden="1"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29"/>
      <c r="Q14" s="1529">
        <f t="shared" si="6"/>
        <v>111</v>
      </c>
      <c r="R14" s="710" t="s">
        <v>17</v>
      </c>
      <c r="S14" s="711">
        <f t="shared" si="0"/>
        <v>100</v>
      </c>
      <c r="T14" s="710" t="s">
        <v>17</v>
      </c>
      <c r="U14" s="711">
        <f t="shared" si="1"/>
        <v>100</v>
      </c>
      <c r="V14" s="710" t="s">
        <v>17</v>
      </c>
      <c r="W14" s="711">
        <f t="shared" si="2"/>
        <v>100</v>
      </c>
      <c r="X14" s="712"/>
      <c r="Y14" s="3199"/>
      <c r="Z14" s="55">
        <f t="shared" si="7"/>
        <v>111</v>
      </c>
      <c r="AA14" s="713">
        <f t="shared" si="3"/>
        <v>1</v>
      </c>
      <c r="AB14" s="713">
        <f t="shared" si="4"/>
        <v>1</v>
      </c>
      <c r="AC14" s="713">
        <f t="shared" si="5"/>
        <v>1</v>
      </c>
    </row>
    <row r="15" spans="1:29" ht="15">
      <c r="A15" s="399" t="s">
        <v>2379</v>
      </c>
      <c r="B15" s="585" t="s">
        <v>2618</v>
      </c>
      <c r="C15" s="2159" t="str">
        <f>估价对象房地状况!G15</f>
        <v xml:space="preserve">  </v>
      </c>
      <c r="D15" s="400">
        <v>100</v>
      </c>
      <c r="E15" s="401"/>
      <c r="F15" s="400">
        <f>SUMIF(83:83,E16,84:84)-SUMIF(83:83,C16,84:84)+100</f>
        <v>100</v>
      </c>
      <c r="G15" s="401"/>
      <c r="H15" s="400">
        <f>SUMIF(83:83,G16,84:84)-SUMIF(83:83,C16,84:84)+100</f>
        <v>100</v>
      </c>
      <c r="I15" s="403"/>
      <c r="J15" s="400">
        <f>SUMIF(83:83,I16,84:84)-SUMIF(83:83,C16,84:84)+100</f>
        <v>100</v>
      </c>
      <c r="K15" s="629">
        <v>2</v>
      </c>
      <c r="L15" s="2953"/>
      <c r="M15" s="2947"/>
      <c r="N15" s="2947"/>
      <c r="O15" s="3005"/>
      <c r="P15" s="3331" t="s">
        <v>2380</v>
      </c>
      <c r="Q15" s="1538" t="str">
        <f t="shared" si="6"/>
        <v>产业集聚程度</v>
      </c>
      <c r="R15" s="714" t="s">
        <v>17</v>
      </c>
      <c r="S15" s="715">
        <f t="shared" si="0"/>
        <v>100</v>
      </c>
      <c r="T15" s="714" t="s">
        <v>17</v>
      </c>
      <c r="U15" s="715">
        <f t="shared" si="1"/>
        <v>100</v>
      </c>
      <c r="V15" s="714" t="s">
        <v>17</v>
      </c>
      <c r="W15" s="715">
        <f t="shared" si="2"/>
        <v>100</v>
      </c>
      <c r="X15" s="1541"/>
      <c r="Y15" s="3331" t="s">
        <v>2380</v>
      </c>
      <c r="Z15" s="1542" t="str">
        <f t="shared" si="7"/>
        <v>产业集聚程度</v>
      </c>
      <c r="AA15" s="1539">
        <f t="shared" si="3"/>
        <v>1</v>
      </c>
      <c r="AB15" s="1539">
        <f t="shared" si="4"/>
        <v>1</v>
      </c>
      <c r="AC15" s="1539">
        <f t="shared" si="5"/>
        <v>1</v>
      </c>
    </row>
    <row r="16" spans="1:29" ht="15">
      <c r="A16" s="387"/>
      <c r="B16" s="586"/>
      <c r="C16" s="406" t="s">
        <v>3133</v>
      </c>
      <c r="D16" s="407"/>
      <c r="E16" s="406" t="s">
        <v>3133</v>
      </c>
      <c r="F16" s="407"/>
      <c r="G16" s="406" t="s">
        <v>3133</v>
      </c>
      <c r="H16" s="409"/>
      <c r="I16" s="406" t="s">
        <v>3133</v>
      </c>
      <c r="J16" s="407"/>
      <c r="K16" s="628"/>
      <c r="L16" s="2953"/>
      <c r="M16" s="2947"/>
      <c r="N16" s="2947"/>
      <c r="O16" s="3005"/>
      <c r="P16" s="3332"/>
      <c r="Q16" s="1538"/>
      <c r="R16" s="714"/>
      <c r="S16" s="715"/>
      <c r="T16" s="714"/>
      <c r="U16" s="715"/>
      <c r="V16" s="714"/>
      <c r="W16" s="715"/>
      <c r="X16" s="1541"/>
      <c r="Y16" s="3332"/>
      <c r="Z16" s="1542"/>
      <c r="AA16" s="1539">
        <v>1</v>
      </c>
      <c r="AB16" s="1539">
        <v>1</v>
      </c>
      <c r="AC16" s="1539">
        <v>1</v>
      </c>
    </row>
    <row r="17" spans="1:29" ht="15">
      <c r="A17" s="387"/>
      <c r="B17" s="587" t="s">
        <v>2529</v>
      </c>
      <c r="C17" s="2088" t="str">
        <f>估价对象房地状况!G16</f>
        <v xml:space="preserve">  </v>
      </c>
      <c r="D17" s="409">
        <v>100</v>
      </c>
      <c r="E17" s="411"/>
      <c r="F17" s="414">
        <f>SUMIF(85:85,E18,86:86)-SUMIF(85:85,C18,86:86)+100</f>
        <v>100</v>
      </c>
      <c r="G17" s="411"/>
      <c r="H17" s="414">
        <f>SUMIF(85:85,G18,86:86)-SUMIF(85:85,C18,86:86)+100</f>
        <v>100</v>
      </c>
      <c r="I17" s="413"/>
      <c r="J17" s="409">
        <f>SUMIF(85:85,I18,86:86)-SUMIF(85:85,C18,86:86)+100</f>
        <v>100</v>
      </c>
      <c r="K17" s="629">
        <v>2</v>
      </c>
      <c r="L17" s="2953"/>
      <c r="M17" s="2947"/>
      <c r="N17" s="2947"/>
      <c r="O17" s="3005"/>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588"/>
      <c r="C18" s="406" t="s">
        <v>3133</v>
      </c>
      <c r="D18" s="407"/>
      <c r="E18" s="406" t="s">
        <v>3133</v>
      </c>
      <c r="F18" s="407"/>
      <c r="G18" s="406" t="s">
        <v>3133</v>
      </c>
      <c r="H18" s="407"/>
      <c r="I18" s="406" t="s">
        <v>3133</v>
      </c>
      <c r="J18" s="407"/>
      <c r="K18" s="628"/>
      <c r="L18" s="2953"/>
      <c r="M18" s="2947"/>
      <c r="N18" s="2947"/>
      <c r="O18" s="3005"/>
      <c r="P18" s="3332"/>
      <c r="Q18" s="1538"/>
      <c r="R18" s="714"/>
      <c r="S18" s="715"/>
      <c r="T18" s="714"/>
      <c r="U18" s="715"/>
      <c r="V18" s="714"/>
      <c r="W18" s="715"/>
      <c r="X18" s="1541"/>
      <c r="Y18" s="3332"/>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3</v>
      </c>
      <c r="L19" s="2953"/>
      <c r="M19" s="2947"/>
      <c r="N19" s="2947"/>
      <c r="O19" s="3005"/>
      <c r="P19" s="3332"/>
      <c r="Q19" s="1538" t="str">
        <f t="shared" ref="Q19:Q33" si="8">B19</f>
        <v>区域土地利用方向</v>
      </c>
      <c r="R19" s="714" t="s">
        <v>17</v>
      </c>
      <c r="S19" s="715">
        <f>F19</f>
        <v>100</v>
      </c>
      <c r="T19" s="714" t="s">
        <v>17</v>
      </c>
      <c r="U19" s="715">
        <f>H19</f>
        <v>100</v>
      </c>
      <c r="V19" s="714" t="s">
        <v>17</v>
      </c>
      <c r="W19" s="715">
        <f>J19</f>
        <v>100</v>
      </c>
      <c r="X19" s="1541"/>
      <c r="Y19" s="3332"/>
      <c r="Z19" s="1542" t="str">
        <f>Q19</f>
        <v>区域土地利用方向</v>
      </c>
      <c r="AA19" s="1539">
        <f t="shared" si="3"/>
        <v>1</v>
      </c>
      <c r="AB19" s="1539">
        <f t="shared" si="4"/>
        <v>1</v>
      </c>
      <c r="AC19" s="1539">
        <f t="shared" si="5"/>
        <v>1</v>
      </c>
    </row>
    <row r="20" spans="1:29" ht="15">
      <c r="A20" s="364"/>
      <c r="B20" s="588"/>
      <c r="C20" s="406" t="s">
        <v>3133</v>
      </c>
      <c r="D20" s="407"/>
      <c r="E20" s="406" t="s">
        <v>3133</v>
      </c>
      <c r="F20" s="407"/>
      <c r="G20" s="406" t="s">
        <v>3133</v>
      </c>
      <c r="H20" s="407"/>
      <c r="I20" s="406" t="s">
        <v>3133</v>
      </c>
      <c r="J20" s="407"/>
      <c r="K20" s="751"/>
      <c r="L20" s="2953"/>
      <c r="M20" s="2947"/>
      <c r="N20" s="2947"/>
      <c r="O20" s="3005"/>
      <c r="P20" s="3332"/>
      <c r="Q20" s="1538"/>
      <c r="R20" s="714"/>
      <c r="S20" s="715"/>
      <c r="T20" s="714"/>
      <c r="U20" s="715"/>
      <c r="V20" s="714"/>
      <c r="W20" s="715"/>
      <c r="X20" s="1541"/>
      <c r="Y20" s="3332"/>
      <c r="Z20" s="1542"/>
      <c r="AA20" s="1539"/>
      <c r="AB20" s="1539"/>
      <c r="AC20" s="1539"/>
    </row>
    <row r="21" spans="1:29" ht="15">
      <c r="A21" s="364"/>
      <c r="B21" s="587" t="s">
        <v>2619</v>
      </c>
      <c r="C21" s="2088" t="str">
        <f>估价对象房地状况!G18</f>
        <v xml:space="preserve"> </v>
      </c>
      <c r="D21" s="409">
        <v>100</v>
      </c>
      <c r="E21" s="411"/>
      <c r="F21" s="409">
        <f>SUMIF(89:89,E22,90:90)-SUMIF(89:89,C22,90:90)+100</f>
        <v>100</v>
      </c>
      <c r="G21" s="411"/>
      <c r="H21" s="409">
        <f>SUMIF(89:89,G22,90:90)-SUMIF(89:89,C22,90:90)+100</f>
        <v>100</v>
      </c>
      <c r="I21" s="413"/>
      <c r="J21" s="409">
        <f>SUMIF(89:89,I22,90:90)-SUMIF(89:89,C22,90:90)+100</f>
        <v>100</v>
      </c>
      <c r="K21" s="629">
        <v>2</v>
      </c>
      <c r="L21" s="2953"/>
      <c r="M21" s="2947"/>
      <c r="N21" s="2947"/>
      <c r="O21" s="3005"/>
      <c r="P21" s="3332"/>
      <c r="Q21" s="1538" t="str">
        <f t="shared" si="8"/>
        <v>环境状况</v>
      </c>
      <c r="R21" s="714" t="s">
        <v>17</v>
      </c>
      <c r="S21" s="715">
        <f>F21</f>
        <v>100</v>
      </c>
      <c r="T21" s="714" t="s">
        <v>17</v>
      </c>
      <c r="U21" s="715">
        <f>H21</f>
        <v>100</v>
      </c>
      <c r="V21" s="714" t="s">
        <v>17</v>
      </c>
      <c r="W21" s="715">
        <f>J21</f>
        <v>100</v>
      </c>
      <c r="X21" s="1541"/>
      <c r="Y21" s="3332"/>
      <c r="Z21" s="1542" t="str">
        <f>Q21</f>
        <v>环境状况</v>
      </c>
      <c r="AA21" s="1539">
        <f t="shared" si="3"/>
        <v>1</v>
      </c>
      <c r="AB21" s="1539">
        <f t="shared" si="4"/>
        <v>1</v>
      </c>
      <c r="AC21" s="1539">
        <f t="shared" si="5"/>
        <v>1</v>
      </c>
    </row>
    <row r="22" spans="1:29" ht="15">
      <c r="A22" s="364"/>
      <c r="B22" s="588"/>
      <c r="C22" s="406" t="s">
        <v>3133</v>
      </c>
      <c r="D22" s="407"/>
      <c r="E22" s="406" t="s">
        <v>3133</v>
      </c>
      <c r="F22" s="407"/>
      <c r="G22" s="406" t="s">
        <v>3133</v>
      </c>
      <c r="H22" s="407"/>
      <c r="I22" s="406" t="s">
        <v>3133</v>
      </c>
      <c r="J22" s="407"/>
      <c r="K22" s="628"/>
      <c r="L22" s="2953"/>
      <c r="M22" s="2947"/>
      <c r="N22" s="2947"/>
      <c r="O22" s="3005"/>
      <c r="P22" s="3332"/>
      <c r="Q22" s="1538"/>
      <c r="R22" s="714"/>
      <c r="S22" s="715"/>
      <c r="T22" s="714"/>
      <c r="U22" s="715"/>
      <c r="V22" s="714"/>
      <c r="W22" s="715"/>
      <c r="X22" s="1541"/>
      <c r="Y22" s="3332"/>
      <c r="Z22" s="1542"/>
      <c r="AA22" s="1539">
        <v>1</v>
      </c>
      <c r="AB22" s="1539">
        <v>1</v>
      </c>
      <c r="AC22" s="1539">
        <v>1</v>
      </c>
    </row>
    <row r="23" spans="1:29" s="113" customFormat="1" ht="15">
      <c r="A23" s="605"/>
      <c r="B23" s="589" t="s">
        <v>2474</v>
      </c>
      <c r="C23" s="2088" t="str">
        <f>估价对象房地状况!G19</f>
        <v xml:space="preserve">  </v>
      </c>
      <c r="D23" s="409">
        <v>100</v>
      </c>
      <c r="E23" s="411"/>
      <c r="F23" s="409">
        <f>SUMIF(91:91,E24,92:92)-SUMIF(91:91,C24,92:92)+100</f>
        <v>100</v>
      </c>
      <c r="G23" s="411"/>
      <c r="H23" s="409">
        <f>SUMIF(91:91,G24,92:92)-SUMIF(91:91,C24,92:92)+100</f>
        <v>100</v>
      </c>
      <c r="I23" s="413"/>
      <c r="J23" s="409">
        <f>SUMIF(91:91,I24,92:92)-SUMIF(91:91,C24,92:92)+100</f>
        <v>100</v>
      </c>
      <c r="K23" s="629">
        <v>2</v>
      </c>
      <c r="L23" s="2948"/>
      <c r="M23" s="2949"/>
      <c r="N23" s="2949"/>
      <c r="O23" s="3003"/>
      <c r="P23" s="3332"/>
      <c r="Q23" s="1529" t="str">
        <f t="shared" si="8"/>
        <v>公共配套设施</v>
      </c>
      <c r="R23" s="710" t="s">
        <v>17</v>
      </c>
      <c r="S23" s="711">
        <f>F23</f>
        <v>100</v>
      </c>
      <c r="T23" s="710" t="s">
        <v>17</v>
      </c>
      <c r="U23" s="711">
        <f>H23</f>
        <v>100</v>
      </c>
      <c r="V23" s="710" t="s">
        <v>17</v>
      </c>
      <c r="W23" s="711">
        <f>J23</f>
        <v>100</v>
      </c>
      <c r="X23" s="712"/>
      <c r="Y23" s="3332"/>
      <c r="Z23" s="55" t="str">
        <f>Q23</f>
        <v>公共配套设施</v>
      </c>
      <c r="AA23" s="1539">
        <f>D23/F23</f>
        <v>1</v>
      </c>
      <c r="AB23" s="1539">
        <f>D23/H23</f>
        <v>1</v>
      </c>
      <c r="AC23" s="1539">
        <f>D23/J23</f>
        <v>1</v>
      </c>
    </row>
    <row r="24" spans="1:29" s="113" customFormat="1" ht="15">
      <c r="A24" s="605"/>
      <c r="B24" s="588"/>
      <c r="C24" s="2166" t="s">
        <v>3134</v>
      </c>
      <c r="D24" s="407"/>
      <c r="E24" s="2166" t="s">
        <v>3134</v>
      </c>
      <c r="F24" s="407"/>
      <c r="G24" s="2166" t="s">
        <v>3134</v>
      </c>
      <c r="H24" s="407"/>
      <c r="I24" s="2166" t="s">
        <v>3134</v>
      </c>
      <c r="J24" s="407"/>
      <c r="K24" s="628"/>
      <c r="L24" s="2948"/>
      <c r="M24" s="2949"/>
      <c r="N24" s="2949"/>
      <c r="O24" s="3003"/>
      <c r="P24" s="3332"/>
      <c r="Q24" s="1529"/>
      <c r="R24" s="710"/>
      <c r="S24" s="711"/>
      <c r="T24" s="710"/>
      <c r="U24" s="711"/>
      <c r="V24" s="710"/>
      <c r="W24" s="711"/>
      <c r="X24" s="712"/>
      <c r="Y24" s="3332"/>
      <c r="Z24" s="55"/>
      <c r="AA24" s="713">
        <v>1</v>
      </c>
      <c r="AB24" s="713">
        <v>1</v>
      </c>
      <c r="AC24" s="713">
        <v>1</v>
      </c>
    </row>
    <row r="25" spans="1:29" s="113" customFormat="1" ht="15">
      <c r="A25" s="605"/>
      <c r="B25" s="589" t="s">
        <v>2475</v>
      </c>
      <c r="C25" s="2088" t="str">
        <f>估价对象房地状况!G20</f>
        <v xml:space="preserve">  </v>
      </c>
      <c r="D25" s="409">
        <v>100</v>
      </c>
      <c r="E25" s="411"/>
      <c r="F25" s="409">
        <f>SUMIF(93:93,E26,94:94)-SUMIF(93:93,C26,94:94)+100</f>
        <v>100</v>
      </c>
      <c r="G25" s="411"/>
      <c r="H25" s="409">
        <f>SUMIF(93:93,G26,94:94)-SUMIF(93:93,C26,94:94)+100</f>
        <v>100</v>
      </c>
      <c r="I25" s="413"/>
      <c r="J25" s="409">
        <f>SUMIF(93:93,I26,94:94)-SUMIF(93:93,C26,94:94)+100</f>
        <v>100</v>
      </c>
      <c r="K25" s="629">
        <v>2</v>
      </c>
      <c r="L25" s="2948"/>
      <c r="M25" s="2949"/>
      <c r="N25" s="2949"/>
      <c r="O25" s="3003"/>
      <c r="P25" s="3332"/>
      <c r="Q25" s="1529"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9">
        <f>D25/F25</f>
        <v>1</v>
      </c>
      <c r="AB25" s="1539">
        <f>D25/H25</f>
        <v>1</v>
      </c>
      <c r="AC25" s="1539">
        <f>D25/J25</f>
        <v>1</v>
      </c>
    </row>
    <row r="26" spans="1:29" s="113" customFormat="1" ht="15">
      <c r="A26" s="605"/>
      <c r="B26" s="588"/>
      <c r="C26" s="2166" t="s">
        <v>3127</v>
      </c>
      <c r="D26" s="407"/>
      <c r="E26" s="2166" t="s">
        <v>3127</v>
      </c>
      <c r="F26" s="407"/>
      <c r="G26" s="2166" t="s">
        <v>3127</v>
      </c>
      <c r="H26" s="407"/>
      <c r="I26" s="2166" t="s">
        <v>3127</v>
      </c>
      <c r="J26" s="407"/>
      <c r="K26" s="628"/>
      <c r="L26" s="2948"/>
      <c r="M26" s="2949"/>
      <c r="N26" s="2949"/>
      <c r="O26" s="3003"/>
      <c r="P26" s="3332"/>
      <c r="Q26" s="1529"/>
      <c r="R26" s="710"/>
      <c r="S26" s="711"/>
      <c r="T26" s="710"/>
      <c r="U26" s="711"/>
      <c r="V26" s="710"/>
      <c r="W26" s="711"/>
      <c r="X26" s="712"/>
      <c r="Y26" s="3332"/>
      <c r="Z26" s="55"/>
      <c r="AA26" s="713">
        <v>1</v>
      </c>
      <c r="AB26" s="713">
        <v>1</v>
      </c>
      <c r="AC26" s="713">
        <v>1</v>
      </c>
    </row>
    <row r="27" spans="1:29" ht="15">
      <c r="A27" s="387"/>
      <c r="B27" s="588" t="s">
        <v>2476</v>
      </c>
      <c r="C27" s="573" t="s">
        <v>3138</v>
      </c>
      <c r="D27" s="394">
        <v>100</v>
      </c>
      <c r="E27" s="573" t="s">
        <v>3138</v>
      </c>
      <c r="F27" s="394">
        <f>SUMIF(95:95,E27,96:96)-SUMIF(95:95,C27,96:96)+100</f>
        <v>100</v>
      </c>
      <c r="G27" s="573" t="s">
        <v>3138</v>
      </c>
      <c r="H27" s="394">
        <f>SUMIF(95:95,G27,96:96)-SUMIF(95:95,C27,96:96)+100</f>
        <v>100</v>
      </c>
      <c r="I27" s="573" t="s">
        <v>3138</v>
      </c>
      <c r="J27" s="394">
        <f>SUMIF(95:95,I27,96:96)-SUMIF(95:95,C27,96:96)+100</f>
        <v>100</v>
      </c>
      <c r="K27" s="629">
        <v>1.5</v>
      </c>
      <c r="L27" s="2953"/>
      <c r="M27" s="2947"/>
      <c r="N27" s="2947"/>
      <c r="O27" s="3005"/>
      <c r="P27" s="3332"/>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2"/>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v>2</v>
      </c>
      <c r="L28" s="2953"/>
      <c r="M28" s="2947"/>
      <c r="N28" s="2947"/>
      <c r="O28" s="3005"/>
      <c r="P28" s="3332"/>
      <c r="Q28" s="1538" t="str">
        <f t="shared" si="8"/>
        <v>毗邻道路的类型与等级</v>
      </c>
      <c r="R28" s="714" t="s">
        <v>17</v>
      </c>
      <c r="S28" s="715">
        <f t="shared" si="10"/>
        <v>100</v>
      </c>
      <c r="T28" s="714" t="s">
        <v>17</v>
      </c>
      <c r="U28" s="715">
        <f t="shared" si="11"/>
        <v>100</v>
      </c>
      <c r="V28" s="714" t="s">
        <v>17</v>
      </c>
      <c r="W28" s="715">
        <f t="shared" si="12"/>
        <v>100</v>
      </c>
      <c r="X28" s="1541"/>
      <c r="Y28" s="3332"/>
      <c r="Z28" s="1542" t="str">
        <f t="shared" si="13"/>
        <v>毗邻道路的类型与等级</v>
      </c>
      <c r="AA28" s="1539">
        <f t="shared" si="3"/>
        <v>1</v>
      </c>
      <c r="AB28" s="1539">
        <f t="shared" si="4"/>
        <v>1</v>
      </c>
      <c r="AC28" s="1539">
        <f t="shared" si="5"/>
        <v>1</v>
      </c>
    </row>
    <row r="29" spans="1:29" ht="15">
      <c r="A29" s="387"/>
      <c r="B29" s="588"/>
      <c r="C29" s="406" t="s">
        <v>3139</v>
      </c>
      <c r="D29" s="407"/>
      <c r="E29" s="2092" t="s">
        <v>3139</v>
      </c>
      <c r="F29" s="407"/>
      <c r="G29" s="2092" t="s">
        <v>3139</v>
      </c>
      <c r="H29" s="407"/>
      <c r="I29" s="2092" t="s">
        <v>3139</v>
      </c>
      <c r="J29" s="407"/>
      <c r="K29" s="570"/>
      <c r="L29" s="2953"/>
      <c r="M29" s="2947"/>
      <c r="N29" s="2947"/>
      <c r="O29" s="3005"/>
      <c r="P29" s="3332"/>
      <c r="Q29" s="1538"/>
      <c r="R29" s="714"/>
      <c r="S29" s="715"/>
      <c r="T29" s="714"/>
      <c r="U29" s="715"/>
      <c r="V29" s="714"/>
      <c r="W29" s="715"/>
      <c r="X29" s="1541"/>
      <c r="Y29" s="3332"/>
      <c r="Z29" s="1542"/>
      <c r="AA29" s="1539">
        <v>1</v>
      </c>
      <c r="AB29" s="1539">
        <v>1</v>
      </c>
      <c r="AC29" s="1539">
        <v>1</v>
      </c>
    </row>
    <row r="30" spans="1:29" ht="15.75" thickBot="1">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32"/>
      <c r="Q30" s="1538" t="str">
        <f t="shared" si="8"/>
        <v>土地级别</v>
      </c>
      <c r="R30" s="714" t="s">
        <v>17</v>
      </c>
      <c r="S30" s="715">
        <f t="shared" si="10"/>
        <v>100</v>
      </c>
      <c r="T30" s="714" t="s">
        <v>17</v>
      </c>
      <c r="U30" s="715">
        <f t="shared" si="11"/>
        <v>100</v>
      </c>
      <c r="V30" s="714" t="s">
        <v>17</v>
      </c>
      <c r="W30" s="715">
        <f t="shared" si="12"/>
        <v>100</v>
      </c>
      <c r="X30" s="1541"/>
      <c r="Y30" s="3332"/>
      <c r="Z30" s="1542" t="str">
        <f t="shared" si="13"/>
        <v>土地级别</v>
      </c>
      <c r="AA30" s="1539">
        <f t="shared" si="3"/>
        <v>1</v>
      </c>
      <c r="AB30" s="1539">
        <f t="shared" si="4"/>
        <v>1</v>
      </c>
      <c r="AC30" s="1539">
        <f t="shared" si="5"/>
        <v>1</v>
      </c>
    </row>
    <row r="31" spans="1:29" ht="15" hidden="1">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32"/>
      <c r="Q31" s="1538">
        <f t="shared" si="8"/>
        <v>111</v>
      </c>
      <c r="R31" s="714" t="s">
        <v>17</v>
      </c>
      <c r="S31" s="715">
        <f t="shared" si="10"/>
        <v>100</v>
      </c>
      <c r="T31" s="714" t="s">
        <v>17</v>
      </c>
      <c r="U31" s="715">
        <f t="shared" si="11"/>
        <v>100</v>
      </c>
      <c r="V31" s="714" t="s">
        <v>17</v>
      </c>
      <c r="W31" s="715">
        <f t="shared" si="12"/>
        <v>100</v>
      </c>
      <c r="X31" s="1541"/>
      <c r="Y31" s="3332"/>
      <c r="Z31" s="1542">
        <f t="shared" si="13"/>
        <v>111</v>
      </c>
      <c r="AA31" s="1539">
        <f t="shared" si="3"/>
        <v>1</v>
      </c>
      <c r="AB31" s="1539">
        <f t="shared" si="4"/>
        <v>1</v>
      </c>
      <c r="AC31" s="1539">
        <f t="shared" si="5"/>
        <v>1</v>
      </c>
    </row>
    <row r="32" spans="1:29" ht="15" hidden="1">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87" t="s">
        <v>2385</v>
      </c>
      <c r="Q32" s="1538">
        <f t="shared" si="8"/>
        <v>111</v>
      </c>
      <c r="R32" s="714" t="s">
        <v>17</v>
      </c>
      <c r="S32" s="715">
        <f t="shared" si="10"/>
        <v>100</v>
      </c>
      <c r="T32" s="714" t="s">
        <v>17</v>
      </c>
      <c r="U32" s="715">
        <f t="shared" si="11"/>
        <v>100</v>
      </c>
      <c r="V32" s="714" t="s">
        <v>17</v>
      </c>
      <c r="W32" s="715">
        <f t="shared" si="12"/>
        <v>100</v>
      </c>
      <c r="X32" s="1541"/>
      <c r="Y32" s="3336" t="s">
        <v>2385</v>
      </c>
      <c r="Z32" s="1542">
        <f t="shared" si="13"/>
        <v>111</v>
      </c>
      <c r="AA32" s="1539">
        <f t="shared" si="3"/>
        <v>1</v>
      </c>
      <c r="AB32" s="1539">
        <f t="shared" si="4"/>
        <v>1</v>
      </c>
      <c r="AC32" s="1539">
        <f t="shared" si="5"/>
        <v>1</v>
      </c>
    </row>
    <row r="33" spans="1:31" s="430" customFormat="1" ht="15.75" hidden="1"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36"/>
      <c r="Q33" s="1538">
        <f t="shared" si="8"/>
        <v>111</v>
      </c>
      <c r="R33" s="717" t="s">
        <v>17</v>
      </c>
      <c r="S33" s="718">
        <f t="shared" si="10"/>
        <v>100</v>
      </c>
      <c r="T33" s="717" t="s">
        <v>17</v>
      </c>
      <c r="U33" s="718">
        <f t="shared" si="11"/>
        <v>100</v>
      </c>
      <c r="V33" s="717" t="s">
        <v>17</v>
      </c>
      <c r="W33" s="718">
        <f t="shared" si="12"/>
        <v>100</v>
      </c>
      <c r="X33" s="719"/>
      <c r="Y33" s="3336"/>
      <c r="Z33" s="720">
        <f t="shared" si="13"/>
        <v>111</v>
      </c>
      <c r="AA33" s="1539">
        <f t="shared" si="3"/>
        <v>1</v>
      </c>
      <c r="AB33" s="1539">
        <f t="shared" si="4"/>
        <v>1</v>
      </c>
      <c r="AC33" s="1539">
        <f t="shared" si="5"/>
        <v>1</v>
      </c>
    </row>
    <row r="34" spans="1:31" ht="15">
      <c r="A34" s="399" t="s">
        <v>2383</v>
      </c>
      <c r="B34" s="415" t="s">
        <v>2571</v>
      </c>
      <c r="C34" s="635">
        <f>'数据-基础表'!A3</f>
        <v>101087.14</v>
      </c>
      <c r="D34" s="426">
        <v>100</v>
      </c>
      <c r="E34" s="635">
        <f>Sheet1!F18</f>
        <v>30911.9</v>
      </c>
      <c r="F34" s="426">
        <f>LOOKUP(E34,108:108,109:109)-LOOKUP(C34,108:108,109:109)+100</f>
        <v>97</v>
      </c>
      <c r="G34" s="635">
        <f>Sheet1!F19</f>
        <v>10730.4</v>
      </c>
      <c r="H34" s="426">
        <f>LOOKUP(G34,108:108,109:109)-LOOKUP(C34,108:108,109:109)+100</f>
        <v>96</v>
      </c>
      <c r="I34" s="487">
        <f>Sheet1!F12</f>
        <v>10922.9</v>
      </c>
      <c r="J34" s="426">
        <f>LOOKUP(I34,108:108,109:109)-LOOKUP(C34,108:108,109:109)+100</f>
        <v>96</v>
      </c>
      <c r="K34" s="570"/>
      <c r="L34" s="2953"/>
      <c r="M34" s="2947"/>
      <c r="N34" s="2947"/>
      <c r="O34" s="3005"/>
      <c r="P34" s="3336"/>
      <c r="Q34" s="1538" t="str">
        <f>B34</f>
        <v>宗地面积</v>
      </c>
      <c r="R34" s="714" t="s">
        <v>17</v>
      </c>
      <c r="S34" s="715">
        <f t="shared" si="10"/>
        <v>97</v>
      </c>
      <c r="T34" s="714" t="s">
        <v>17</v>
      </c>
      <c r="U34" s="715">
        <f t="shared" si="11"/>
        <v>96</v>
      </c>
      <c r="V34" s="714" t="s">
        <v>17</v>
      </c>
      <c r="W34" s="715">
        <f t="shared" si="12"/>
        <v>96</v>
      </c>
      <c r="X34" s="1541"/>
      <c r="Y34" s="3336"/>
      <c r="Z34" s="1542" t="str">
        <f t="shared" si="13"/>
        <v>宗地面积</v>
      </c>
      <c r="AA34" s="1539">
        <f t="shared" si="3"/>
        <v>1.0309278350515463</v>
      </c>
      <c r="AB34" s="1539">
        <f t="shared" si="4"/>
        <v>1.0416666666666667</v>
      </c>
      <c r="AC34" s="1539">
        <f t="shared" si="5"/>
        <v>1.0416666666666667</v>
      </c>
    </row>
    <row r="35" spans="1:31" ht="15">
      <c r="A35" s="431"/>
      <c r="B35" s="381" t="s">
        <v>2572</v>
      </c>
      <c r="C35" s="3060" t="s">
        <v>3137</v>
      </c>
      <c r="D35" s="394">
        <v>100</v>
      </c>
      <c r="E35" s="3060" t="s">
        <v>3137</v>
      </c>
      <c r="F35" s="394">
        <f>SUMIF(110:110,E35,111:111)-SUMIF(110:110,C35,111:111)+100</f>
        <v>100</v>
      </c>
      <c r="G35" s="3060" t="s">
        <v>3137</v>
      </c>
      <c r="H35" s="394">
        <f>SUMIF(110:110,G35,111:111)-SUMIF(110:110,C35,111:111)+100</f>
        <v>100</v>
      </c>
      <c r="I35" s="3060" t="s">
        <v>3137</v>
      </c>
      <c r="J35" s="394">
        <f>SUMIF(110:110,I35,111:111)-SUMIF(110:110,C35,111:111)+100</f>
        <v>100</v>
      </c>
      <c r="K35" s="569">
        <v>2</v>
      </c>
      <c r="L35" s="2953"/>
      <c r="M35" s="2947"/>
      <c r="N35" s="2947"/>
      <c r="O35" s="3005"/>
      <c r="P35" s="3336"/>
      <c r="Q35" s="1538" t="str">
        <f t="shared" ref="Q35:Q40" si="14">B35</f>
        <v>宗地形状</v>
      </c>
      <c r="R35" s="714" t="s">
        <v>17</v>
      </c>
      <c r="S35" s="715">
        <f t="shared" si="10"/>
        <v>100</v>
      </c>
      <c r="T35" s="714" t="s">
        <v>17</v>
      </c>
      <c r="U35" s="715">
        <f t="shared" si="11"/>
        <v>100</v>
      </c>
      <c r="V35" s="714" t="s">
        <v>17</v>
      </c>
      <c r="W35" s="715">
        <f t="shared" si="12"/>
        <v>100</v>
      </c>
      <c r="X35" s="1541"/>
      <c r="Y35" s="3336"/>
      <c r="Z35" s="1542" t="str">
        <f t="shared" si="13"/>
        <v>宗地形状</v>
      </c>
      <c r="AA35" s="1539">
        <f t="shared" si="3"/>
        <v>1</v>
      </c>
      <c r="AB35" s="1539">
        <f t="shared" si="4"/>
        <v>1</v>
      </c>
      <c r="AC35" s="1539">
        <f t="shared" si="5"/>
        <v>1</v>
      </c>
    </row>
    <row r="36" spans="1:31" s="113" customFormat="1" ht="15">
      <c r="A36" s="432"/>
      <c r="B36" s="381" t="s">
        <v>2574</v>
      </c>
      <c r="C36" s="3061" t="s">
        <v>3129</v>
      </c>
      <c r="D36" s="132">
        <v>100</v>
      </c>
      <c r="E36" s="3061" t="s">
        <v>3127</v>
      </c>
      <c r="F36" s="394">
        <f>SUMIF(112:112,E36,113:113)-SUMIF(112:112,C36,113:113)+100</f>
        <v>104</v>
      </c>
      <c r="G36" s="3061" t="s">
        <v>3128</v>
      </c>
      <c r="H36" s="394">
        <f>SUMIF(112:112,G36,113:113)-SUMIF(112:112,C36,113:113)+100</f>
        <v>102</v>
      </c>
      <c r="I36" s="3061" t="s">
        <v>3127</v>
      </c>
      <c r="J36" s="394">
        <f>SUMIF(112:112,I36,113:113)-SUMIF(112:112,C36,113:113)+100</f>
        <v>104</v>
      </c>
      <c r="K36" s="569">
        <v>2</v>
      </c>
      <c r="L36" s="2948"/>
      <c r="M36" s="2949"/>
      <c r="N36" s="2949"/>
      <c r="O36" s="3003"/>
      <c r="P36" s="3336"/>
      <c r="Q36" s="1538" t="str">
        <f t="shared" si="14"/>
        <v>宗地开发程度</v>
      </c>
      <c r="R36" s="710" t="s">
        <v>17</v>
      </c>
      <c r="S36" s="711">
        <f t="shared" si="10"/>
        <v>104</v>
      </c>
      <c r="T36" s="710" t="s">
        <v>17</v>
      </c>
      <c r="U36" s="711">
        <f t="shared" si="11"/>
        <v>102</v>
      </c>
      <c r="V36" s="710" t="s">
        <v>17</v>
      </c>
      <c r="W36" s="711">
        <f t="shared" si="12"/>
        <v>104</v>
      </c>
      <c r="X36" s="712"/>
      <c r="Y36" s="3336"/>
      <c r="Z36" s="55" t="str">
        <f t="shared" si="13"/>
        <v>宗地开发程度</v>
      </c>
      <c r="AA36" s="713">
        <f t="shared" si="3"/>
        <v>0.96153846153846156</v>
      </c>
      <c r="AB36" s="713">
        <f t="shared" si="4"/>
        <v>0.98039215686274506</v>
      </c>
      <c r="AC36" s="713">
        <f t="shared" si="5"/>
        <v>0.96153846153846156</v>
      </c>
    </row>
    <row r="37" spans="1:31" ht="15.75" thickBot="1">
      <c r="A37" s="431"/>
      <c r="B37" s="381" t="s">
        <v>2575</v>
      </c>
      <c r="C37" s="3060" t="s">
        <v>3133</v>
      </c>
      <c r="D37" s="394">
        <v>100</v>
      </c>
      <c r="E37" s="3060" t="s">
        <v>3133</v>
      </c>
      <c r="F37" s="394">
        <f>SUMIF(114:114,E37,115:115)-SUMIF(114:114,C37,115:115)+100</f>
        <v>100</v>
      </c>
      <c r="G37" s="3060" t="s">
        <v>3133</v>
      </c>
      <c r="H37" s="394">
        <f>SUMIF(114:114,G37,115:115)-SUMIF(114:114,C37,115:115)+100</f>
        <v>100</v>
      </c>
      <c r="I37" s="3060" t="s">
        <v>3133</v>
      </c>
      <c r="J37" s="394">
        <f>SUMIF(114:114,I37,115:115)-SUMIF(114:114,C37,115:115)+100</f>
        <v>100</v>
      </c>
      <c r="K37" s="569">
        <v>2</v>
      </c>
      <c r="L37" s="2953"/>
      <c r="M37" s="2947"/>
      <c r="N37" s="2947"/>
      <c r="O37" s="3005"/>
      <c r="P37" s="3336" t="s">
        <v>2385</v>
      </c>
      <c r="Q37" s="1538" t="str">
        <f t="shared" si="14"/>
        <v>工程地质条件</v>
      </c>
      <c r="R37" s="714" t="s">
        <v>17</v>
      </c>
      <c r="S37" s="715">
        <f t="shared" si="10"/>
        <v>100</v>
      </c>
      <c r="T37" s="714" t="s">
        <v>17</v>
      </c>
      <c r="U37" s="715">
        <f t="shared" si="11"/>
        <v>100</v>
      </c>
      <c r="V37" s="714" t="s">
        <v>17</v>
      </c>
      <c r="W37" s="715">
        <f t="shared" si="12"/>
        <v>100</v>
      </c>
      <c r="X37" s="1541"/>
      <c r="Y37" s="3336" t="s">
        <v>2385</v>
      </c>
      <c r="Z37" s="1542" t="str">
        <f t="shared" si="13"/>
        <v>工程地质条件</v>
      </c>
      <c r="AA37" s="1539">
        <f t="shared" si="3"/>
        <v>1</v>
      </c>
      <c r="AB37" s="1539">
        <f t="shared" si="4"/>
        <v>1</v>
      </c>
      <c r="AC37" s="1539">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36"/>
      <c r="Q38" s="1538">
        <f t="shared" si="14"/>
        <v>111</v>
      </c>
      <c r="R38" s="714" t="s">
        <v>17</v>
      </c>
      <c r="S38" s="715">
        <f t="shared" si="10"/>
        <v>100</v>
      </c>
      <c r="T38" s="714" t="s">
        <v>17</v>
      </c>
      <c r="U38" s="715">
        <f t="shared" si="11"/>
        <v>100</v>
      </c>
      <c r="V38" s="714" t="s">
        <v>17</v>
      </c>
      <c r="W38" s="715">
        <f t="shared" si="12"/>
        <v>100</v>
      </c>
      <c r="X38" s="1541"/>
      <c r="Y38" s="3336"/>
      <c r="Z38" s="1542">
        <f t="shared" si="13"/>
        <v>111</v>
      </c>
      <c r="AA38" s="1539">
        <f t="shared" si="3"/>
        <v>1</v>
      </c>
      <c r="AB38" s="1539">
        <f t="shared" si="4"/>
        <v>1</v>
      </c>
      <c r="AC38" s="1539">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36"/>
      <c r="Q39" s="1538">
        <f t="shared" si="14"/>
        <v>111</v>
      </c>
      <c r="R39" s="714" t="s">
        <v>17</v>
      </c>
      <c r="S39" s="715">
        <f t="shared" si="10"/>
        <v>100</v>
      </c>
      <c r="T39" s="714" t="s">
        <v>17</v>
      </c>
      <c r="U39" s="715">
        <f t="shared" si="11"/>
        <v>100</v>
      </c>
      <c r="V39" s="714" t="s">
        <v>17</v>
      </c>
      <c r="W39" s="715">
        <f t="shared" si="12"/>
        <v>100</v>
      </c>
      <c r="X39" s="1541"/>
      <c r="Y39" s="3336"/>
      <c r="Z39" s="1542">
        <f t="shared" si="13"/>
        <v>111</v>
      </c>
      <c r="AA39" s="1539">
        <f t="shared" si="3"/>
        <v>1</v>
      </c>
      <c r="AB39" s="1539">
        <f t="shared" si="4"/>
        <v>1</v>
      </c>
      <c r="AC39" s="1539">
        <f t="shared" si="5"/>
        <v>1</v>
      </c>
    </row>
    <row r="40" spans="1:31" s="430" customFormat="1" ht="15.75" hidden="1"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36"/>
      <c r="Q40" s="1538">
        <f t="shared" si="14"/>
        <v>111</v>
      </c>
      <c r="R40" s="717" t="s">
        <v>17</v>
      </c>
      <c r="S40" s="718">
        <f t="shared" si="10"/>
        <v>100</v>
      </c>
      <c r="T40" s="717" t="s">
        <v>17</v>
      </c>
      <c r="U40" s="718">
        <f t="shared" si="11"/>
        <v>100</v>
      </c>
      <c r="V40" s="717" t="s">
        <v>17</v>
      </c>
      <c r="W40" s="718">
        <f t="shared" si="12"/>
        <v>100</v>
      </c>
      <c r="X40" s="719"/>
      <c r="Y40" s="3336"/>
      <c r="Z40" s="720">
        <f t="shared" si="13"/>
        <v>111</v>
      </c>
      <c r="AA40" s="1539">
        <f t="shared" si="3"/>
        <v>1</v>
      </c>
      <c r="AB40" s="1539">
        <f t="shared" si="4"/>
        <v>1</v>
      </c>
      <c r="AC40" s="1539">
        <f t="shared" si="5"/>
        <v>1</v>
      </c>
    </row>
    <row r="41" spans="1:31" ht="15">
      <c r="A41" s="438" t="s">
        <v>2540</v>
      </c>
      <c r="B41" s="2170" t="s">
        <v>3143</v>
      </c>
      <c r="C41" s="638" t="s">
        <v>1</v>
      </c>
      <c r="D41" s="440"/>
      <c r="E41" s="441">
        <f>Sheet1!P18</f>
        <v>2133</v>
      </c>
      <c r="F41" s="442"/>
      <c r="G41" s="443">
        <f>Sheet1!P19</f>
        <v>2130</v>
      </c>
      <c r="H41" s="444"/>
      <c r="I41" s="441">
        <f>Sheet1!P12</f>
        <v>2297</v>
      </c>
      <c r="J41" s="444"/>
      <c r="K41" s="723"/>
      <c r="L41" s="2955"/>
      <c r="M41" s="2947"/>
      <c r="N41" s="2947"/>
      <c r="O41" s="2956"/>
      <c r="P41" s="3329" t="str">
        <f>A41</f>
        <v>成交单价</v>
      </c>
      <c r="Q41" s="3329"/>
      <c r="R41" s="3360">
        <f>E41</f>
        <v>2133</v>
      </c>
      <c r="S41" s="3360"/>
      <c r="T41" s="3360">
        <f>G41</f>
        <v>2130</v>
      </c>
      <c r="U41" s="3360"/>
      <c r="V41" s="3360">
        <f>I41</f>
        <v>2297</v>
      </c>
      <c r="W41" s="3360"/>
      <c r="X41" s="699"/>
      <c r="Y41" s="721"/>
      <c r="Z41" s="699"/>
      <c r="AA41" s="699"/>
      <c r="AB41" s="699"/>
      <c r="AC41" s="699"/>
    </row>
    <row r="42" spans="1:31" ht="15.75" thickBot="1">
      <c r="A42" s="445" t="s">
        <v>2489</v>
      </c>
      <c r="B42" s="639"/>
      <c r="C42" s="448">
        <f>R43</f>
        <v>2145</v>
      </c>
      <c r="D42" s="2540" t="s">
        <v>2880</v>
      </c>
      <c r="E42" s="448">
        <f>R42</f>
        <v>2074</v>
      </c>
      <c r="F42" s="2541"/>
      <c r="G42" s="447">
        <f>T42</f>
        <v>2023</v>
      </c>
      <c r="H42" s="2541"/>
      <c r="I42" s="448">
        <f>V42</f>
        <v>2338</v>
      </c>
      <c r="J42" s="2541"/>
      <c r="K42" s="2543">
        <f>F42+H42+J42</f>
        <v>0</v>
      </c>
      <c r="L42" s="2955"/>
      <c r="M42" s="2947"/>
      <c r="N42" s="2947"/>
      <c r="O42" s="2956"/>
      <c r="P42" s="3329" t="str">
        <f>A42</f>
        <v>比较价值（元/平方米）</v>
      </c>
      <c r="Q42" s="3329"/>
      <c r="R42" s="3389">
        <f>ROUND(PRODUCT(R41,AA7:AA40),0)</f>
        <v>2074</v>
      </c>
      <c r="S42" s="3389"/>
      <c r="T42" s="3389">
        <f>ROUND(PRODUCT(T41,AB7:AB40),0)</f>
        <v>2023</v>
      </c>
      <c r="U42" s="3389"/>
      <c r="V42" s="3389">
        <f>ROUND(PRODUCT(V41,AC7:AC40),0)</f>
        <v>2338</v>
      </c>
      <c r="W42" s="3389"/>
      <c r="X42" s="699"/>
      <c r="Y42" s="699"/>
      <c r="Z42" s="699"/>
      <c r="AA42" s="699"/>
      <c r="AB42" s="699"/>
      <c r="AC42" s="699"/>
    </row>
    <row r="43" spans="1:31" ht="15.75" thickBot="1">
      <c r="A43" s="449" t="s">
        <v>2490</v>
      </c>
      <c r="B43" s="450"/>
      <c r="C43" s="451">
        <f>R43</f>
        <v>2145</v>
      </c>
      <c r="D43" s="451"/>
      <c r="E43" s="451"/>
      <c r="F43" s="451"/>
      <c r="G43" s="451"/>
      <c r="H43" s="451"/>
      <c r="I43" s="451"/>
      <c r="J43" s="451"/>
      <c r="K43" s="724"/>
      <c r="L43" s="2955"/>
      <c r="M43" s="2947"/>
      <c r="N43" s="2947"/>
      <c r="O43" s="2956"/>
      <c r="P43" s="3326" t="str">
        <f>A43</f>
        <v>估价对象XX用房的比较价值（楼面单价，元/平方米）</v>
      </c>
      <c r="Q43" s="3327"/>
      <c r="R43" s="3390">
        <f>ROUND(IF(D42="简单平均",AVERAGE(R42:W42),R42*F42+T42*H42+V42*J42),0)</f>
        <v>2145</v>
      </c>
      <c r="S43" s="3390"/>
      <c r="T43" s="3390"/>
      <c r="U43" s="3390"/>
      <c r="V43" s="3390"/>
      <c r="W43" s="339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f>IF(E41&lt;E42,E42/E41-1,E41/E42-1)</f>
        <v>2.8447444551591206E-2</v>
      </c>
      <c r="F46" s="457" t="str">
        <f>IF(OR(E46&gt;=0.3,E46&lt;=-0.3),"超过30%","")</f>
        <v/>
      </c>
      <c r="G46" s="456">
        <f>IF(G41&lt;G42,G42/G41-1,G41/G42-1)</f>
        <v>5.2891744933267315E-2</v>
      </c>
      <c r="H46" s="457" t="str">
        <f>IF(OR(G46&gt;=0.3,G46&lt;=-0.3),"超过30%","")</f>
        <v/>
      </c>
      <c r="I46" s="456">
        <f>IF(I41&lt;I42,I42/I41-1,I41/I42-1)</f>
        <v>1.7849368741837068E-2</v>
      </c>
      <c r="J46" s="457" t="str">
        <f>IF(OR(I46&gt;=0.3,I46&lt;=-0.3),"超过30%","")</f>
        <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f>IF(E42&lt;G42,G42/E42-1,E42/G42-1)</f>
        <v>2.5210084033613356E-2</v>
      </c>
      <c r="F47" s="457" t="str">
        <f>IF(OR(E47&gt;=0.2,E47&lt;=-0.2),"超过20%","")</f>
        <v/>
      </c>
      <c r="G47" s="456">
        <f>IF(G42&lt;I42,I42/G42-1,G42/I42-1)</f>
        <v>0.15570934256055358</v>
      </c>
      <c r="H47" s="457" t="str">
        <f>IF(OR(G47&gt;=0.2,G47&lt;=-0.2),"超过20%","")</f>
        <v/>
      </c>
      <c r="I47" s="456">
        <f>IF(I42&lt;E42,E42/I42-1,I42/E42-1)</f>
        <v>0.12729026036644164</v>
      </c>
      <c r="J47" s="457" t="str">
        <f>IF(OR(I47&gt;=0.2,I47&lt;=-0.2),"超过20%","")</f>
        <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f>IF(E41&lt;G41,G41/E41-1,E41/G41-1)</f>
        <v>1.4084507042253502E-3</v>
      </c>
      <c r="F48" s="457" t="str">
        <f>IF(OR(E48&gt;=0.3,E48&lt;=-0.3),"超过30%","")</f>
        <v/>
      </c>
      <c r="G48" s="456">
        <f>IF(G41&lt;I41,I41/G41-1,G41/I41-1)</f>
        <v>7.8403755868544645E-2</v>
      </c>
      <c r="H48" s="457" t="str">
        <f>IF(OR(G48&gt;=0.3,G48&lt;=-0.3),"超过30%","")</f>
        <v/>
      </c>
      <c r="I48" s="456">
        <f>IF(I41&lt;E41,E41/I41-1,I41/E41-1)</f>
        <v>7.6887013595874354E-2</v>
      </c>
      <c r="J48" s="457" t="str">
        <f>IF(OR(I48&gt;=0.3,I48&lt;=-0.3),"超过30%","")</f>
        <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2578</v>
      </c>
      <c r="B50" s="641" t="s">
        <v>2579</v>
      </c>
      <c r="C50" s="2171" t="s">
        <v>2580</v>
      </c>
      <c r="D50" s="2172" t="s">
        <v>2581</v>
      </c>
      <c r="E50" s="642" t="s">
        <v>2582</v>
      </c>
      <c r="F50" s="643" t="s">
        <v>2583</v>
      </c>
      <c r="G50" s="3344" t="s">
        <v>2584</v>
      </c>
      <c r="H50" s="3391"/>
      <c r="I50" s="1542" t="s">
        <v>2620</v>
      </c>
      <c r="J50" s="1542">
        <f>项目基本情况!F35</f>
        <v>0</v>
      </c>
      <c r="K50" s="2174" t="s">
        <v>2586</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2587</v>
      </c>
      <c r="B51" s="645">
        <f>C43</f>
        <v>2145</v>
      </c>
      <c r="C51" s="646">
        <v>1</v>
      </c>
      <c r="D51" s="1075">
        <v>1</v>
      </c>
      <c r="E51" s="646">
        <f>'数据-汇总表'!E8+'数据-汇总表'!E9</f>
        <v>134884.83000000002</v>
      </c>
      <c r="F51" s="647">
        <f t="shared" ref="F51:F60" si="15">ROUND(B51*E51/10000,0)</f>
        <v>28933</v>
      </c>
      <c r="G51" s="3340"/>
      <c r="H51" s="3329"/>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2588</v>
      </c>
      <c r="B52" s="224">
        <f>ROUND($C$43*C52*D52,0)</f>
        <v>0</v>
      </c>
      <c r="C52" s="176">
        <f t="shared" ref="C52:C60" si="16">IF($C$50="北京市系数",I52,J52)</f>
        <v>0</v>
      </c>
      <c r="D52" s="1076">
        <v>0.25</v>
      </c>
      <c r="E52" s="650"/>
      <c r="F52" s="647">
        <f t="shared" si="15"/>
        <v>0</v>
      </c>
      <c r="G52" s="3392" t="s">
        <v>2589</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2590</v>
      </c>
      <c r="B53" s="224">
        <f t="shared" ref="B53:B60" si="17">ROUND($C$43*C53*D53,0)</f>
        <v>0</v>
      </c>
      <c r="C53" s="176">
        <f t="shared" si="16"/>
        <v>0</v>
      </c>
      <c r="D53" s="1076">
        <v>0.25</v>
      </c>
      <c r="E53" s="650"/>
      <c r="F53" s="647">
        <f t="shared" si="15"/>
        <v>0</v>
      </c>
      <c r="G53" s="339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2591</v>
      </c>
      <c r="B54" s="224">
        <f t="shared" si="17"/>
        <v>0</v>
      </c>
      <c r="C54" s="176">
        <f t="shared" si="16"/>
        <v>0</v>
      </c>
      <c r="D54" s="1076">
        <v>0.25</v>
      </c>
      <c r="E54" s="650"/>
      <c r="F54" s="647">
        <f t="shared" si="15"/>
        <v>0</v>
      </c>
      <c r="G54" s="339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2592</v>
      </c>
      <c r="B55" s="224">
        <f t="shared" si="17"/>
        <v>0</v>
      </c>
      <c r="C55" s="176">
        <f t="shared" si="16"/>
        <v>0</v>
      </c>
      <c r="D55" s="1076">
        <v>0.25</v>
      </c>
      <c r="E55" s="650"/>
      <c r="F55" s="647">
        <f t="shared" si="15"/>
        <v>0</v>
      </c>
      <c r="G55" s="339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2593</v>
      </c>
      <c r="B56" s="224">
        <f t="shared" si="17"/>
        <v>0</v>
      </c>
      <c r="C56" s="176">
        <f t="shared" si="16"/>
        <v>0</v>
      </c>
      <c r="D56" s="1076">
        <v>0.25</v>
      </c>
      <c r="E56" s="223">
        <f>'数据-汇总表'!E11</f>
        <v>0</v>
      </c>
      <c r="F56" s="647">
        <f t="shared" si="15"/>
        <v>0</v>
      </c>
      <c r="G56" s="2175" t="s">
        <v>2594</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2595</v>
      </c>
      <c r="B57" s="224">
        <f t="shared" si="17"/>
        <v>0</v>
      </c>
      <c r="C57" s="176">
        <f t="shared" si="16"/>
        <v>0</v>
      </c>
      <c r="D57" s="1076">
        <v>0.25</v>
      </c>
      <c r="E57" s="223">
        <f>'数据-汇总表'!E12</f>
        <v>0</v>
      </c>
      <c r="F57" s="647">
        <f t="shared" si="15"/>
        <v>0</v>
      </c>
      <c r="G57" s="1023" t="s">
        <v>2596</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2597</v>
      </c>
      <c r="B58" s="224">
        <f t="shared" si="17"/>
        <v>0</v>
      </c>
      <c r="C58" s="176">
        <f t="shared" si="16"/>
        <v>0</v>
      </c>
      <c r="D58" s="1076">
        <v>0.25</v>
      </c>
      <c r="E58" s="223">
        <f>'数据-汇总表'!E13</f>
        <v>16210.670000000002</v>
      </c>
      <c r="F58" s="647">
        <f t="shared" si="15"/>
        <v>0</v>
      </c>
      <c r="G58" s="1023" t="s">
        <v>2598</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2599</v>
      </c>
      <c r="B59" s="224">
        <f t="shared" si="17"/>
        <v>0</v>
      </c>
      <c r="C59" s="176">
        <f t="shared" si="16"/>
        <v>0</v>
      </c>
      <c r="D59" s="1076">
        <v>0.25</v>
      </c>
      <c r="E59" s="223">
        <f>'数据-汇总表'!E14</f>
        <v>0</v>
      </c>
      <c r="F59" s="647">
        <f t="shared" si="15"/>
        <v>0</v>
      </c>
      <c r="G59" s="2175" t="s">
        <v>2589</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2600</v>
      </c>
      <c r="B60" s="224">
        <f t="shared" si="17"/>
        <v>0</v>
      </c>
      <c r="C60" s="176">
        <f t="shared" si="16"/>
        <v>0</v>
      </c>
      <c r="D60" s="1076">
        <v>0.25</v>
      </c>
      <c r="E60" s="223">
        <f>'数据-汇总表'!E15</f>
        <v>0</v>
      </c>
      <c r="F60" s="647">
        <f t="shared" si="15"/>
        <v>0</v>
      </c>
      <c r="G60" s="2176" t="s">
        <v>2594</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2601</v>
      </c>
      <c r="B61" s="652" t="s">
        <v>28</v>
      </c>
      <c r="C61" s="652" t="s">
        <v>29</v>
      </c>
      <c r="D61" s="652" t="s">
        <v>997</v>
      </c>
      <c r="E61" s="652">
        <f>IF(B41="楼面地价",SUM(E51:E60),'数据-汇总表'!D3)</f>
        <v>101087.14</v>
      </c>
      <c r="F61" s="653">
        <f>IF(B41="楼面地价",SUM(F51:F60),ROUND(C43*E61/10000,0))</f>
        <v>21683</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2020-8-1</v>
      </c>
      <c r="D63" s="701">
        <f>EDATE(C63,-3)</f>
        <v>43952</v>
      </c>
      <c r="E63" s="701">
        <f>EDATE(D63,-3)</f>
        <v>43862</v>
      </c>
      <c r="F63" s="701">
        <f t="shared" ref="F63:O63" si="18">EDATE(E63,-3)</f>
        <v>43770</v>
      </c>
      <c r="G63" s="701">
        <f t="shared" si="18"/>
        <v>43678</v>
      </c>
      <c r="H63" s="701">
        <f t="shared" si="18"/>
        <v>43586</v>
      </c>
      <c r="I63" s="701">
        <f t="shared" si="18"/>
        <v>43497</v>
      </c>
      <c r="J63" s="701">
        <f t="shared" si="18"/>
        <v>43405</v>
      </c>
      <c r="K63" s="701">
        <f t="shared" si="18"/>
        <v>43313</v>
      </c>
      <c r="L63" s="701">
        <f t="shared" si="18"/>
        <v>43221</v>
      </c>
      <c r="M63" s="701">
        <f t="shared" si="18"/>
        <v>43132</v>
      </c>
      <c r="N63" s="701">
        <f t="shared" si="18"/>
        <v>43040</v>
      </c>
      <c r="O63" s="701">
        <f t="shared" si="18"/>
        <v>42948</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2602</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北京市平均增长率1.27%</v>
      </c>
      <c r="C66" s="560">
        <v>100</v>
      </c>
      <c r="D66" s="552">
        <f>C66-0.5</f>
        <v>99.5</v>
      </c>
      <c r="E66" s="552">
        <f t="shared" ref="E66:F66" si="20">D66-0.5</f>
        <v>99</v>
      </c>
      <c r="F66" s="552">
        <f t="shared" si="20"/>
        <v>98.5</v>
      </c>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3054" t="s">
        <v>3112</v>
      </c>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v>100</v>
      </c>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1（含）-1.2</v>
      </c>
      <c r="D74" s="504" t="str">
        <f t="shared" ref="D74:L74" si="21">D75&amp;"（含）"&amp;"-"&amp;E75</f>
        <v>1.2（含）-1.4</v>
      </c>
      <c r="E74" s="504" t="str">
        <f t="shared" si="21"/>
        <v>1.4（含）-1.6</v>
      </c>
      <c r="F74" s="504" t="str">
        <f t="shared" si="21"/>
        <v>1.6（含）-1.8</v>
      </c>
      <c r="G74" s="504" t="str">
        <f t="shared" si="21"/>
        <v>1.8（含）-2</v>
      </c>
      <c r="H74" s="504" t="str">
        <f t="shared" si="21"/>
        <v>2（含）-2.2</v>
      </c>
      <c r="I74" s="504" t="str">
        <f t="shared" si="21"/>
        <v>2.2（含）-2.4</v>
      </c>
      <c r="J74" s="504" t="str">
        <f t="shared" si="21"/>
        <v>2.4（含）-2.6</v>
      </c>
      <c r="K74" s="504" t="str">
        <f t="shared" si="21"/>
        <v>2.6（含）-</v>
      </c>
      <c r="L74" s="504" t="str">
        <f t="shared" si="21"/>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3053">
        <v>1</v>
      </c>
      <c r="D75" s="3053">
        <v>1.2</v>
      </c>
      <c r="E75" s="3053">
        <v>1.4</v>
      </c>
      <c r="F75" s="3053">
        <v>1.6</v>
      </c>
      <c r="G75" s="3053">
        <v>1.8</v>
      </c>
      <c r="H75" s="3053">
        <v>2</v>
      </c>
      <c r="I75" s="3053">
        <v>2.2000000000000002</v>
      </c>
      <c r="J75" s="3053">
        <v>2.4</v>
      </c>
      <c r="K75" s="3053">
        <v>2.6</v>
      </c>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98</v>
      </c>
      <c r="E84" s="501">
        <f>D84-$K15</f>
        <v>96</v>
      </c>
      <c r="F84" s="501">
        <f>E84-$K15</f>
        <v>94</v>
      </c>
      <c r="G84" s="501">
        <f>F84-$K15</f>
        <v>92</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98</v>
      </c>
      <c r="E86" s="501">
        <f>D86-$K17</f>
        <v>96</v>
      </c>
      <c r="F86" s="501">
        <f>E86-$K17</f>
        <v>94</v>
      </c>
      <c r="G86" s="501">
        <f>F86-$K17</f>
        <v>92</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97</v>
      </c>
      <c r="E88" s="501">
        <f>D88-$K19</f>
        <v>94</v>
      </c>
      <c r="F88" s="501">
        <f>E88-$K19</f>
        <v>91</v>
      </c>
      <c r="G88" s="501">
        <f>F88-$K19</f>
        <v>88</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3">C96-$K27</f>
        <v>98.5</v>
      </c>
      <c r="E96" s="501">
        <f t="shared" si="23"/>
        <v>97</v>
      </c>
      <c r="F96" s="501">
        <f t="shared" si="23"/>
        <v>95.5</v>
      </c>
      <c r="G96" s="501">
        <f t="shared" si="23"/>
        <v>94</v>
      </c>
      <c r="H96" s="501">
        <f t="shared" si="23"/>
        <v>92.5</v>
      </c>
      <c r="I96" s="501">
        <f t="shared" si="23"/>
        <v>91</v>
      </c>
      <c r="J96" s="501">
        <f t="shared" si="23"/>
        <v>89.5</v>
      </c>
      <c r="K96" s="501">
        <f t="shared" si="23"/>
        <v>88</v>
      </c>
      <c r="L96" s="501">
        <f t="shared" si="23"/>
        <v>86.5</v>
      </c>
      <c r="M96" s="501">
        <f t="shared" si="23"/>
        <v>85</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3055" t="s">
        <v>3113</v>
      </c>
      <c r="D97" s="3055" t="s">
        <v>3114</v>
      </c>
      <c r="E97" s="3055" t="s">
        <v>3115</v>
      </c>
      <c r="F97" s="3055" t="s">
        <v>3116</v>
      </c>
      <c r="G97" s="3055" t="s">
        <v>3117</v>
      </c>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4">C98-$K28</f>
        <v>98</v>
      </c>
      <c r="E98" s="501">
        <f t="shared" si="24"/>
        <v>96</v>
      </c>
      <c r="F98" s="501">
        <f t="shared" si="24"/>
        <v>94</v>
      </c>
      <c r="G98" s="501">
        <f t="shared" si="24"/>
        <v>92</v>
      </c>
      <c r="H98" s="501">
        <f t="shared" si="24"/>
        <v>90</v>
      </c>
      <c r="I98" s="501">
        <f t="shared" si="24"/>
        <v>88</v>
      </c>
      <c r="J98" s="501">
        <f t="shared" si="24"/>
        <v>86</v>
      </c>
      <c r="K98" s="501">
        <f t="shared" si="24"/>
        <v>84</v>
      </c>
      <c r="L98" s="501">
        <f t="shared" si="24"/>
        <v>82</v>
      </c>
      <c r="M98" s="501">
        <f t="shared" si="24"/>
        <v>80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3056" t="s">
        <v>3118</v>
      </c>
      <c r="D99" s="3056" t="s">
        <v>3119</v>
      </c>
      <c r="E99" s="3056" t="s">
        <v>3120</v>
      </c>
      <c r="F99" s="3056" t="s">
        <v>3121</v>
      </c>
      <c r="G99" s="3056" t="s">
        <v>3122</v>
      </c>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ht="28.5">
      <c r="A107" s="484" t="s">
        <v>2383</v>
      </c>
      <c r="B107" s="485" t="s">
        <v>2611</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100000(含)-150000</v>
      </c>
      <c r="I107" s="486" t="str">
        <f t="shared" si="26"/>
        <v>150000(含)-</v>
      </c>
      <c r="J107" s="486" t="str">
        <f t="shared" si="26"/>
        <v>(含)-</v>
      </c>
      <c r="K107" s="1505" t="str">
        <f t="shared" si="26"/>
        <v>(含)-</v>
      </c>
      <c r="L107" s="1505" t="str">
        <f t="shared" si="26"/>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9">
        <v>0</v>
      </c>
      <c r="D108" s="9">
        <v>10000</v>
      </c>
      <c r="E108" s="9">
        <v>20000</v>
      </c>
      <c r="F108" s="9">
        <v>50000</v>
      </c>
      <c r="G108" s="9">
        <v>80000</v>
      </c>
      <c r="H108" s="9">
        <v>100000</v>
      </c>
      <c r="I108" s="9">
        <v>150000</v>
      </c>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3057">
        <v>100</v>
      </c>
      <c r="D109" s="3058">
        <v>101</v>
      </c>
      <c r="E109" s="3058">
        <v>102</v>
      </c>
      <c r="F109" s="3058">
        <v>103</v>
      </c>
      <c r="G109" s="3058">
        <v>104</v>
      </c>
      <c r="H109" s="3058">
        <v>105</v>
      </c>
      <c r="I109" s="3058">
        <v>106</v>
      </c>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2612</v>
      </c>
      <c r="C110" s="3056" t="s">
        <v>3123</v>
      </c>
      <c r="D110" s="3056" t="s">
        <v>3124</v>
      </c>
      <c r="E110" s="3056" t="s">
        <v>3125</v>
      </c>
      <c r="F110" s="3056" t="s">
        <v>3126</v>
      </c>
      <c r="G110" s="3059"/>
      <c r="H110" s="3059"/>
      <c r="I110" s="3059"/>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2614</v>
      </c>
      <c r="C112" s="511" t="s">
        <v>3127</v>
      </c>
      <c r="D112" s="511" t="s">
        <v>3128</v>
      </c>
      <c r="E112" s="511" t="s">
        <v>3129</v>
      </c>
      <c r="F112" s="511" t="s">
        <v>3130</v>
      </c>
      <c r="G112" s="511" t="s">
        <v>3131</v>
      </c>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2615</v>
      </c>
      <c r="C114" s="511" t="s">
        <v>3132</v>
      </c>
      <c r="D114" s="511" t="s">
        <v>3133</v>
      </c>
      <c r="E114" s="540" t="s">
        <v>3134</v>
      </c>
      <c r="F114" s="540" t="s">
        <v>3135</v>
      </c>
      <c r="G114" s="540" t="s">
        <v>3136</v>
      </c>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7" t="s">
        <v>2632</v>
      </c>
      <c r="D2" s="2188" t="s">
        <v>2633</v>
      </c>
      <c r="E2" s="2189"/>
      <c r="F2" s="2188" t="s">
        <v>2634</v>
      </c>
      <c r="G2" s="2190" t="str">
        <f>IF(E2="商业",项目基本情况!B37,IF(E2="办公",项目基本情况!C37,IF(E2="住宅",项目基本情况!D37,项目基本情况!E37)))</f>
        <v>七级</v>
      </c>
      <c r="H2" s="2188" t="s">
        <v>2635</v>
      </c>
      <c r="I2" s="2190" t="str">
        <f>IF(E2="商业",项目基本情况!B38,IF(E2="办公",项目基本情况!C38,IF(E2="住宅",项目基本情况!D38,项目基本情况!E38)))</f>
        <v>Ⅶ-BDA东</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7" t="s">
        <v>2638</v>
      </c>
      <c r="D3" s="2188" t="s">
        <v>2639</v>
      </c>
      <c r="E3" s="2193"/>
      <c r="F3" s="2194" t="s">
        <v>2640</v>
      </c>
      <c r="G3" s="855">
        <f>IF(F3="宗地容积率",'数据-汇总表'!I4,IF(F3="估价对象容积率",'数据-汇总表'!I6,'数据-汇总表'!I7))</f>
        <v>1.5</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00"/>
      <c r="B4" s="3401"/>
      <c r="C4" s="3401"/>
      <c r="D4" s="3402"/>
      <c r="E4" s="3402"/>
      <c r="F4" s="3402"/>
      <c r="G4" s="3402"/>
      <c r="H4" s="3402"/>
      <c r="I4" s="3402"/>
      <c r="J4" s="3403"/>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t="e">
        <f>ROUND(IF(E2="商业",C6*C7+C16,(IF(E2="住宅",C6*C12+C16,C6+C16))),0)</f>
        <v>#DIV/0!</v>
      </c>
      <c r="D5" s="1525" t="e">
        <f>ROUND(C6+C16,0)</f>
        <v>#DIV/0!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404"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4" t="s">
        <v>2654</v>
      </c>
      <c r="X7" s="1376" t="str">
        <f>G2</f>
        <v>七级</v>
      </c>
      <c r="Y7" s="1376" t="s">
        <v>2655</v>
      </c>
      <c r="Z7" s="1377">
        <f>G3</f>
        <v>1.5</v>
      </c>
      <c r="AA7" s="1378"/>
      <c r="AB7" s="1378"/>
      <c r="AC7" s="1379"/>
      <c r="AD7" s="1380"/>
      <c r="AE7" s="1380"/>
      <c r="AF7" s="1380"/>
      <c r="AG7" s="1380"/>
      <c r="AH7" s="1380"/>
      <c r="AI7" s="1380"/>
      <c r="AJ7" s="1381"/>
    </row>
    <row r="8" spans="1:36" ht="15">
      <c r="A8" s="3405"/>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97" t="s">
        <v>2659</v>
      </c>
      <c r="X8" s="3398"/>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05"/>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9"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5"/>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5"/>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9" t="s">
        <v>2683</v>
      </c>
      <c r="X11" s="1386" t="s">
        <v>2684</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404"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9"/>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6"/>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t="e">
        <f t="shared" si="0"/>
        <v>#DIV/0!</v>
      </c>
      <c r="U13" s="1375"/>
      <c r="V13" s="1374" t="e">
        <f t="shared" si="1"/>
        <v>#DIV/0!</v>
      </c>
      <c r="W13" s="3399"/>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406"/>
      <c r="B14" s="2234"/>
      <c r="C14" s="2235"/>
      <c r="D14" s="2236"/>
      <c r="E14" s="2236"/>
      <c r="F14" s="2237"/>
      <c r="G14" s="2238" t="s">
        <v>2696</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07"/>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404" t="s">
        <v>2702</v>
      </c>
      <c r="B16" s="2211" t="s">
        <v>2703</v>
      </c>
      <c r="C16" s="2373" t="e">
        <f>ROUND(IF(F17="与级别开发程度一致",0,(G17-E17)/C17),0)</f>
        <v>#DIV/0!</v>
      </c>
      <c r="D16" s="3420" t="s">
        <v>2707</v>
      </c>
      <c r="E16" s="3421"/>
      <c r="F16" s="3420" t="s">
        <v>2704</v>
      </c>
      <c r="G16" s="3421"/>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08"/>
      <c r="B17" s="2384" t="s">
        <v>2706</v>
      </c>
      <c r="C17" s="2385">
        <f>SUMPRODUCT((修正!A2:A5=E2)*(修正!B1:M1=G2)*(修正!B2:M5))</f>
        <v>0</v>
      </c>
      <c r="D17" s="193" t="str">
        <f>IF(OR(G2="八级",G2="九级",G2="十级",G2="十一级",G2="十二级"),"五通一平","七通一平")</f>
        <v>七通一平</v>
      </c>
      <c r="E17" s="2374">
        <f>SUMPRODUCT((修正!B1:M1=G2)*(修正!B15:M15))</f>
        <v>300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2710</v>
      </c>
      <c r="C19" s="863" t="e">
        <f>ROUND(IF(H19="按公示增长率计算",SUMPRODUCT((地价!A3:A31=YEAR(G19)&amp;"-"&amp;ROUNDUP(MONTH(G19)/3,0))*(地价!X2:AB2=E2)*(地价!X3:AB31)),IF(H19="地价指数",M20/M19,(1+I19)^O19)),4)</f>
        <v>#VALUE!</v>
      </c>
      <c r="D19" s="2253" t="s">
        <v>2711</v>
      </c>
      <c r="E19" s="864">
        <v>41640</v>
      </c>
      <c r="F19" s="2253" t="s">
        <v>2712</v>
      </c>
      <c r="G19" s="865">
        <f>'数据-取费表'!B2</f>
        <v>44074</v>
      </c>
      <c r="H19" s="2254"/>
      <c r="I19" s="866" t="str">
        <f>IF(H19="季度增幅（自定义）",SUMIF(N21:N24,E2,O21:O24),"")</f>
        <v/>
      </c>
      <c r="J19" s="2251"/>
      <c r="K19" s="1287"/>
      <c r="L19" s="2255" t="s">
        <v>2713</v>
      </c>
      <c r="M19" s="1498">
        <f>ROUND(SUMIF(地价!B2:F2,E2,地价!B31:F31),0)</f>
        <v>0</v>
      </c>
      <c r="N19" s="2256" t="s">
        <v>2714</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f>
        <v>4.3499999999999997E-2</v>
      </c>
      <c r="F20" s="2260" t="s">
        <v>2708</v>
      </c>
      <c r="G20" s="873">
        <f>SUMIF(M26:P26,E2,M28:P28)</f>
        <v>0</v>
      </c>
      <c r="H20" s="2260" t="s">
        <v>2717</v>
      </c>
      <c r="I20" s="874" t="e">
        <f>SUMIF('数据-取费表'!C6:C15,E2,'数据-取费表'!F6:F15)/COUNTIF('数据-取费表'!C6:C15,E2)</f>
        <v>#DIV/0!</v>
      </c>
      <c r="J20" s="875">
        <f>IF(E2="住宅",70,IF(E2="商业",40,50))</f>
        <v>50</v>
      </c>
      <c r="K20" s="1287"/>
      <c r="L20" s="2261" t="s">
        <v>2718</v>
      </c>
      <c r="M20" s="1499">
        <f>ROUND(SUMPRODUCT((地价!A4:A31=YEAR(G19)&amp;"-"&amp;ROUNDUP(MONTH(G19)/3,0))*(地价!B2:F2=E2)*(地价!B4:F31)),0)</f>
        <v>0</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2722</v>
      </c>
      <c r="C21" s="876">
        <f>IF(B21="容积率修正",IF(G3&lt;=10,D22,J22),C23)</f>
        <v>0</v>
      </c>
      <c r="D21" s="2267"/>
      <c r="E21" s="2267"/>
      <c r="F21" s="2267"/>
      <c r="G21" s="2267"/>
      <c r="H21" s="2267"/>
      <c r="I21" s="2267"/>
      <c r="J21" s="2268"/>
      <c r="K21" s="1287"/>
      <c r="L21" s="3021"/>
      <c r="M21" s="3021"/>
      <c r="N21" s="2269" t="s">
        <v>2723</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t="b">
        <f>IF(E22=G22,F22,IF(G3&lt;=10,ROUND(F22+(H22-F22)*(G3-E22)/(G22-E22),4),"——"))</f>
        <v>0</v>
      </c>
      <c r="E22" s="855">
        <f>ROUNDDOWN(G3,1)</f>
        <v>1.5</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38" t="s">
        <v>155</v>
      </c>
      <c r="J22" s="877" t="str">
        <f>IF(G3&gt;10,D113,"——")</f>
        <v>——</v>
      </c>
      <c r="K22" s="1287"/>
      <c r="L22" s="3021"/>
      <c r="M22" s="3021"/>
      <c r="N22" s="2269" t="s">
        <v>2727</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0</v>
      </c>
      <c r="D24" s="2250"/>
      <c r="E24" s="2277"/>
      <c r="F24" s="2277"/>
      <c r="G24" s="2277"/>
      <c r="H24" s="2277"/>
      <c r="I24" s="2277"/>
      <c r="J24" s="2278"/>
      <c r="K24" s="1287"/>
      <c r="L24" s="3021"/>
      <c r="M24" s="3021"/>
      <c r="N24" s="2279" t="s">
        <v>2732</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IF(B21="容积率修正",E29+SUM(E33:E39),SUM(V2:V16)+SUM(E33:E39))</f>
        <v>#DIV/0!</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E30+SUM(I33:I39)</f>
        <v>#DIV/0!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ROUND(C5*C18*C19*C20*C21*C24,0)</f>
        <v>#DIV/0!</v>
      </c>
      <c r="D29" s="2298"/>
      <c r="E29" s="879" t="e">
        <f>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ROUND(IF(E2="工业",C29*M39,C29*M38),0)</f>
        <v>#DIV/0!</v>
      </c>
      <c r="D30" s="2304"/>
      <c r="E30" s="879" t="e">
        <f>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17"/>
      <c r="B33" s="2314" t="s">
        <v>2749</v>
      </c>
      <c r="C33" s="180" t="e">
        <f>ROUND(D5*C19*C20*C24*F33,0)</f>
        <v>#DIV/0!</v>
      </c>
      <c r="D33" s="2298"/>
      <c r="E33" s="176" t="e">
        <f>ROUND(C33*D33/10000,0)</f>
        <v>#DIV/0!</v>
      </c>
      <c r="F33" s="176">
        <f>SUMIF(修正!A45:A56,G2,修正!B45:B56)</f>
        <v>0.7</v>
      </c>
      <c r="G33" s="176" t="e">
        <f t="shared" ref="G33" si="6">ROUND(IF(E2="工业",C33*$M$39,C33*$M$38),0)</f>
        <v>#DIV/0!</v>
      </c>
      <c r="H33" s="176">
        <f>D33</f>
        <v>0</v>
      </c>
      <c r="I33" s="176" t="e">
        <f>ROUND(G33*H33/10000,0)</f>
        <v>#DIV/0!</v>
      </c>
      <c r="J33" s="3422"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8"/>
      <c r="B34" s="2231" t="s">
        <v>2750</v>
      </c>
      <c r="C34" s="180" t="e">
        <f>ROUND(D5*C19*C20*C24*F34,0)</f>
        <v>#DIV/0!</v>
      </c>
      <c r="D34" s="2298"/>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41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8"/>
      <c r="B35" s="2231" t="s">
        <v>2751</v>
      </c>
      <c r="C35" s="180" t="e">
        <f>ROUND(D5*C19*C20*C24*F35,0)</f>
        <v>#DIV/0!</v>
      </c>
      <c r="D35" s="2298"/>
      <c r="E35" s="176" t="e">
        <f t="shared" si="7"/>
        <v>#DIV/0!</v>
      </c>
      <c r="F35" s="176">
        <f>SUMIF(修正!A45:A56,G2,修正!D45:D56)</f>
        <v>0.28000000000000003</v>
      </c>
      <c r="G35" s="176" t="e">
        <f>ROUND(IF(E2="工业",C35*$M$39,C35*$M$38),0)</f>
        <v>#DIV/0!</v>
      </c>
      <c r="H35" s="176">
        <f t="shared" si="8"/>
        <v>0</v>
      </c>
      <c r="I35" s="176" t="e">
        <f t="shared" si="9"/>
        <v>#DIV/0!</v>
      </c>
      <c r="J35" s="341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9"/>
      <c r="B36" s="2231" t="s">
        <v>2752</v>
      </c>
      <c r="C36" s="180" t="e">
        <f>ROUND(D5*C19*C20*C24*F36,0)</f>
        <v>#DIV/0!</v>
      </c>
      <c r="D36" s="2298"/>
      <c r="E36" s="176" t="e">
        <f t="shared" si="7"/>
        <v>#DIV/0!</v>
      </c>
      <c r="F36" s="176">
        <f>SUMIF(修正!A45:A56,G2,修正!E45:E56)</f>
        <v>0.25</v>
      </c>
      <c r="G36" s="176" t="e">
        <f>ROUND(IF(E2="工业",C36*$M$39,C36*$M$38),0)</f>
        <v>#DIV/0!</v>
      </c>
      <c r="H36" s="176">
        <f t="shared" si="8"/>
        <v>0</v>
      </c>
      <c r="I36" s="176" t="e">
        <f t="shared" si="9"/>
        <v>#DIV/0!</v>
      </c>
      <c r="J36" s="341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ROUND(D5*C19*C20*C24*F37,0)</f>
        <v>#DIV/0!</v>
      </c>
      <c r="D37" s="2298"/>
      <c r="E37" s="176" t="e">
        <f t="shared" si="7"/>
        <v>#DIV/0!</v>
      </c>
      <c r="F37" s="180">
        <f>SUMIF(修正!A45:A56,G2,修正!F45:F56)</f>
        <v>0.25</v>
      </c>
      <c r="G37" s="176" t="e">
        <f>ROUND(IF(E2="工业",C37*$M$39,C37*$M$38),0)</f>
        <v>#DIV/0!</v>
      </c>
      <c r="H37" s="176">
        <f t="shared" si="8"/>
        <v>0</v>
      </c>
      <c r="I37" s="176" t="e">
        <f t="shared"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ROUND(D5*C19*C41*C24*F38,0)</f>
        <v>#DIV/0!</v>
      </c>
      <c r="D38" s="2298"/>
      <c r="E38" s="176" t="e">
        <f t="shared" si="7"/>
        <v>#DIV/0!</v>
      </c>
      <c r="F38" s="180">
        <f>SUMIF(修正!A45:A56,G2,修正!G45:G56)</f>
        <v>0.25</v>
      </c>
      <c r="G38" s="176" t="e">
        <f>ROUND(IF(E2="工业",C38*$M$39,C38*$M$38),0)</f>
        <v>#DIV/0!</v>
      </c>
      <c r="H38" s="176">
        <f t="shared" si="8"/>
        <v>0</v>
      </c>
      <c r="I38" s="176" t="e">
        <f t="shared"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ROUND(D5*C19*C41*C24*F39,0)</f>
        <v>#DIV/0!</v>
      </c>
      <c r="D39" s="2304"/>
      <c r="E39" s="193" t="e">
        <f t="shared" si="7"/>
        <v>#DIV/0!</v>
      </c>
      <c r="F39" s="871">
        <f>SUMIF(修正!A45:A56,G2,修正!H45:H56)</f>
        <v>0.2</v>
      </c>
      <c r="G39" s="193" t="e">
        <f>ROUND(IF(E2="工业",C39*$M$39,C39*$M$38),0)</f>
        <v>#DIV/0!</v>
      </c>
      <c r="H39" s="193">
        <f t="shared" si="8"/>
        <v>0</v>
      </c>
      <c r="I39" s="193" t="e">
        <f t="shared" si="9"/>
        <v>#DIV/0!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2708</v>
      </c>
      <c r="E41" s="2371">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2417</v>
      </c>
      <c r="K80" s="560" t="s">
        <v>2418</v>
      </c>
      <c r="L80" s="560" t="s">
        <v>2419</v>
      </c>
      <c r="M80" s="560" t="s">
        <v>2420</v>
      </c>
      <c r="N80" s="560" t="s">
        <v>2421</v>
      </c>
      <c r="Z80" s="2186"/>
      <c r="AA80" s="2252"/>
      <c r="AG80" s="1282"/>
      <c r="AK80" s="2252"/>
    </row>
    <row r="81" spans="1:37" ht="24">
      <c r="A81" s="2331" t="s">
        <v>2787</v>
      </c>
      <c r="B81" s="2335" t="str">
        <f>估价对象房地状况!G15</f>
        <v xml:space="preserve">  </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14.25">
      <c r="A82" s="2331" t="s">
        <v>2769</v>
      </c>
      <c r="B82" s="2335" t="str">
        <f>估价对象房地状况!G16</f>
        <v xml:space="preserve">  </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4">
      <c r="A85" s="2331" t="s">
        <v>2776</v>
      </c>
      <c r="B85" s="1496" t="str">
        <f>估价对象房地状况!G19</f>
        <v xml:space="preserve">  </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4">
      <c r="A86" s="2331" t="s">
        <v>2777</v>
      </c>
      <c r="B86" s="1496" t="str">
        <f>估价对象房地状况!G20</f>
        <v xml:space="preserve">  </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15" thickBot="1">
      <c r="A88" s="2339" t="s">
        <v>2789</v>
      </c>
      <c r="B88" s="2344" t="str">
        <f>估价对象房地状况!G18</f>
        <v xml:space="preserve"> </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09" t="s">
        <v>2790</v>
      </c>
      <c r="B90" s="3409"/>
      <c r="C90" s="3409"/>
      <c r="D90" s="3409"/>
      <c r="E90" s="3409"/>
      <c r="F90" s="3409"/>
      <c r="G90" s="3409"/>
      <c r="H90" s="3409"/>
      <c r="I90" s="3409"/>
      <c r="J90" s="3409"/>
      <c r="K90" s="2345"/>
      <c r="L90" s="2345"/>
      <c r="M90" s="2345"/>
      <c r="N90" s="2345"/>
    </row>
    <row r="91" spans="1:37">
      <c r="A91" s="3411" t="s">
        <v>2791</v>
      </c>
      <c r="B91" s="3411" t="s">
        <v>2792</v>
      </c>
      <c r="C91" s="2299" t="s">
        <v>2793</v>
      </c>
      <c r="D91" s="2300"/>
      <c r="E91" s="2300"/>
      <c r="F91" s="2300"/>
      <c r="G91" s="2300"/>
      <c r="H91" s="2300"/>
      <c r="I91" s="2300"/>
      <c r="J91" s="2346"/>
      <c r="K91" s="2347"/>
      <c r="L91" s="2347"/>
      <c r="M91" s="2347"/>
      <c r="N91" s="2347"/>
    </row>
    <row r="92" spans="1:37">
      <c r="A92" s="3411"/>
      <c r="B92" s="341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1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1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1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1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1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1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13"/>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1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12" t="s">
        <v>2795</v>
      </c>
      <c r="B101" s="2352" t="s">
        <v>2796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13"/>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13"/>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13"/>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13"/>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13"/>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13"/>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13"/>
      <c r="B108" s="3415"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14"/>
      <c r="B109" s="3416"/>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10" t="s">
        <v>2798</v>
      </c>
      <c r="B110" s="3410"/>
      <c r="C110" s="3410"/>
      <c r="D110" s="3410"/>
      <c r="E110" s="3410"/>
      <c r="F110" s="3410"/>
      <c r="G110" s="3410"/>
      <c r="H110" s="3410"/>
      <c r="I110" s="3410"/>
      <c r="J110" s="3410"/>
      <c r="K110" s="2354"/>
      <c r="L110" s="2354"/>
      <c r="M110" s="2354"/>
      <c r="N110" s="2354"/>
    </row>
    <row r="112" spans="1:14" ht="13.5" thickBot="1"/>
    <row r="113" spans="1:13" ht="25.5" thickBot="1">
      <c r="A113" s="842" t="s">
        <v>2799</v>
      </c>
      <c r="B113" s="1197">
        <f>G3</f>
        <v>1.5</v>
      </c>
      <c r="C113" s="843" t="s">
        <v>2800</v>
      </c>
      <c r="D113" s="844">
        <f>SUMPRODUCT((A115:A118=F113)*(B114:M114=H113)*B115:M118)</f>
        <v>0</v>
      </c>
      <c r="E113" s="2190" t="s">
        <v>2633</v>
      </c>
      <c r="F113" s="2356">
        <f>E2</f>
        <v>0</v>
      </c>
      <c r="G113" s="2190" t="s">
        <v>2634</v>
      </c>
      <c r="H113" s="2356" t="str">
        <f>G2</f>
        <v>七级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2698</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2699</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2700</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2701</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3" t="s">
        <v>183</v>
      </c>
      <c r="B18" s="821" t="s">
        <v>560</v>
      </c>
      <c r="C18" s="822" t="s">
        <v>561</v>
      </c>
      <c r="D18" s="823"/>
      <c r="E18" s="821">
        <v>1</v>
      </c>
      <c r="F18" s="824" t="s">
        <v>562</v>
      </c>
      <c r="G18" s="825"/>
      <c r="H18" s="817"/>
      <c r="I18" s="817"/>
    </row>
    <row r="19" spans="1:9" s="826" customFormat="1" ht="19.5" customHeight="1">
      <c r="A19" s="3423"/>
      <c r="B19" s="3423" t="s">
        <v>563</v>
      </c>
      <c r="C19" s="822" t="s">
        <v>564</v>
      </c>
      <c r="D19" s="823"/>
      <c r="E19" s="821">
        <v>0.9</v>
      </c>
      <c r="F19" s="824" t="s">
        <v>565</v>
      </c>
      <c r="G19" s="825"/>
      <c r="H19" s="817"/>
      <c r="I19" s="817"/>
    </row>
    <row r="20" spans="1:9" s="826" customFormat="1" ht="19.5" customHeight="1">
      <c r="A20" s="3423"/>
      <c r="B20" s="3423"/>
      <c r="C20" s="822" t="s">
        <v>566</v>
      </c>
      <c r="D20" s="823"/>
      <c r="E20" s="821">
        <v>1.1000000000000001</v>
      </c>
      <c r="F20" s="824" t="s">
        <v>567</v>
      </c>
      <c r="G20" s="825"/>
      <c r="H20" s="817"/>
      <c r="I20" s="817"/>
    </row>
    <row r="21" spans="1:9" s="826" customFormat="1" ht="19.5" customHeight="1">
      <c r="A21" s="3423"/>
      <c r="B21" s="3423"/>
      <c r="C21" s="822" t="s">
        <v>568</v>
      </c>
      <c r="D21" s="823"/>
      <c r="E21" s="821">
        <v>0.8</v>
      </c>
      <c r="F21" s="824" t="s">
        <v>569</v>
      </c>
      <c r="G21" s="825"/>
      <c r="H21" s="817"/>
      <c r="I21" s="817"/>
    </row>
    <row r="22" spans="1:9" s="826" customFormat="1" ht="19.5" customHeight="1">
      <c r="A22" s="3423"/>
      <c r="B22" s="3423"/>
      <c r="C22" s="822" t="s">
        <v>570</v>
      </c>
      <c r="D22" s="823"/>
      <c r="E22" s="821">
        <v>0.5</v>
      </c>
      <c r="F22" s="824"/>
      <c r="G22" s="825"/>
      <c r="H22" s="817"/>
      <c r="I22" s="817"/>
    </row>
    <row r="23" spans="1:9" s="826" customFormat="1" ht="19.5" customHeight="1">
      <c r="A23" s="3423" t="s">
        <v>184</v>
      </c>
      <c r="B23" s="821" t="s">
        <v>560</v>
      </c>
      <c r="C23" s="822" t="s">
        <v>571</v>
      </c>
      <c r="D23" s="823"/>
      <c r="E23" s="821">
        <v>1</v>
      </c>
      <c r="F23" s="824" t="s">
        <v>572</v>
      </c>
      <c r="G23" s="825"/>
      <c r="H23" s="817"/>
      <c r="I23" s="817"/>
    </row>
    <row r="24" spans="1:9" s="826" customFormat="1" ht="19.5" customHeight="1">
      <c r="A24" s="3423"/>
      <c r="B24" s="3423" t="s">
        <v>563</v>
      </c>
      <c r="C24" s="822" t="s">
        <v>573</v>
      </c>
      <c r="D24" s="823"/>
      <c r="E24" s="821">
        <v>0.5</v>
      </c>
      <c r="F24" s="824"/>
      <c r="G24" s="825"/>
      <c r="H24" s="817"/>
      <c r="I24" s="817"/>
    </row>
    <row r="25" spans="1:9" s="826" customFormat="1" ht="19.5" customHeight="1">
      <c r="A25" s="3423"/>
      <c r="B25" s="3423"/>
      <c r="C25" s="822" t="s">
        <v>574</v>
      </c>
      <c r="D25" s="823"/>
      <c r="E25" s="821">
        <v>1.1000000000000001</v>
      </c>
      <c r="F25" s="824"/>
      <c r="G25" s="825"/>
      <c r="H25" s="817"/>
      <c r="I25" s="817"/>
    </row>
    <row r="26" spans="1:9" s="826" customFormat="1" ht="19.5" customHeight="1">
      <c r="A26" s="3423"/>
      <c r="B26" s="3423"/>
      <c r="C26" s="822" t="s">
        <v>575</v>
      </c>
      <c r="D26" s="823"/>
      <c r="E26" s="821">
        <v>1.1000000000000001</v>
      </c>
      <c r="F26" s="824"/>
      <c r="G26" s="825"/>
      <c r="H26" s="817"/>
      <c r="I26" s="817"/>
    </row>
    <row r="27" spans="1:9" s="826" customFormat="1" ht="19.5" customHeight="1">
      <c r="A27" s="3423"/>
      <c r="B27" s="3423"/>
      <c r="C27" s="822" t="s">
        <v>576</v>
      </c>
      <c r="D27" s="823"/>
      <c r="E27" s="821">
        <v>0.9</v>
      </c>
      <c r="F27" s="824" t="s">
        <v>577</v>
      </c>
      <c r="G27" s="825"/>
      <c r="H27" s="817"/>
      <c r="I27" s="817"/>
    </row>
    <row r="28" spans="1:9" s="826" customFormat="1" ht="19.5" customHeight="1">
      <c r="A28" s="3423"/>
      <c r="B28" s="3423"/>
      <c r="C28" s="822" t="s">
        <v>578</v>
      </c>
      <c r="D28" s="823"/>
      <c r="E28" s="821">
        <v>0.9</v>
      </c>
      <c r="F28" s="824" t="s">
        <v>579</v>
      </c>
      <c r="G28" s="825"/>
      <c r="H28" s="817"/>
      <c r="I28" s="817"/>
    </row>
    <row r="29" spans="1:9" s="826" customFormat="1" ht="19.5" customHeight="1">
      <c r="A29" s="3423"/>
      <c r="B29" s="3423"/>
      <c r="C29" s="822" t="s">
        <v>580</v>
      </c>
      <c r="D29" s="823"/>
      <c r="E29" s="821">
        <v>0.9</v>
      </c>
      <c r="F29" s="824" t="s">
        <v>581</v>
      </c>
      <c r="G29" s="825"/>
      <c r="H29" s="817"/>
      <c r="I29" s="817"/>
    </row>
    <row r="30" spans="1:9" s="826" customFormat="1" ht="19.5" customHeight="1">
      <c r="A30" s="3423"/>
      <c r="B30" s="3423"/>
      <c r="C30" s="822" t="s">
        <v>582</v>
      </c>
      <c r="D30" s="823"/>
      <c r="E30" s="821">
        <v>0.9</v>
      </c>
      <c r="F30" s="824" t="s">
        <v>583</v>
      </c>
      <c r="G30" s="825"/>
      <c r="H30" s="817"/>
      <c r="I30" s="817"/>
    </row>
    <row r="31" spans="1:9" s="826" customFormat="1" ht="19.5" customHeight="1">
      <c r="A31" s="3423"/>
      <c r="B31" s="3423"/>
      <c r="C31" s="822" t="s">
        <v>584</v>
      </c>
      <c r="D31" s="823"/>
      <c r="E31" s="821">
        <v>0.8</v>
      </c>
      <c r="F31" s="824" t="s">
        <v>585</v>
      </c>
      <c r="G31" s="825"/>
      <c r="H31" s="817"/>
      <c r="I31" s="817"/>
    </row>
    <row r="32" spans="1:9" s="826" customFormat="1" ht="19.5" customHeight="1">
      <c r="A32" s="3423"/>
      <c r="B32" s="3423"/>
      <c r="C32" s="822" t="s">
        <v>586</v>
      </c>
      <c r="D32" s="823"/>
      <c r="E32" s="821">
        <v>0.8</v>
      </c>
      <c r="F32" s="824" t="s">
        <v>587</v>
      </c>
      <c r="G32" s="825"/>
      <c r="H32" s="817"/>
      <c r="I32" s="817"/>
    </row>
    <row r="33" spans="1:9" s="826" customFormat="1" ht="19.5" customHeight="1">
      <c r="A33" s="3423" t="s">
        <v>185</v>
      </c>
      <c r="B33" s="821" t="s">
        <v>560</v>
      </c>
      <c r="C33" s="822" t="s">
        <v>588</v>
      </c>
      <c r="D33" s="823"/>
      <c r="E33" s="821">
        <v>1</v>
      </c>
      <c r="F33" s="824" t="s">
        <v>589</v>
      </c>
      <c r="G33" s="825"/>
      <c r="H33" s="817"/>
      <c r="I33" s="817"/>
    </row>
    <row r="34" spans="1:9" s="826" customFormat="1" ht="19.5" customHeight="1">
      <c r="A34" s="3423"/>
      <c r="B34" s="821" t="s">
        <v>563</v>
      </c>
      <c r="C34" s="822" t="s">
        <v>590</v>
      </c>
      <c r="D34" s="823"/>
      <c r="E34" s="821">
        <v>1.5</v>
      </c>
      <c r="F34" s="824" t="s">
        <v>591</v>
      </c>
      <c r="G34" s="825"/>
      <c r="H34" s="817"/>
      <c r="I34" s="817"/>
    </row>
    <row r="35" spans="1:9" s="826" customFormat="1" ht="19.5" customHeight="1">
      <c r="A35" s="3423" t="s">
        <v>186</v>
      </c>
      <c r="B35" s="821" t="s">
        <v>560</v>
      </c>
      <c r="C35" s="822" t="s">
        <v>592</v>
      </c>
      <c r="D35" s="823"/>
      <c r="E35" s="821">
        <v>1</v>
      </c>
      <c r="F35" s="824" t="s">
        <v>593</v>
      </c>
      <c r="G35" s="825"/>
      <c r="H35" s="817"/>
      <c r="I35" s="817"/>
    </row>
    <row r="36" spans="1:9" s="826" customFormat="1" ht="19.5" customHeight="1">
      <c r="A36" s="3423"/>
      <c r="B36" s="3423" t="s">
        <v>563</v>
      </c>
      <c r="C36" s="822" t="s">
        <v>594</v>
      </c>
      <c r="D36" s="823"/>
      <c r="E36" s="821">
        <v>1</v>
      </c>
      <c r="F36" s="824" t="s">
        <v>595</v>
      </c>
      <c r="G36" s="825"/>
      <c r="H36" s="817"/>
      <c r="I36" s="817"/>
    </row>
    <row r="37" spans="1:9" s="826" customFormat="1" ht="19.5" customHeight="1">
      <c r="A37" s="3423"/>
      <c r="B37" s="3423"/>
      <c r="C37" s="822" t="s">
        <v>596</v>
      </c>
      <c r="D37" s="823"/>
      <c r="E37" s="821">
        <v>1.5</v>
      </c>
      <c r="F37" s="824" t="s">
        <v>597</v>
      </c>
      <c r="G37" s="825"/>
      <c r="H37" s="817"/>
      <c r="I37" s="817"/>
    </row>
    <row r="38" spans="1:9" s="826" customFormat="1" ht="19.5" customHeight="1">
      <c r="A38" s="3423"/>
      <c r="B38" s="3423"/>
      <c r="C38" s="822" t="s">
        <v>598</v>
      </c>
      <c r="D38" s="823"/>
      <c r="E38" s="821">
        <v>1</v>
      </c>
      <c r="F38" s="824" t="s">
        <v>599</v>
      </c>
      <c r="G38" s="825"/>
      <c r="H38" s="817"/>
      <c r="I38" s="817"/>
    </row>
    <row r="39" spans="1:9" s="826" customFormat="1" ht="19.5" customHeight="1">
      <c r="A39" s="3423"/>
      <c r="B39" s="34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3" t="s">
        <v>614</v>
      </c>
      <c r="C61" s="757" t="s">
        <v>615</v>
      </c>
      <c r="D61" s="757" t="s">
        <v>616</v>
      </c>
      <c r="E61" s="834">
        <v>0.5</v>
      </c>
      <c r="F61" s="821">
        <v>80</v>
      </c>
    </row>
    <row r="62" spans="1:8" s="817" customFormat="1" ht="24">
      <c r="A62" s="821">
        <v>2</v>
      </c>
      <c r="B62" s="3423"/>
      <c r="C62" s="757" t="s">
        <v>617</v>
      </c>
      <c r="D62" s="757" t="s">
        <v>618</v>
      </c>
      <c r="E62" s="834">
        <v>0.5</v>
      </c>
      <c r="F62" s="821">
        <v>80</v>
      </c>
    </row>
    <row r="63" spans="1:8" s="817" customFormat="1" ht="36">
      <c r="A63" s="821">
        <v>3</v>
      </c>
      <c r="B63" s="3423"/>
      <c r="C63" s="757" t="s">
        <v>619</v>
      </c>
      <c r="D63" s="757" t="s">
        <v>620</v>
      </c>
      <c r="E63" s="834">
        <v>0.5</v>
      </c>
      <c r="F63" s="821">
        <v>80</v>
      </c>
    </row>
    <row r="64" spans="1:8" s="817" customFormat="1" ht="36">
      <c r="A64" s="821">
        <v>4</v>
      </c>
      <c r="B64" s="3423"/>
      <c r="C64" s="757" t="s">
        <v>621</v>
      </c>
      <c r="D64" s="757" t="s">
        <v>622</v>
      </c>
      <c r="E64" s="834">
        <v>0.4</v>
      </c>
      <c r="F64" s="821">
        <v>60</v>
      </c>
    </row>
    <row r="65" spans="1:6" s="817" customFormat="1" ht="36">
      <c r="A65" s="821">
        <v>5</v>
      </c>
      <c r="B65" s="3423"/>
      <c r="C65" s="757" t="s">
        <v>623</v>
      </c>
      <c r="D65" s="757" t="s">
        <v>624</v>
      </c>
      <c r="E65" s="834">
        <v>0.2</v>
      </c>
      <c r="F65" s="821">
        <v>30</v>
      </c>
    </row>
    <row r="66" spans="1:6" s="817" customFormat="1" ht="36">
      <c r="A66" s="821">
        <v>6</v>
      </c>
      <c r="B66" s="3423"/>
      <c r="C66" s="757" t="s">
        <v>625</v>
      </c>
      <c r="D66" s="757" t="s">
        <v>626</v>
      </c>
      <c r="E66" s="834">
        <v>0.3</v>
      </c>
      <c r="F66" s="821">
        <v>50</v>
      </c>
    </row>
    <row r="67" spans="1:6" s="817" customFormat="1" ht="36">
      <c r="A67" s="821">
        <v>7</v>
      </c>
      <c r="B67" s="3423"/>
      <c r="C67" s="757" t="s">
        <v>627</v>
      </c>
      <c r="D67" s="757" t="s">
        <v>628</v>
      </c>
      <c r="E67" s="834">
        <v>0.2</v>
      </c>
      <c r="F67" s="821">
        <v>30</v>
      </c>
    </row>
    <row r="68" spans="1:6" s="817" customFormat="1" ht="36">
      <c r="A68" s="821">
        <v>8</v>
      </c>
      <c r="B68" s="3423"/>
      <c r="C68" s="757" t="s">
        <v>629</v>
      </c>
      <c r="D68" s="757" t="s">
        <v>630</v>
      </c>
      <c r="E68" s="834">
        <v>0.2</v>
      </c>
      <c r="F68" s="821">
        <v>30</v>
      </c>
    </row>
    <row r="69" spans="1:6" s="817" customFormat="1" ht="36">
      <c r="A69" s="821">
        <v>9</v>
      </c>
      <c r="B69" s="3423"/>
      <c r="C69" s="757" t="s">
        <v>631</v>
      </c>
      <c r="D69" s="757" t="s">
        <v>632</v>
      </c>
      <c r="E69" s="834">
        <v>0.2</v>
      </c>
      <c r="F69" s="821">
        <v>30</v>
      </c>
    </row>
    <row r="70" spans="1:6" s="817" customFormat="1" ht="48">
      <c r="A70" s="821">
        <v>10</v>
      </c>
      <c r="B70" s="3423"/>
      <c r="C70" s="757" t="s">
        <v>633</v>
      </c>
      <c r="D70" s="757" t="s">
        <v>634</v>
      </c>
      <c r="E70" s="834">
        <v>0.2</v>
      </c>
      <c r="F70" s="821">
        <v>30</v>
      </c>
    </row>
    <row r="71" spans="1:6" s="817" customFormat="1" ht="48">
      <c r="A71" s="821">
        <v>11</v>
      </c>
      <c r="B71" s="3423"/>
      <c r="C71" s="757" t="s">
        <v>635</v>
      </c>
      <c r="D71" s="757" t="s">
        <v>636</v>
      </c>
      <c r="E71" s="834">
        <v>0.2</v>
      </c>
      <c r="F71" s="821">
        <v>30</v>
      </c>
    </row>
    <row r="72" spans="1:6" s="817" customFormat="1" ht="36">
      <c r="A72" s="821">
        <v>12</v>
      </c>
      <c r="B72" s="3423"/>
      <c r="C72" s="757" t="s">
        <v>637</v>
      </c>
      <c r="D72" s="757" t="s">
        <v>638</v>
      </c>
      <c r="E72" s="834">
        <v>0.5</v>
      </c>
      <c r="F72" s="821">
        <v>80</v>
      </c>
    </row>
    <row r="73" spans="1:6" s="817" customFormat="1" ht="24">
      <c r="A73" s="821">
        <v>13</v>
      </c>
      <c r="B73" s="3423"/>
      <c r="C73" s="757" t="s">
        <v>639</v>
      </c>
      <c r="D73" s="757" t="s">
        <v>640</v>
      </c>
      <c r="E73" s="834">
        <v>0.4</v>
      </c>
      <c r="F73" s="821">
        <v>60</v>
      </c>
    </row>
    <row r="74" spans="1:6" s="817" customFormat="1" ht="24">
      <c r="A74" s="821">
        <v>14</v>
      </c>
      <c r="B74" s="3423"/>
      <c r="C74" s="757" t="s">
        <v>641</v>
      </c>
      <c r="D74" s="757" t="s">
        <v>642</v>
      </c>
      <c r="E74" s="834">
        <v>0.2</v>
      </c>
      <c r="F74" s="821">
        <v>30</v>
      </c>
    </row>
    <row r="75" spans="1:6" s="817" customFormat="1" ht="24">
      <c r="A75" s="821">
        <v>15</v>
      </c>
      <c r="B75" s="3423"/>
      <c r="C75" s="757" t="s">
        <v>643</v>
      </c>
      <c r="D75" s="757" t="s">
        <v>644</v>
      </c>
      <c r="E75" s="834">
        <v>0.2</v>
      </c>
      <c r="F75" s="821">
        <v>30</v>
      </c>
    </row>
    <row r="76" spans="1:6" s="817" customFormat="1" ht="24">
      <c r="A76" s="821">
        <v>16</v>
      </c>
      <c r="B76" s="3423" t="s">
        <v>645</v>
      </c>
      <c r="C76" s="757" t="s">
        <v>646</v>
      </c>
      <c r="D76" s="757" t="s">
        <v>647</v>
      </c>
      <c r="E76" s="834">
        <v>0.5</v>
      </c>
      <c r="F76" s="821">
        <v>80</v>
      </c>
    </row>
    <row r="77" spans="1:6" s="817" customFormat="1" ht="24">
      <c r="A77" s="821">
        <v>17</v>
      </c>
      <c r="B77" s="3423"/>
      <c r="C77" s="757" t="s">
        <v>648</v>
      </c>
      <c r="D77" s="757" t="s">
        <v>649</v>
      </c>
      <c r="E77" s="834">
        <v>0.5</v>
      </c>
      <c r="F77" s="821">
        <v>80</v>
      </c>
    </row>
    <row r="78" spans="1:6" s="817" customFormat="1" ht="24">
      <c r="A78" s="821">
        <v>18</v>
      </c>
      <c r="B78" s="3423"/>
      <c r="C78" s="757" t="s">
        <v>650</v>
      </c>
      <c r="D78" s="757" t="s">
        <v>651</v>
      </c>
      <c r="E78" s="834">
        <v>0.2</v>
      </c>
      <c r="F78" s="821">
        <v>30</v>
      </c>
    </row>
    <row r="79" spans="1:6" s="817" customFormat="1" ht="24">
      <c r="A79" s="821">
        <v>19</v>
      </c>
      <c r="B79" s="3423"/>
      <c r="C79" s="757" t="s">
        <v>652</v>
      </c>
      <c r="D79" s="757" t="s">
        <v>653</v>
      </c>
      <c r="E79" s="834">
        <v>0.5</v>
      </c>
      <c r="F79" s="821">
        <v>80</v>
      </c>
    </row>
    <row r="80" spans="1:6" s="817" customFormat="1" ht="36">
      <c r="A80" s="821">
        <v>20</v>
      </c>
      <c r="B80" s="3423"/>
      <c r="C80" s="757" t="s">
        <v>654</v>
      </c>
      <c r="D80" s="757" t="s">
        <v>655</v>
      </c>
      <c r="E80" s="834">
        <v>0.2</v>
      </c>
      <c r="F80" s="821">
        <v>30</v>
      </c>
    </row>
    <row r="81" spans="1:6" s="817" customFormat="1" ht="36">
      <c r="A81" s="821">
        <v>21</v>
      </c>
      <c r="B81" s="3423"/>
      <c r="C81" s="757" t="s">
        <v>656</v>
      </c>
      <c r="D81" s="757" t="s">
        <v>657</v>
      </c>
      <c r="E81" s="834">
        <v>0.2</v>
      </c>
      <c r="F81" s="821">
        <v>30</v>
      </c>
    </row>
    <row r="82" spans="1:6" s="817" customFormat="1" ht="48">
      <c r="A82" s="821">
        <v>22</v>
      </c>
      <c r="B82" s="3423"/>
      <c r="C82" s="757" t="s">
        <v>658</v>
      </c>
      <c r="D82" s="757" t="s">
        <v>659</v>
      </c>
      <c r="E82" s="834">
        <v>0.2</v>
      </c>
      <c r="F82" s="821">
        <v>30</v>
      </c>
    </row>
    <row r="83" spans="1:6" s="817" customFormat="1" ht="48">
      <c r="A83" s="821">
        <v>23</v>
      </c>
      <c r="B83" s="3423"/>
      <c r="C83" s="757" t="s">
        <v>660</v>
      </c>
      <c r="D83" s="757" t="s">
        <v>661</v>
      </c>
      <c r="E83" s="834">
        <v>0.2</v>
      </c>
      <c r="F83" s="821">
        <v>30</v>
      </c>
    </row>
    <row r="84" spans="1:6" s="817" customFormat="1" ht="36">
      <c r="A84" s="821">
        <v>24</v>
      </c>
      <c r="B84" s="3423"/>
      <c r="C84" s="757" t="s">
        <v>662</v>
      </c>
      <c r="D84" s="757" t="s">
        <v>663</v>
      </c>
      <c r="E84" s="834">
        <v>0.2</v>
      </c>
      <c r="F84" s="821">
        <v>30</v>
      </c>
    </row>
    <row r="85" spans="1:6" s="817" customFormat="1" ht="36">
      <c r="A85" s="821">
        <v>25</v>
      </c>
      <c r="B85" s="3423"/>
      <c r="C85" s="757" t="s">
        <v>664</v>
      </c>
      <c r="D85" s="757" t="s">
        <v>665</v>
      </c>
      <c r="E85" s="834">
        <v>0.5</v>
      </c>
      <c r="F85" s="821">
        <v>80</v>
      </c>
    </row>
    <row r="86" spans="1:6" s="817" customFormat="1" ht="36">
      <c r="A86" s="821">
        <v>26</v>
      </c>
      <c r="B86" s="3423"/>
      <c r="C86" s="757" t="s">
        <v>666</v>
      </c>
      <c r="D86" s="757" t="s">
        <v>667</v>
      </c>
      <c r="E86" s="834">
        <v>0.2</v>
      </c>
      <c r="F86" s="821">
        <v>30</v>
      </c>
    </row>
    <row r="87" spans="1:6" s="817" customFormat="1" ht="36">
      <c r="A87" s="821">
        <v>27</v>
      </c>
      <c r="B87" s="3423"/>
      <c r="C87" s="757" t="s">
        <v>668</v>
      </c>
      <c r="D87" s="757" t="s">
        <v>669</v>
      </c>
      <c r="E87" s="834">
        <v>0.2</v>
      </c>
      <c r="F87" s="821">
        <v>30</v>
      </c>
    </row>
    <row r="88" spans="1:6" s="817" customFormat="1" ht="36">
      <c r="A88" s="821">
        <v>28</v>
      </c>
      <c r="B88" s="3423"/>
      <c r="C88" s="757" t="s">
        <v>670</v>
      </c>
      <c r="D88" s="757" t="s">
        <v>671</v>
      </c>
      <c r="E88" s="834">
        <v>0.2</v>
      </c>
      <c r="F88" s="821">
        <v>30</v>
      </c>
    </row>
    <row r="89" spans="1:6" s="817" customFormat="1" ht="24">
      <c r="A89" s="821">
        <v>29</v>
      </c>
      <c r="B89" s="3423"/>
      <c r="C89" s="757" t="s">
        <v>672</v>
      </c>
      <c r="D89" s="757" t="s">
        <v>673</v>
      </c>
      <c r="E89" s="834">
        <v>0.2</v>
      </c>
      <c r="F89" s="821">
        <v>30</v>
      </c>
    </row>
    <row r="90" spans="1:6" s="817" customFormat="1" ht="24">
      <c r="A90" s="821">
        <v>30</v>
      </c>
      <c r="B90" s="3423"/>
      <c r="C90" s="757" t="s">
        <v>674</v>
      </c>
      <c r="D90" s="757" t="s">
        <v>675</v>
      </c>
      <c r="E90" s="834">
        <v>0.2</v>
      </c>
      <c r="F90" s="821">
        <v>30</v>
      </c>
    </row>
    <row r="91" spans="1:6" s="817" customFormat="1" ht="36">
      <c r="A91" s="821">
        <v>31</v>
      </c>
      <c r="B91" s="3423"/>
      <c r="C91" s="757" t="s">
        <v>676</v>
      </c>
      <c r="D91" s="757" t="s">
        <v>677</v>
      </c>
      <c r="E91" s="834">
        <v>0.2</v>
      </c>
      <c r="F91" s="821">
        <v>30</v>
      </c>
    </row>
    <row r="92" spans="1:6" s="817" customFormat="1" ht="24">
      <c r="A92" s="821">
        <v>32</v>
      </c>
      <c r="B92" s="3423" t="s">
        <v>678</v>
      </c>
      <c r="C92" s="821" t="s">
        <v>679</v>
      </c>
      <c r="D92" s="757" t="s">
        <v>680</v>
      </c>
      <c r="E92" s="834">
        <v>0.2</v>
      </c>
      <c r="F92" s="821">
        <v>30</v>
      </c>
    </row>
    <row r="93" spans="1:6" s="817" customFormat="1" ht="36">
      <c r="A93" s="821">
        <v>33</v>
      </c>
      <c r="B93" s="3423"/>
      <c r="C93" s="821" t="s">
        <v>681</v>
      </c>
      <c r="D93" s="757" t="s">
        <v>682</v>
      </c>
      <c r="E93" s="834">
        <v>0.2</v>
      </c>
      <c r="F93" s="821">
        <v>30</v>
      </c>
    </row>
    <row r="94" spans="1:6" s="817" customFormat="1" ht="48">
      <c r="A94" s="821">
        <v>34</v>
      </c>
      <c r="B94" s="3423"/>
      <c r="C94" s="821" t="s">
        <v>683</v>
      </c>
      <c r="D94" s="757" t="s">
        <v>684</v>
      </c>
      <c r="E94" s="834">
        <v>0.2</v>
      </c>
      <c r="F94" s="821">
        <v>30</v>
      </c>
    </row>
    <row r="95" spans="1:6" s="817" customFormat="1" ht="36">
      <c r="A95" s="821">
        <v>35</v>
      </c>
      <c r="B95" s="3423"/>
      <c r="C95" s="821" t="s">
        <v>685</v>
      </c>
      <c r="D95" s="757" t="s">
        <v>686</v>
      </c>
      <c r="E95" s="834">
        <v>0.2</v>
      </c>
      <c r="F95" s="821">
        <v>30</v>
      </c>
    </row>
    <row r="96" spans="1:6" s="817" customFormat="1" ht="48">
      <c r="A96" s="821">
        <v>36</v>
      </c>
      <c r="B96" s="3423"/>
      <c r="C96" s="757" t="s">
        <v>687</v>
      </c>
      <c r="D96" s="757" t="s">
        <v>688</v>
      </c>
      <c r="E96" s="834">
        <v>0.2</v>
      </c>
      <c r="F96" s="821">
        <v>30</v>
      </c>
    </row>
    <row r="97" spans="1:6" s="817" customFormat="1" ht="36">
      <c r="A97" s="821">
        <v>37</v>
      </c>
      <c r="B97" s="3423"/>
      <c r="C97" s="821" t="s">
        <v>689</v>
      </c>
      <c r="D97" s="757" t="s">
        <v>690</v>
      </c>
      <c r="E97" s="834">
        <v>0.2</v>
      </c>
      <c r="F97" s="821">
        <v>30</v>
      </c>
    </row>
    <row r="98" spans="1:6" s="817" customFormat="1" ht="36">
      <c r="A98" s="821">
        <v>38</v>
      </c>
      <c r="B98" s="3423"/>
      <c r="C98" s="821" t="s">
        <v>691</v>
      </c>
      <c r="D98" s="757" t="s">
        <v>692</v>
      </c>
      <c r="E98" s="834">
        <v>0.2</v>
      </c>
      <c r="F98" s="821">
        <v>30</v>
      </c>
    </row>
    <row r="99" spans="1:6" s="817" customFormat="1" ht="36">
      <c r="A99" s="821">
        <v>39</v>
      </c>
      <c r="B99" s="3423" t="s">
        <v>693</v>
      </c>
      <c r="C99" s="821" t="s">
        <v>694</v>
      </c>
      <c r="D99" s="757" t="s">
        <v>695</v>
      </c>
      <c r="E99" s="834">
        <v>0.3</v>
      </c>
      <c r="F99" s="821">
        <v>50</v>
      </c>
    </row>
    <row r="100" spans="1:6" s="817" customFormat="1" ht="24">
      <c r="A100" s="821">
        <v>40</v>
      </c>
      <c r="B100" s="3423"/>
      <c r="C100" s="821" t="s">
        <v>696</v>
      </c>
      <c r="D100" s="757" t="s">
        <v>697</v>
      </c>
      <c r="E100" s="834">
        <v>0.2</v>
      </c>
      <c r="F100" s="821">
        <v>30</v>
      </c>
    </row>
    <row r="101" spans="1:6" s="817" customFormat="1" ht="36">
      <c r="A101" s="821">
        <v>41</v>
      </c>
      <c r="B101" s="34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3" t="s">
        <v>708</v>
      </c>
      <c r="C105" s="821" t="s">
        <v>709</v>
      </c>
      <c r="D105" s="757" t="s">
        <v>710</v>
      </c>
      <c r="E105" s="834">
        <v>0.2</v>
      </c>
      <c r="F105" s="821">
        <v>30</v>
      </c>
    </row>
    <row r="106" spans="1:6" s="817" customFormat="1" ht="36">
      <c r="A106" s="821">
        <v>46</v>
      </c>
      <c r="B106" s="3423"/>
      <c r="C106" s="821" t="s">
        <v>711</v>
      </c>
      <c r="D106" s="757" t="s">
        <v>712</v>
      </c>
      <c r="E106" s="834">
        <v>0.2</v>
      </c>
      <c r="F106" s="821">
        <v>30</v>
      </c>
    </row>
    <row r="107" spans="1:6" s="817" customFormat="1" ht="36">
      <c r="A107" s="821">
        <v>47</v>
      </c>
      <c r="B107" s="3423" t="s">
        <v>713</v>
      </c>
      <c r="C107" s="821" t="s">
        <v>714</v>
      </c>
      <c r="D107" s="757" t="s">
        <v>715</v>
      </c>
      <c r="E107" s="834">
        <v>0.3</v>
      </c>
      <c r="F107" s="821">
        <v>50</v>
      </c>
    </row>
    <row r="108" spans="1:6" s="817" customFormat="1" ht="36">
      <c r="A108" s="821">
        <v>48</v>
      </c>
      <c r="B108" s="34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3" t="s">
        <v>724</v>
      </c>
      <c r="C111" s="821" t="s">
        <v>725</v>
      </c>
      <c r="D111" s="757" t="s">
        <v>726</v>
      </c>
      <c r="E111" s="834">
        <v>0.2</v>
      </c>
      <c r="F111" s="821">
        <v>30</v>
      </c>
    </row>
    <row r="112" spans="1:6" s="817" customFormat="1" ht="24">
      <c r="A112" s="821">
        <v>52</v>
      </c>
      <c r="B112" s="3423"/>
      <c r="C112" s="821" t="s">
        <v>727</v>
      </c>
      <c r="D112" s="757" t="s">
        <v>728</v>
      </c>
      <c r="E112" s="834">
        <v>0.2</v>
      </c>
      <c r="F112" s="821">
        <v>30</v>
      </c>
    </row>
    <row r="113" spans="1:6" s="817" customFormat="1" ht="24">
      <c r="A113" s="821">
        <v>53</v>
      </c>
      <c r="B113" s="34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3" t="s">
        <v>737</v>
      </c>
      <c r="C116" s="821" t="s">
        <v>738</v>
      </c>
      <c r="D116" s="757" t="s">
        <v>739</v>
      </c>
      <c r="E116" s="834">
        <v>0.2</v>
      </c>
      <c r="F116" s="821">
        <v>30</v>
      </c>
    </row>
    <row r="117" spans="1:6" ht="36">
      <c r="A117" s="821">
        <v>57</v>
      </c>
      <c r="B117" s="34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t="e">
        <f ca="1">SUMIF(B6:B13,"&lt;&gt;#ref!",B6:B13)</f>
        <v>#DIV/0!</v>
      </c>
      <c r="C2" s="2363" t="s">
        <v>2814</v>
      </c>
      <c r="D2" s="2363" t="s">
        <v>2815</v>
      </c>
      <c r="E2" s="2840">
        <f ca="1">SUMIF(E6:E13,"&lt;&gt;#ref!",E6:E13)</f>
        <v>0</v>
      </c>
      <c r="F2" s="3026"/>
      <c r="G2" s="3026"/>
      <c r="H2" s="3026"/>
      <c r="I2" s="3026"/>
      <c r="J2" s="3026"/>
      <c r="K2" s="3026"/>
      <c r="L2" s="3026"/>
      <c r="M2" s="3026"/>
      <c r="N2" s="3026"/>
      <c r="O2" s="3026"/>
      <c r="P2" s="3026"/>
    </row>
    <row r="3" spans="1:16" ht="15.75">
      <c r="A3" s="2363" t="s">
        <v>2816</v>
      </c>
      <c r="B3" s="2830" t="e">
        <f ca="1">ROUND(B2*10000/E2,0)</f>
        <v>#DIV/0!</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t="e">
        <f ca="1">SUMIF(INDIRECT("'"&amp;A6&amp;"'"&amp;"!A:A"),"总价",INDIRECT("'"&amp;A6&amp;"'"&amp;"!B:B"))</f>
        <v>#DIV/0!</v>
      </c>
      <c r="C6" s="2363" t="s">
        <v>2814</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29" t="s">
        <v>1117</v>
      </c>
      <c r="C1" s="3429"/>
      <c r="D1" s="3429"/>
      <c r="E1" s="3429"/>
      <c r="F1" s="3429"/>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25">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25"/>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25"/>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34"/>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2851</v>
      </c>
      <c r="B16" s="2440">
        <v>439</v>
      </c>
      <c r="C16" s="2440">
        <v>327</v>
      </c>
      <c r="D16" s="2440">
        <f>C16</f>
        <v>327</v>
      </c>
      <c r="E16" s="2440">
        <v>627</v>
      </c>
      <c r="F16" s="2441">
        <v>283</v>
      </c>
      <c r="G16" s="3430">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25"/>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25"/>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34"/>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30">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25"/>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25"/>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26"/>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24">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25"/>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25"/>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26"/>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24">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25"/>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25"/>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26"/>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31">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32"/>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32"/>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33"/>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24">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25"/>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25"/>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26"/>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24">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25">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25">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26">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24">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25">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25">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26">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24">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25">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25">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26">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24">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25">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25">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26">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24">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25">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25">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26">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24">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25">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25">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26">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24">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25">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25">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26">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24">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25">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25">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26">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24">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25">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25">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26">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24">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25">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25">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26">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8" t="s">
        <v>2824</v>
      </c>
      <c r="D1" s="3439"/>
      <c r="E1" s="3439"/>
      <c r="F1" s="3439"/>
      <c r="G1" s="3439"/>
      <c r="H1" s="3439"/>
      <c r="I1" s="3439"/>
      <c r="J1" s="3439"/>
      <c r="K1" s="3439"/>
      <c r="L1" s="3439"/>
      <c r="M1" s="3439"/>
      <c r="N1" s="3439"/>
      <c r="O1" s="3439"/>
      <c r="P1" s="3439"/>
      <c r="Q1" s="3439"/>
      <c r="R1" s="3439"/>
      <c r="S1" s="344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35" t="s">
        <v>33</v>
      </c>
      <c r="D22" s="3436"/>
      <c r="E22" s="3436"/>
      <c r="F22" s="3436"/>
      <c r="G22" s="3436"/>
      <c r="H22" s="3436"/>
      <c r="I22" s="3436"/>
      <c r="J22" s="3436"/>
      <c r="K22" s="3436"/>
      <c r="L22" s="3436"/>
      <c r="M22" s="3436"/>
      <c r="N22" s="3436"/>
      <c r="O22" s="3436"/>
      <c r="P22" s="3436"/>
      <c r="Q22" s="343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80"/>
      <c r="B4" s="3110" t="s">
        <v>1595</v>
      </c>
      <c r="C4" s="3110"/>
      <c r="D4" s="3110"/>
      <c r="E4" s="1680"/>
    </row>
    <row r="5" spans="1:5" ht="16.5" thickTop="1">
      <c r="A5" s="1678"/>
      <c r="B5" s="3108" t="s">
        <v>1587</v>
      </c>
      <c r="C5" s="1681" t="s">
        <v>1588</v>
      </c>
      <c r="D5" s="959">
        <f ca="1">结果表!H101</f>
        <v>91808</v>
      </c>
      <c r="E5" s="1678"/>
    </row>
    <row r="6" spans="1:5" ht="15.75">
      <c r="A6" s="1678"/>
      <c r="B6" s="3108"/>
      <c r="C6" s="1681" t="s">
        <v>1589</v>
      </c>
      <c r="D6" s="959" t="str">
        <f ca="1">NUMBERSTRING(INT(D5*10000),2)&amp;"元整"</f>
        <v>玖亿壹仟捌佰零捌万元整</v>
      </c>
      <c r="E6" s="1678"/>
    </row>
    <row r="7" spans="1:5" ht="15.75">
      <c r="A7" s="1678"/>
      <c r="B7" s="3113"/>
      <c r="C7" s="1682" t="s">
        <v>1590</v>
      </c>
      <c r="D7" s="960">
        <f ca="1">结果表!H102</f>
        <v>5183</v>
      </c>
      <c r="E7" s="1678"/>
    </row>
    <row r="8" spans="1:5" ht="15.75">
      <c r="A8" s="1678"/>
      <c r="B8" s="3114" t="str">
        <f>结果表!E103</f>
        <v>2.估价师知悉的法定优先受偿款</v>
      </c>
      <c r="C8" s="1683" t="s">
        <v>1591</v>
      </c>
      <c r="D8" s="960">
        <f>结果表!H103</f>
        <v>0</v>
      </c>
      <c r="E8" s="1678"/>
    </row>
    <row r="9" spans="1:5" ht="15.75">
      <c r="A9" s="1678"/>
      <c r="B9" s="311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07" t="str">
        <f>结果表!E107</f>
        <v>3.房地产抵押价值</v>
      </c>
      <c r="C13" s="1686" t="s">
        <v>1588</v>
      </c>
      <c r="D13" s="962">
        <f ca="1">结果表!H107</f>
        <v>91808</v>
      </c>
      <c r="E13" s="1678"/>
    </row>
    <row r="14" spans="1:5" ht="15.75">
      <c r="A14" s="1678"/>
      <c r="B14" s="3108"/>
      <c r="C14" s="1681" t="s">
        <v>1589</v>
      </c>
      <c r="D14" s="959" t="str">
        <f ca="1">NUMBERSTRING(INT(D13*10000),2)&amp;"元整"</f>
        <v>玖亿壹仟捌佰零捌万元整</v>
      </c>
      <c r="E14" s="1678"/>
    </row>
    <row r="15" spans="1:5" ht="15">
      <c r="A15" s="1678"/>
      <c r="B15" s="3113"/>
      <c r="C15" s="1682" t="s">
        <v>1599</v>
      </c>
      <c r="D15" s="968">
        <f ca="1">结果表!H108</f>
        <v>5183</v>
      </c>
      <c r="E15" s="1678"/>
    </row>
    <row r="16" spans="1:5" ht="15">
      <c r="A16" s="1678"/>
      <c r="B16" s="3114" t="str">
        <f>结果表!E109</f>
        <v>——</v>
      </c>
      <c r="C16" s="1686" t="s">
        <v>1600</v>
      </c>
      <c r="D16" s="1687" t="str">
        <f>结果表!H109</f>
        <v>——</v>
      </c>
      <c r="E16" s="1678"/>
    </row>
    <row r="17" spans="1:5" ht="15.75">
      <c r="A17" s="1678"/>
      <c r="B17" s="3115"/>
      <c r="C17" s="1681" t="s">
        <v>1601</v>
      </c>
      <c r="D17" s="959" t="e">
        <f>NUMBERSTRING(INT(D16*10000),2)&amp;"元整"</f>
        <v>#VALUE!</v>
      </c>
      <c r="E17" s="1678"/>
    </row>
    <row r="18" spans="1:5" ht="15">
      <c r="A18" s="1678"/>
      <c r="B18" s="3116"/>
      <c r="C18" s="1682" t="s">
        <v>1590</v>
      </c>
      <c r="D18" s="968" t="str">
        <f>结果表!H110</f>
        <v>——</v>
      </c>
      <c r="E18" s="1678"/>
    </row>
    <row r="19" spans="1:5" ht="15.75">
      <c r="A19" s="1678"/>
      <c r="B19" s="3107" t="str">
        <f>结果表!E111</f>
        <v>——</v>
      </c>
      <c r="C19" s="1686" t="s">
        <v>1588</v>
      </c>
      <c r="D19" s="960" t="str">
        <f>结果表!H111</f>
        <v>——</v>
      </c>
      <c r="E19" s="1678"/>
    </row>
    <row r="20" spans="1:5" ht="15.75">
      <c r="A20" s="1678"/>
      <c r="B20" s="3108"/>
      <c r="C20" s="1681" t="s">
        <v>1601</v>
      </c>
      <c r="D20" s="959" t="e">
        <f>NUMBERSTRING(INT(D19*10000),2)&amp;"元整"</f>
        <v>#VALUE!</v>
      </c>
      <c r="E20" s="1678"/>
    </row>
    <row r="21" spans="1:5" ht="15.75" thickBot="1">
      <c r="A21" s="1678"/>
      <c r="B21" s="310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96167</v>
      </c>
      <c r="C2" s="2" t="s">
        <v>133</v>
      </c>
      <c r="D2" s="205"/>
      <c r="E2" s="205"/>
      <c r="F2" s="205"/>
      <c r="G2" s="205"/>
    </row>
    <row r="3" spans="1:7" s="206" customFormat="1" ht="18" customHeight="1" thickBot="1">
      <c r="A3" s="209" t="s">
        <v>85</v>
      </c>
      <c r="B3" s="210">
        <f ca="1">ROUND(B2*10000/'数据-汇总表'!E3,0)</f>
        <v>5430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3542</v>
      </c>
      <c r="D10" s="954">
        <f>'数据-汇总表'!E6</f>
        <v>177117.85000000003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3542</v>
      </c>
      <c r="D19" s="958">
        <f>'数据-汇总表'!E3</f>
        <v>177117.85000000003</v>
      </c>
      <c r="E19" s="217">
        <f>'数据-取费表'!B31</f>
        <v>200</v>
      </c>
      <c r="F19" s="237"/>
      <c r="G19" s="1" t="s">
        <v>1042</v>
      </c>
    </row>
    <row r="20" spans="1:7" s="220" customFormat="1" ht="13.5" customHeight="1">
      <c r="A20" s="885" t="s">
        <v>1025</v>
      </c>
      <c r="B20" s="216" t="s">
        <v>104</v>
      </c>
      <c r="C20" s="238">
        <f>ROUND((C5+C19)*F20,0)</f>
        <v>242</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2335</v>
      </c>
      <c r="D22" s="241">
        <f ca="1">C26</f>
        <v>5.0000000000000001E-4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1983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341</v>
      </c>
      <c r="D24" s="244"/>
      <c r="E24" s="244"/>
      <c r="F24" s="245"/>
      <c r="G24" s="246" t="s">
        <v>109</v>
      </c>
    </row>
    <row r="25" spans="1:7" s="220" customFormat="1" ht="24">
      <c r="A25" s="888" t="s">
        <v>793</v>
      </c>
      <c r="B25" s="221" t="s">
        <v>1026</v>
      </c>
      <c r="C25" s="1265">
        <f ca="1">ROUND(IF('数据-取费表'!B22&lt;=1,C20*F22*'数据-取费表'!B23/2,C20*(POWER((1+F22),'数据-取费表'!B23/2)-1)),0)</f>
        <v>11</v>
      </c>
      <c r="D25" s="244"/>
      <c r="E25" s="247"/>
      <c r="F25" s="245"/>
      <c r="G25" s="248" t="s">
        <v>110</v>
      </c>
    </row>
    <row r="26" spans="1:7" s="220" customFormat="1">
      <c r="A26" s="888" t="s">
        <v>795</v>
      </c>
      <c r="B26" s="221" t="s">
        <v>1028</v>
      </c>
      <c r="C26" s="244">
        <f ca="1">ROUND(IF('数据-取费表'!B22&lt;=1,F21*F22*'数据-取费表'!B23/2,F21*(POWER((1+F22),'数据-取费表'!B23/2)-1)),4)</f>
        <v>5.0000000000000001E-4</v>
      </c>
      <c r="D26" s="244"/>
      <c r="E26" s="247"/>
      <c r="F26" s="245"/>
      <c r="G26" s="249"/>
    </row>
    <row r="27" spans="1:7" s="220" customFormat="1" ht="24.75">
      <c r="A27" s="885" t="s">
        <v>787</v>
      </c>
      <c r="B27" s="250" t="s">
        <v>112</v>
      </c>
      <c r="C27" s="251">
        <f>C28</f>
        <v>2415</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2415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52550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46965</v>
      </c>
      <c r="D34" s="223"/>
      <c r="E34" s="226"/>
      <c r="F34" s="263">
        <f>IF('数据-取费表'!B24=0,1,'数据-取费表'!N16)</f>
        <v>0.98</v>
      </c>
      <c r="G34" s="225" t="s">
        <v>116</v>
      </c>
    </row>
    <row r="35" spans="1:7" ht="13.5" customHeight="1">
      <c r="A35" s="888" t="s">
        <v>796</v>
      </c>
      <c r="B35" s="221" t="s">
        <v>60</v>
      </c>
      <c r="C35" s="226">
        <f>ROUND(C34*F35,0)</f>
        <v>1409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3472</v>
      </c>
      <c r="D37" s="223">
        <f>'数据-汇总表'!E3</f>
        <v>177117.85000000003</v>
      </c>
      <c r="E37" s="255">
        <f>'数据-取费表'!B35</f>
        <v>200</v>
      </c>
      <c r="F37" s="265"/>
      <c r="G37" s="267" t="s">
        <v>119</v>
      </c>
    </row>
    <row r="38" spans="1:7" ht="13.5" customHeight="1">
      <c r="A38" s="888" t="s">
        <v>799</v>
      </c>
      <c r="B38" s="221" t="s">
        <v>63</v>
      </c>
      <c r="C38" s="226">
        <f>ROUND(C34*F38,0)</f>
        <v>704</v>
      </c>
      <c r="D38" s="226"/>
      <c r="E38" s="226"/>
      <c r="F38" s="265">
        <f>'数据-取费表'!B36</f>
        <v>1.4999999999999999E-2</v>
      </c>
      <c r="G38" s="225" t="s">
        <v>117</v>
      </c>
    </row>
    <row r="39" spans="1:7" s="220" customFormat="1" ht="13.5" customHeight="1">
      <c r="A39" s="885" t="s">
        <v>783</v>
      </c>
      <c r="B39" s="216" t="s">
        <v>104</v>
      </c>
      <c r="C39" s="238">
        <f>ROUND(C33*F20,0)</f>
        <v>526</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2496</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2471</v>
      </c>
      <c r="D42" s="244"/>
      <c r="E42" s="244"/>
      <c r="F42" s="245"/>
      <c r="G42" s="3295" t="s">
        <v>121</v>
      </c>
    </row>
    <row r="43" spans="1:7" ht="13.5" customHeight="1">
      <c r="A43" s="888" t="s">
        <v>792</v>
      </c>
      <c r="B43" s="221" t="s">
        <v>1032</v>
      </c>
      <c r="C43" s="244">
        <f ca="1">ROUND(IF('数据-取费表'!B22&lt;=1,C39*F22*'数据-取费表'!B21/2,C39*(POWER((1+F22),'数据-取费表'!B21/2)-1)),0)</f>
        <v>25</v>
      </c>
      <c r="D43" s="244"/>
      <c r="E43" s="244"/>
      <c r="F43" s="245"/>
      <c r="G43" s="3296"/>
    </row>
    <row r="44" spans="1:7" ht="13.5" customHeight="1">
      <c r="A44" s="888" t="s">
        <v>793</v>
      </c>
      <c r="B44" s="221" t="s">
        <v>1034</v>
      </c>
      <c r="C44" s="244">
        <f ca="1">ROUND(IF('数据-取费表'!B22&lt;=1,C40*F22*'数据-取费表'!B21/2,C40*(POWER((1+F22),'数据-取费表'!B21/2)-1)),4)</f>
        <v>5.0000000000000001E-4</v>
      </c>
      <c r="D44" s="244"/>
      <c r="E44" s="244"/>
      <c r="F44" s="245"/>
      <c r="G44" s="3297"/>
    </row>
    <row r="45" spans="1:7" s="220" customFormat="1" ht="13.5" customHeight="1">
      <c r="A45" s="885" t="s">
        <v>786</v>
      </c>
      <c r="B45" s="250" t="s">
        <v>112</v>
      </c>
      <c r="C45" s="251">
        <f>C46</f>
        <v>5308</v>
      </c>
      <c r="D45" s="241">
        <f>C47</f>
        <v>1E-3</v>
      </c>
      <c r="E45" s="242" t="s">
        <v>129</v>
      </c>
      <c r="F45" s="252"/>
      <c r="G45" s="253" t="s">
        <v>1040</v>
      </c>
    </row>
    <row r="46" spans="1:7" s="220" customFormat="1" ht="13.5" customHeight="1">
      <c r="A46" s="888" t="s">
        <v>794</v>
      </c>
      <c r="B46" s="254" t="s">
        <v>1033</v>
      </c>
      <c r="C46" s="255">
        <f>ROUND((C33+C39)*F27,0)</f>
        <v>5308</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65034</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65034</v>
      </c>
      <c r="D51" s="238"/>
      <c r="E51" s="238"/>
      <c r="F51" s="270"/>
      <c r="G51" s="240" t="s">
        <v>64</v>
      </c>
    </row>
    <row r="52" spans="1:7" s="214" customFormat="1" ht="16.5" thickBot="1">
      <c r="A52" s="271" t="s">
        <v>65</v>
      </c>
      <c r="B52" s="272"/>
      <c r="C52" s="273">
        <f ca="1">C31+C51</f>
        <v>96167</v>
      </c>
      <c r="D52" s="272"/>
      <c r="E52" s="272"/>
      <c r="F52" s="272"/>
      <c r="G52" s="274"/>
    </row>
    <row r="55" spans="1:7" ht="15">
      <c r="B55" s="276" t="s">
        <v>66</v>
      </c>
      <c r="C55" s="277"/>
    </row>
    <row r="56" spans="1:7">
      <c r="B56" s="279" t="s">
        <v>67</v>
      </c>
      <c r="C56" s="280">
        <f ca="1">ROUND(C51/C52,3)</f>
        <v>0.67600000000000005</v>
      </c>
    </row>
    <row r="57" spans="1:7">
      <c r="B57" s="279" t="s">
        <v>68</v>
      </c>
      <c r="C57" s="281">
        <f ca="1">1-C56</f>
        <v>0.32399999999999995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1" t="s">
        <v>156</v>
      </c>
      <c r="B1" s="3441"/>
      <c r="C1" s="3441"/>
      <c r="D1" s="3441"/>
      <c r="E1" s="3441"/>
      <c r="F1" s="34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2" t="s">
        <v>169</v>
      </c>
      <c r="B2" s="3442"/>
      <c r="C2" s="3442"/>
      <c r="D2" s="3442"/>
      <c r="E2" s="3442"/>
      <c r="F2" s="34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1" t="s">
        <v>839</v>
      </c>
      <c r="B1" s="34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44074</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B1" workbookViewId="0">
      <selection activeCell="O32" sqref="O32"/>
    </sheetView>
  </sheetViews>
  <sheetFormatPr defaultRowHeight="13.5"/>
  <cols>
    <col min="1" max="1" width="24.375" customWidth="1"/>
    <col min="6" max="6" width="14.125" customWidth="1"/>
    <col min="7" max="7" width="12.75" customWidth="1"/>
  </cols>
  <sheetData>
    <row r="1" spans="1:16">
      <c r="A1" t="s">
        <v>3144</v>
      </c>
      <c r="B1" t="s">
        <v>3145</v>
      </c>
      <c r="C1" t="s">
        <v>3146</v>
      </c>
      <c r="D1" t="s">
        <v>3147</v>
      </c>
      <c r="E1" t="s">
        <v>3148</v>
      </c>
      <c r="F1" t="s">
        <v>3149</v>
      </c>
      <c r="G1" t="s">
        <v>3150</v>
      </c>
      <c r="H1" t="s">
        <v>3151</v>
      </c>
      <c r="I1" t="s">
        <v>3152</v>
      </c>
      <c r="J1" t="s">
        <v>3153</v>
      </c>
      <c r="K1" t="s">
        <v>3154</v>
      </c>
      <c r="L1" t="s">
        <v>3155</v>
      </c>
      <c r="M1" t="s">
        <v>3156</v>
      </c>
      <c r="N1" t="s">
        <v>3157</v>
      </c>
      <c r="O1" t="s">
        <v>3158</v>
      </c>
    </row>
    <row r="2" spans="1:16">
      <c r="A2" t="s">
        <v>3159</v>
      </c>
      <c r="B2" t="s">
        <v>3059</v>
      </c>
      <c r="C2" t="s">
        <v>3160</v>
      </c>
      <c r="D2" t="s">
        <v>3161</v>
      </c>
      <c r="E2" t="s">
        <v>3162</v>
      </c>
      <c r="F2">
        <v>19983.72</v>
      </c>
      <c r="G2">
        <v>39967.440000000002</v>
      </c>
      <c r="H2" t="s">
        <v>3163</v>
      </c>
      <c r="I2" t="s">
        <v>3164</v>
      </c>
      <c r="J2" t="s">
        <v>3165</v>
      </c>
      <c r="K2">
        <v>2805.96</v>
      </c>
      <c r="L2">
        <v>2805.96</v>
      </c>
      <c r="M2">
        <v>702.05</v>
      </c>
      <c r="N2">
        <f>ROUND(L2*10000/F2,0)</f>
        <v>1404</v>
      </c>
      <c r="O2" t="s">
        <v>3166</v>
      </c>
    </row>
    <row r="3" spans="1:16">
      <c r="A3" t="s">
        <v>3167</v>
      </c>
      <c r="B3" t="s">
        <v>3059</v>
      </c>
      <c r="C3" t="s">
        <v>3160</v>
      </c>
      <c r="D3" t="s">
        <v>3161</v>
      </c>
      <c r="E3" t="s">
        <v>3168</v>
      </c>
      <c r="F3">
        <v>19983.72</v>
      </c>
      <c r="G3">
        <v>39967.440000000002</v>
      </c>
      <c r="H3" t="s">
        <v>3163</v>
      </c>
      <c r="I3" t="s">
        <v>3169</v>
      </c>
      <c r="J3" t="s">
        <v>3170</v>
      </c>
      <c r="K3">
        <v>2801.11</v>
      </c>
      <c r="L3">
        <v>2801.11</v>
      </c>
      <c r="M3">
        <v>700.85</v>
      </c>
      <c r="N3">
        <f t="shared" ref="N3:N16" si="0">ROUND(L3*10000/F3,0)</f>
        <v>1402</v>
      </c>
      <c r="O3" t="s">
        <v>3166</v>
      </c>
    </row>
    <row r="4" spans="1:16">
      <c r="A4" t="s">
        <v>3171</v>
      </c>
      <c r="B4" t="s">
        <v>3059</v>
      </c>
      <c r="C4" t="s">
        <v>3160</v>
      </c>
      <c r="D4" t="s">
        <v>3161</v>
      </c>
      <c r="E4" t="s">
        <v>3172</v>
      </c>
      <c r="F4">
        <v>11276.71</v>
      </c>
      <c r="G4">
        <v>16915</v>
      </c>
      <c r="H4" t="s">
        <v>3173</v>
      </c>
      <c r="I4" t="s">
        <v>3174</v>
      </c>
      <c r="J4" t="s">
        <v>3175</v>
      </c>
      <c r="K4">
        <v>1211.81</v>
      </c>
      <c r="L4">
        <v>1211.81</v>
      </c>
      <c r="M4">
        <v>716.41</v>
      </c>
      <c r="N4">
        <f t="shared" si="0"/>
        <v>1075</v>
      </c>
      <c r="O4">
        <v>20</v>
      </c>
    </row>
    <row r="5" spans="1:16">
      <c r="A5" t="s">
        <v>3176</v>
      </c>
      <c r="B5" t="s">
        <v>3059</v>
      </c>
      <c r="C5" t="s">
        <v>3160</v>
      </c>
      <c r="D5" t="s">
        <v>3161</v>
      </c>
      <c r="E5" t="s">
        <v>3177</v>
      </c>
      <c r="F5">
        <v>34995.919999999998</v>
      </c>
      <c r="G5">
        <v>82940.33</v>
      </c>
      <c r="H5" t="s">
        <v>3178</v>
      </c>
      <c r="I5" t="s">
        <v>3174</v>
      </c>
      <c r="J5" t="s">
        <v>3179</v>
      </c>
      <c r="K5">
        <v>4868.6000000000004</v>
      </c>
      <c r="L5">
        <v>4868.6000000000004</v>
      </c>
      <c r="M5">
        <v>587</v>
      </c>
      <c r="N5">
        <f t="shared" si="0"/>
        <v>1391</v>
      </c>
      <c r="O5" t="s">
        <v>3166</v>
      </c>
    </row>
    <row r="6" spans="1:16" s="3062" customFormat="1">
      <c r="A6" s="3062" t="s">
        <v>3180</v>
      </c>
      <c r="B6" s="3062" t="s">
        <v>3059</v>
      </c>
      <c r="C6" s="3062" t="s">
        <v>3160</v>
      </c>
      <c r="D6" s="3062" t="s">
        <v>3161</v>
      </c>
      <c r="E6" s="3062" t="s">
        <v>3168</v>
      </c>
      <c r="F6" s="3062">
        <v>30911.9</v>
      </c>
      <c r="G6" s="3062">
        <v>52550.23</v>
      </c>
      <c r="H6" s="3062" t="s">
        <v>3181</v>
      </c>
      <c r="I6" s="3062" t="s">
        <v>3182</v>
      </c>
      <c r="J6" s="3062" t="s">
        <v>3183</v>
      </c>
      <c r="K6" s="3062">
        <v>3815.15</v>
      </c>
      <c r="L6" s="3062">
        <v>3815.15</v>
      </c>
      <c r="M6" s="3062">
        <v>726</v>
      </c>
      <c r="N6">
        <f t="shared" si="0"/>
        <v>1234</v>
      </c>
      <c r="O6" s="3062" t="s">
        <v>3166</v>
      </c>
    </row>
    <row r="7" spans="1:16" s="3062" customFormat="1">
      <c r="A7" s="3062" t="s">
        <v>3184</v>
      </c>
      <c r="B7" s="3062" t="s">
        <v>3059</v>
      </c>
      <c r="C7" s="3062" t="s">
        <v>3160</v>
      </c>
      <c r="D7" s="3062" t="s">
        <v>3161</v>
      </c>
      <c r="E7" s="3062" t="s">
        <v>3160</v>
      </c>
      <c r="F7" s="3062">
        <v>10730.4</v>
      </c>
      <c r="G7" s="3062">
        <v>21460.799999999999</v>
      </c>
      <c r="H7" s="3062" t="s">
        <v>3163</v>
      </c>
      <c r="I7" s="3062" t="s">
        <v>3185</v>
      </c>
      <c r="J7" s="3062" t="s">
        <v>3186</v>
      </c>
      <c r="K7" s="3062">
        <v>1558.04</v>
      </c>
      <c r="L7" s="3062">
        <v>1558.04</v>
      </c>
      <c r="M7" s="3062">
        <v>726</v>
      </c>
      <c r="N7">
        <f t="shared" si="0"/>
        <v>1452</v>
      </c>
      <c r="O7" s="3062" t="s">
        <v>3166</v>
      </c>
    </row>
    <row r="8" spans="1:16">
      <c r="A8" t="s">
        <v>3187</v>
      </c>
      <c r="B8" t="s">
        <v>3059</v>
      </c>
      <c r="C8" t="s">
        <v>3160</v>
      </c>
      <c r="D8" t="s">
        <v>3161</v>
      </c>
      <c r="E8" t="s">
        <v>3160</v>
      </c>
      <c r="F8">
        <v>74765.8</v>
      </c>
      <c r="G8">
        <v>112148.7</v>
      </c>
      <c r="H8" t="s">
        <v>3173</v>
      </c>
      <c r="I8" t="s">
        <v>3185</v>
      </c>
      <c r="J8" t="s">
        <v>3188</v>
      </c>
      <c r="K8">
        <v>6583.13</v>
      </c>
      <c r="L8">
        <v>6583.13</v>
      </c>
      <c r="M8">
        <v>587</v>
      </c>
      <c r="N8">
        <f t="shared" si="0"/>
        <v>881</v>
      </c>
      <c r="O8" t="s">
        <v>3166</v>
      </c>
    </row>
    <row r="9" spans="1:16">
      <c r="A9" t="s">
        <v>3189</v>
      </c>
      <c r="B9" t="s">
        <v>3059</v>
      </c>
      <c r="C9" t="s">
        <v>3160</v>
      </c>
      <c r="D9" t="s">
        <v>3161</v>
      </c>
      <c r="E9" t="s">
        <v>3160</v>
      </c>
      <c r="F9">
        <v>32677.200000000001</v>
      </c>
      <c r="G9">
        <v>49015.8</v>
      </c>
      <c r="H9" t="s">
        <v>3173</v>
      </c>
      <c r="I9" t="s">
        <v>3185</v>
      </c>
      <c r="J9" t="s">
        <v>3188</v>
      </c>
      <c r="K9">
        <v>2877.23</v>
      </c>
      <c r="L9">
        <v>2877.23</v>
      </c>
      <c r="M9">
        <v>587</v>
      </c>
      <c r="N9">
        <f t="shared" si="0"/>
        <v>881</v>
      </c>
      <c r="O9" t="s">
        <v>3166</v>
      </c>
    </row>
    <row r="10" spans="1:16">
      <c r="A10" t="s">
        <v>3190</v>
      </c>
      <c r="B10" t="s">
        <v>3059</v>
      </c>
      <c r="C10" t="s">
        <v>3160</v>
      </c>
      <c r="D10" t="s">
        <v>3161</v>
      </c>
      <c r="E10" t="s">
        <v>3160</v>
      </c>
      <c r="F10">
        <v>22695.8</v>
      </c>
      <c r="G10">
        <v>40852.44</v>
      </c>
      <c r="H10" t="s">
        <v>3191</v>
      </c>
      <c r="I10" t="s">
        <v>3185</v>
      </c>
      <c r="J10" t="s">
        <v>3192</v>
      </c>
      <c r="K10">
        <v>4412.0600000000004</v>
      </c>
      <c r="L10">
        <v>4412.0600000000004</v>
      </c>
      <c r="M10">
        <v>1080</v>
      </c>
      <c r="N10">
        <f t="shared" si="0"/>
        <v>1944</v>
      </c>
      <c r="O10" t="s">
        <v>3166</v>
      </c>
    </row>
    <row r="11" spans="1:16">
      <c r="A11" t="s">
        <v>3193</v>
      </c>
      <c r="B11" t="s">
        <v>3059</v>
      </c>
      <c r="C11" t="s">
        <v>3160</v>
      </c>
      <c r="D11" t="s">
        <v>3161</v>
      </c>
      <c r="E11" t="s">
        <v>3168</v>
      </c>
      <c r="F11">
        <v>18959.82</v>
      </c>
      <c r="G11">
        <v>28440</v>
      </c>
      <c r="H11" t="s">
        <v>3173</v>
      </c>
      <c r="I11" t="s">
        <v>3194</v>
      </c>
      <c r="J11" t="s">
        <v>3195</v>
      </c>
      <c r="K11">
        <v>3118.96</v>
      </c>
      <c r="L11">
        <v>3118.96</v>
      </c>
      <c r="M11">
        <v>1096.68</v>
      </c>
      <c r="N11">
        <f t="shared" si="0"/>
        <v>1645</v>
      </c>
      <c r="O11" t="s">
        <v>3196</v>
      </c>
    </row>
    <row r="12" spans="1:16" s="3062" customFormat="1">
      <c r="A12" s="3062" t="s">
        <v>3197</v>
      </c>
      <c r="B12" s="3062" t="s">
        <v>3059</v>
      </c>
      <c r="C12" s="3062" t="s">
        <v>3160</v>
      </c>
      <c r="D12" s="3062" t="s">
        <v>3161</v>
      </c>
      <c r="E12" s="3062" t="s">
        <v>3160</v>
      </c>
      <c r="F12" s="3062">
        <v>10922.9</v>
      </c>
      <c r="G12" s="3062">
        <v>16384.349999999999</v>
      </c>
      <c r="H12" s="3062" t="s">
        <v>3173</v>
      </c>
      <c r="I12" s="3062" t="s">
        <v>3198</v>
      </c>
      <c r="J12" s="3062" t="s">
        <v>3199</v>
      </c>
      <c r="K12" s="3062">
        <v>1651.53</v>
      </c>
      <c r="L12" s="3062">
        <v>1651.53</v>
      </c>
      <c r="M12" s="3062">
        <v>1008</v>
      </c>
      <c r="N12" s="3062">
        <f t="shared" si="0"/>
        <v>1512</v>
      </c>
      <c r="O12" s="3062" t="s">
        <v>3166</v>
      </c>
      <c r="P12" s="3062">
        <f>ROUND(N12*年期修正系数!F10/年期修正系数!F9,0)</f>
        <v>2297</v>
      </c>
    </row>
    <row r="13" spans="1:16" s="3105" customFormat="1">
      <c r="A13" s="3105" t="s">
        <v>3200</v>
      </c>
      <c r="B13" s="3105" t="s">
        <v>3059</v>
      </c>
      <c r="C13" s="3105" t="s">
        <v>3160</v>
      </c>
      <c r="D13" s="3105" t="s">
        <v>3161</v>
      </c>
      <c r="E13" s="3105" t="s">
        <v>3160</v>
      </c>
      <c r="F13" s="3105">
        <v>40936.25</v>
      </c>
      <c r="G13" s="3105">
        <v>73685.25</v>
      </c>
      <c r="H13" s="3105" t="s">
        <v>3191</v>
      </c>
      <c r="I13" s="3105" t="s">
        <v>3198</v>
      </c>
      <c r="J13" s="3105" t="s">
        <v>3201</v>
      </c>
      <c r="K13" s="3105">
        <v>5349.55</v>
      </c>
      <c r="L13" s="3105">
        <v>5349.55</v>
      </c>
      <c r="M13" s="3105">
        <v>726</v>
      </c>
      <c r="N13" s="3105">
        <f t="shared" si="0"/>
        <v>1307</v>
      </c>
      <c r="O13" s="3105" t="s">
        <v>3166</v>
      </c>
    </row>
    <row r="14" spans="1:16">
      <c r="A14" t="s">
        <v>3202</v>
      </c>
      <c r="B14" t="s">
        <v>3059</v>
      </c>
      <c r="C14" t="s">
        <v>3160</v>
      </c>
      <c r="D14" t="s">
        <v>3161</v>
      </c>
      <c r="E14" t="s">
        <v>3160</v>
      </c>
      <c r="F14">
        <v>17789.3</v>
      </c>
      <c r="G14">
        <v>26683.95</v>
      </c>
      <c r="H14" t="s">
        <v>3173</v>
      </c>
      <c r="I14" t="s">
        <v>3203</v>
      </c>
      <c r="J14" t="s">
        <v>3204</v>
      </c>
      <c r="K14">
        <v>1566.34</v>
      </c>
      <c r="L14">
        <v>1566.34</v>
      </c>
      <c r="M14">
        <v>587</v>
      </c>
      <c r="N14">
        <f t="shared" si="0"/>
        <v>880</v>
      </c>
      <c r="O14" t="s">
        <v>3166</v>
      </c>
    </row>
    <row r="15" spans="1:16">
      <c r="A15" t="s">
        <v>3205</v>
      </c>
      <c r="B15" t="s">
        <v>3059</v>
      </c>
      <c r="C15" t="s">
        <v>3160</v>
      </c>
      <c r="D15" t="s">
        <v>3161</v>
      </c>
      <c r="E15" t="s">
        <v>3160</v>
      </c>
      <c r="F15">
        <v>16585.7</v>
      </c>
      <c r="G15">
        <v>24878.55</v>
      </c>
      <c r="H15" t="s">
        <v>3173</v>
      </c>
      <c r="I15" t="s">
        <v>3206</v>
      </c>
      <c r="J15" t="s">
        <v>3207</v>
      </c>
      <c r="K15">
        <v>1460.36</v>
      </c>
      <c r="L15">
        <v>1460.36</v>
      </c>
      <c r="M15">
        <v>587</v>
      </c>
      <c r="N15">
        <f t="shared" si="0"/>
        <v>880</v>
      </c>
      <c r="O15" t="s">
        <v>3166</v>
      </c>
    </row>
    <row r="16" spans="1:16">
      <c r="A16" t="s">
        <v>3208</v>
      </c>
      <c r="B16" t="s">
        <v>3059</v>
      </c>
      <c r="C16" t="s">
        <v>3160</v>
      </c>
      <c r="D16" t="s">
        <v>3161</v>
      </c>
      <c r="E16" t="s">
        <v>3209</v>
      </c>
      <c r="F16">
        <v>33687.910000000003</v>
      </c>
      <c r="G16">
        <v>50532</v>
      </c>
      <c r="H16" t="s">
        <v>3173</v>
      </c>
      <c r="I16" t="s">
        <v>3210</v>
      </c>
      <c r="J16" t="s">
        <v>3211</v>
      </c>
      <c r="K16">
        <v>6324.09</v>
      </c>
      <c r="L16">
        <v>6324.09</v>
      </c>
      <c r="M16">
        <v>1251.5</v>
      </c>
      <c r="N16">
        <f t="shared" si="0"/>
        <v>1877</v>
      </c>
      <c r="O16" t="s">
        <v>3196</v>
      </c>
    </row>
    <row r="17" spans="1:17">
      <c r="A17" s="3063" t="s">
        <v>3144</v>
      </c>
      <c r="B17" s="3063" t="s">
        <v>3145</v>
      </c>
      <c r="C17" s="3063" t="s">
        <v>3146</v>
      </c>
      <c r="D17" s="3063" t="s">
        <v>3147</v>
      </c>
      <c r="E17" s="3063" t="s">
        <v>3148</v>
      </c>
      <c r="F17" s="3063" t="s">
        <v>3149</v>
      </c>
      <c r="G17" s="3063" t="s">
        <v>3150</v>
      </c>
      <c r="H17" s="3063" t="s">
        <v>3151</v>
      </c>
      <c r="I17" s="3063" t="s">
        <v>3152</v>
      </c>
      <c r="J17" s="3063" t="s">
        <v>3153</v>
      </c>
      <c r="K17" s="3063" t="s">
        <v>3154</v>
      </c>
      <c r="L17" s="3063" t="s">
        <v>3155</v>
      </c>
      <c r="M17" s="3063" t="s">
        <v>3156</v>
      </c>
      <c r="N17" s="3063" t="s">
        <v>3157</v>
      </c>
      <c r="O17" s="3063" t="s">
        <v>3158</v>
      </c>
    </row>
    <row r="18" spans="1:17" s="3062" customFormat="1">
      <c r="A18" s="3062" t="s">
        <v>3180</v>
      </c>
      <c r="B18" s="3062" t="s">
        <v>3059</v>
      </c>
      <c r="C18" s="3062" t="s">
        <v>3160</v>
      </c>
      <c r="D18" s="3062" t="s">
        <v>3161</v>
      </c>
      <c r="E18" s="3062" t="s">
        <v>3168</v>
      </c>
      <c r="F18" s="3062">
        <v>30911.9</v>
      </c>
      <c r="G18" s="3062">
        <v>52550.23</v>
      </c>
      <c r="H18" s="3062" t="s">
        <v>3181</v>
      </c>
      <c r="I18" s="3062" t="s">
        <v>3182</v>
      </c>
      <c r="J18" s="3062" t="s">
        <v>3183</v>
      </c>
      <c r="K18" s="3062">
        <v>3815.15</v>
      </c>
      <c r="L18" s="3062">
        <v>3815.15</v>
      </c>
      <c r="M18" s="3062">
        <v>726</v>
      </c>
      <c r="N18" s="3062">
        <f>ROUND(L2*10000/F2,0)</f>
        <v>1404</v>
      </c>
      <c r="O18" s="3062" t="s">
        <v>3166</v>
      </c>
      <c r="P18" s="3062">
        <f>ROUND(N18*年期修正系数!F10/年期修正系数!F9,0)</f>
        <v>2133</v>
      </c>
      <c r="Q18" s="3062">
        <f>ROUND(M18*年期修正系数!F10/年期修正系数!F9,0)</f>
        <v>1103</v>
      </c>
    </row>
    <row r="19" spans="1:17" s="3062" customFormat="1">
      <c r="A19" s="3062" t="s">
        <v>3184</v>
      </c>
      <c r="B19" s="3062" t="s">
        <v>3059</v>
      </c>
      <c r="C19" s="3062" t="s">
        <v>3160</v>
      </c>
      <c r="D19" s="3062" t="s">
        <v>3161</v>
      </c>
      <c r="E19" s="3062" t="s">
        <v>3160</v>
      </c>
      <c r="F19" s="3062">
        <v>10730.4</v>
      </c>
      <c r="G19" s="3062">
        <v>21460.799999999999</v>
      </c>
      <c r="H19" s="3062" t="s">
        <v>3163</v>
      </c>
      <c r="I19" s="3062" t="s">
        <v>3185</v>
      </c>
      <c r="J19" s="3062" t="s">
        <v>3186</v>
      </c>
      <c r="K19" s="3062">
        <v>1558.04</v>
      </c>
      <c r="L19" s="3062">
        <v>1558.04</v>
      </c>
      <c r="M19" s="3062">
        <v>726</v>
      </c>
      <c r="N19" s="3062">
        <f t="shared" ref="N19" si="1">ROUND(L3*10000/F3,0)</f>
        <v>1402</v>
      </c>
      <c r="O19" s="3062" t="s">
        <v>3166</v>
      </c>
      <c r="P19" s="3062">
        <f>ROUND(N19*年期修正系数!F10/年期修正系数!F9,0)</f>
        <v>2130</v>
      </c>
      <c r="Q19" s="3062">
        <f>ROUND(M19*年期修正系数!F10/年期修正系数!F9,0)</f>
        <v>1103</v>
      </c>
    </row>
    <row r="20" spans="1:17" s="3062" customFormat="1">
      <c r="A20" s="3062" t="s">
        <v>3197</v>
      </c>
      <c r="B20" s="3062" t="s">
        <v>3059</v>
      </c>
      <c r="C20" s="3062" t="s">
        <v>3160</v>
      </c>
      <c r="D20" s="3062" t="s">
        <v>3161</v>
      </c>
      <c r="E20" s="3062" t="s">
        <v>3160</v>
      </c>
      <c r="F20" s="3062">
        <v>10922.9</v>
      </c>
      <c r="G20" s="3062">
        <v>16384.349999999999</v>
      </c>
      <c r="H20" s="3062" t="s">
        <v>3173</v>
      </c>
      <c r="I20" s="3062" t="s">
        <v>3198</v>
      </c>
      <c r="J20" s="3062" t="s">
        <v>3199</v>
      </c>
      <c r="K20" s="3062">
        <v>1651.53</v>
      </c>
      <c r="L20" s="3062">
        <v>1651.53</v>
      </c>
      <c r="M20" s="3062">
        <v>1008</v>
      </c>
      <c r="N20" s="3062">
        <f t="shared" ref="N20" si="2">ROUND(L20*10000/F20,0)</f>
        <v>1512</v>
      </c>
      <c r="O20" s="3062" t="s">
        <v>3166</v>
      </c>
      <c r="P20" s="3062">
        <f>ROUND(N20*年期修正系数!F10/年期修正系数!F9,0)</f>
        <v>2297</v>
      </c>
      <c r="Q20" s="3062">
        <f>ROUND(M20*年期修正系数!F10/年期修正系数!F9,0)</f>
        <v>1531</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3" sqref="B13"/>
    </sheetView>
  </sheetViews>
  <sheetFormatPr defaultRowHeight="20.25" customHeight="1"/>
  <cols>
    <col min="1" max="1" width="14.25" style="3066" customWidth="1"/>
    <col min="2" max="2" width="18.75" style="3066" customWidth="1"/>
    <col min="3" max="5" width="14.25" style="3066" customWidth="1"/>
    <col min="6" max="6" width="11" style="3066" customWidth="1"/>
    <col min="7" max="7" width="9" style="3066"/>
    <col min="8" max="8" width="13.75" style="3066" customWidth="1"/>
    <col min="9" max="256" width="9" style="3066"/>
    <col min="257" max="257" width="14.25" style="3066" customWidth="1"/>
    <col min="258" max="258" width="18.75" style="3066" customWidth="1"/>
    <col min="259" max="261" width="14.25" style="3066" customWidth="1"/>
    <col min="262" max="262" width="11" style="3066" customWidth="1"/>
    <col min="263" max="263" width="9" style="3066"/>
    <col min="264" max="264" width="13.75" style="3066" customWidth="1"/>
    <col min="265" max="512" width="9" style="3066"/>
    <col min="513" max="513" width="14.25" style="3066" customWidth="1"/>
    <col min="514" max="514" width="18.75" style="3066" customWidth="1"/>
    <col min="515" max="517" width="14.25" style="3066" customWidth="1"/>
    <col min="518" max="518" width="11" style="3066" customWidth="1"/>
    <col min="519" max="519" width="9" style="3066"/>
    <col min="520" max="520" width="13.75" style="3066" customWidth="1"/>
    <col min="521" max="768" width="9" style="3066"/>
    <col min="769" max="769" width="14.25" style="3066" customWidth="1"/>
    <col min="770" max="770" width="18.75" style="3066" customWidth="1"/>
    <col min="771" max="773" width="14.25" style="3066" customWidth="1"/>
    <col min="774" max="774" width="11" style="3066" customWidth="1"/>
    <col min="775" max="775" width="9" style="3066"/>
    <col min="776" max="776" width="13.75" style="3066" customWidth="1"/>
    <col min="777" max="1024" width="9" style="3066"/>
    <col min="1025" max="1025" width="14.25" style="3066" customWidth="1"/>
    <col min="1026" max="1026" width="18.75" style="3066" customWidth="1"/>
    <col min="1027" max="1029" width="14.25" style="3066" customWidth="1"/>
    <col min="1030" max="1030" width="11" style="3066" customWidth="1"/>
    <col min="1031" max="1031" width="9" style="3066"/>
    <col min="1032" max="1032" width="13.75" style="3066" customWidth="1"/>
    <col min="1033" max="1280" width="9" style="3066"/>
    <col min="1281" max="1281" width="14.25" style="3066" customWidth="1"/>
    <col min="1282" max="1282" width="18.75" style="3066" customWidth="1"/>
    <col min="1283" max="1285" width="14.25" style="3066" customWidth="1"/>
    <col min="1286" max="1286" width="11" style="3066" customWidth="1"/>
    <col min="1287" max="1287" width="9" style="3066"/>
    <col min="1288" max="1288" width="13.75" style="3066" customWidth="1"/>
    <col min="1289" max="1536" width="9" style="3066"/>
    <col min="1537" max="1537" width="14.25" style="3066" customWidth="1"/>
    <col min="1538" max="1538" width="18.75" style="3066" customWidth="1"/>
    <col min="1539" max="1541" width="14.25" style="3066" customWidth="1"/>
    <col min="1542" max="1542" width="11" style="3066" customWidth="1"/>
    <col min="1543" max="1543" width="9" style="3066"/>
    <col min="1544" max="1544" width="13.75" style="3066" customWidth="1"/>
    <col min="1545" max="1792" width="9" style="3066"/>
    <col min="1793" max="1793" width="14.25" style="3066" customWidth="1"/>
    <col min="1794" max="1794" width="18.75" style="3066" customWidth="1"/>
    <col min="1795" max="1797" width="14.25" style="3066" customWidth="1"/>
    <col min="1798" max="1798" width="11" style="3066" customWidth="1"/>
    <col min="1799" max="1799" width="9" style="3066"/>
    <col min="1800" max="1800" width="13.75" style="3066" customWidth="1"/>
    <col min="1801" max="2048" width="9" style="3066"/>
    <col min="2049" max="2049" width="14.25" style="3066" customWidth="1"/>
    <col min="2050" max="2050" width="18.75" style="3066" customWidth="1"/>
    <col min="2051" max="2053" width="14.25" style="3066" customWidth="1"/>
    <col min="2054" max="2054" width="11" style="3066" customWidth="1"/>
    <col min="2055" max="2055" width="9" style="3066"/>
    <col min="2056" max="2056" width="13.75" style="3066" customWidth="1"/>
    <col min="2057" max="2304" width="9" style="3066"/>
    <col min="2305" max="2305" width="14.25" style="3066" customWidth="1"/>
    <col min="2306" max="2306" width="18.75" style="3066" customWidth="1"/>
    <col min="2307" max="2309" width="14.25" style="3066" customWidth="1"/>
    <col min="2310" max="2310" width="11" style="3066" customWidth="1"/>
    <col min="2311" max="2311" width="9" style="3066"/>
    <col min="2312" max="2312" width="13.75" style="3066" customWidth="1"/>
    <col min="2313" max="2560" width="9" style="3066"/>
    <col min="2561" max="2561" width="14.25" style="3066" customWidth="1"/>
    <col min="2562" max="2562" width="18.75" style="3066" customWidth="1"/>
    <col min="2563" max="2565" width="14.25" style="3066" customWidth="1"/>
    <col min="2566" max="2566" width="11" style="3066" customWidth="1"/>
    <col min="2567" max="2567" width="9" style="3066"/>
    <col min="2568" max="2568" width="13.75" style="3066" customWidth="1"/>
    <col min="2569" max="2816" width="9" style="3066"/>
    <col min="2817" max="2817" width="14.25" style="3066" customWidth="1"/>
    <col min="2818" max="2818" width="18.75" style="3066" customWidth="1"/>
    <col min="2819" max="2821" width="14.25" style="3066" customWidth="1"/>
    <col min="2822" max="2822" width="11" style="3066" customWidth="1"/>
    <col min="2823" max="2823" width="9" style="3066"/>
    <col min="2824" max="2824" width="13.75" style="3066" customWidth="1"/>
    <col min="2825" max="3072" width="9" style="3066"/>
    <col min="3073" max="3073" width="14.25" style="3066" customWidth="1"/>
    <col min="3074" max="3074" width="18.75" style="3066" customWidth="1"/>
    <col min="3075" max="3077" width="14.25" style="3066" customWidth="1"/>
    <col min="3078" max="3078" width="11" style="3066" customWidth="1"/>
    <col min="3079" max="3079" width="9" style="3066"/>
    <col min="3080" max="3080" width="13.75" style="3066" customWidth="1"/>
    <col min="3081" max="3328" width="9" style="3066"/>
    <col min="3329" max="3329" width="14.25" style="3066" customWidth="1"/>
    <col min="3330" max="3330" width="18.75" style="3066" customWidth="1"/>
    <col min="3331" max="3333" width="14.25" style="3066" customWidth="1"/>
    <col min="3334" max="3334" width="11" style="3066" customWidth="1"/>
    <col min="3335" max="3335" width="9" style="3066"/>
    <col min="3336" max="3336" width="13.75" style="3066" customWidth="1"/>
    <col min="3337" max="3584" width="9" style="3066"/>
    <col min="3585" max="3585" width="14.25" style="3066" customWidth="1"/>
    <col min="3586" max="3586" width="18.75" style="3066" customWidth="1"/>
    <col min="3587" max="3589" width="14.25" style="3066" customWidth="1"/>
    <col min="3590" max="3590" width="11" style="3066" customWidth="1"/>
    <col min="3591" max="3591" width="9" style="3066"/>
    <col min="3592" max="3592" width="13.75" style="3066" customWidth="1"/>
    <col min="3593" max="3840" width="9" style="3066"/>
    <col min="3841" max="3841" width="14.25" style="3066" customWidth="1"/>
    <col min="3842" max="3842" width="18.75" style="3066" customWidth="1"/>
    <col min="3843" max="3845" width="14.25" style="3066" customWidth="1"/>
    <col min="3846" max="3846" width="11" style="3066" customWidth="1"/>
    <col min="3847" max="3847" width="9" style="3066"/>
    <col min="3848" max="3848" width="13.75" style="3066" customWidth="1"/>
    <col min="3849" max="4096" width="9" style="3066"/>
    <col min="4097" max="4097" width="14.25" style="3066" customWidth="1"/>
    <col min="4098" max="4098" width="18.75" style="3066" customWidth="1"/>
    <col min="4099" max="4101" width="14.25" style="3066" customWidth="1"/>
    <col min="4102" max="4102" width="11" style="3066" customWidth="1"/>
    <col min="4103" max="4103" width="9" style="3066"/>
    <col min="4104" max="4104" width="13.75" style="3066" customWidth="1"/>
    <col min="4105" max="4352" width="9" style="3066"/>
    <col min="4353" max="4353" width="14.25" style="3066" customWidth="1"/>
    <col min="4354" max="4354" width="18.75" style="3066" customWidth="1"/>
    <col min="4355" max="4357" width="14.25" style="3066" customWidth="1"/>
    <col min="4358" max="4358" width="11" style="3066" customWidth="1"/>
    <col min="4359" max="4359" width="9" style="3066"/>
    <col min="4360" max="4360" width="13.75" style="3066" customWidth="1"/>
    <col min="4361" max="4608" width="9" style="3066"/>
    <col min="4609" max="4609" width="14.25" style="3066" customWidth="1"/>
    <col min="4610" max="4610" width="18.75" style="3066" customWidth="1"/>
    <col min="4611" max="4613" width="14.25" style="3066" customWidth="1"/>
    <col min="4614" max="4614" width="11" style="3066" customWidth="1"/>
    <col min="4615" max="4615" width="9" style="3066"/>
    <col min="4616" max="4616" width="13.75" style="3066" customWidth="1"/>
    <col min="4617" max="4864" width="9" style="3066"/>
    <col min="4865" max="4865" width="14.25" style="3066" customWidth="1"/>
    <col min="4866" max="4866" width="18.75" style="3066" customWidth="1"/>
    <col min="4867" max="4869" width="14.25" style="3066" customWidth="1"/>
    <col min="4870" max="4870" width="11" style="3066" customWidth="1"/>
    <col min="4871" max="4871" width="9" style="3066"/>
    <col min="4872" max="4872" width="13.75" style="3066" customWidth="1"/>
    <col min="4873" max="5120" width="9" style="3066"/>
    <col min="5121" max="5121" width="14.25" style="3066" customWidth="1"/>
    <col min="5122" max="5122" width="18.75" style="3066" customWidth="1"/>
    <col min="5123" max="5125" width="14.25" style="3066" customWidth="1"/>
    <col min="5126" max="5126" width="11" style="3066" customWidth="1"/>
    <col min="5127" max="5127" width="9" style="3066"/>
    <col min="5128" max="5128" width="13.75" style="3066" customWidth="1"/>
    <col min="5129" max="5376" width="9" style="3066"/>
    <col min="5377" max="5377" width="14.25" style="3066" customWidth="1"/>
    <col min="5378" max="5378" width="18.75" style="3066" customWidth="1"/>
    <col min="5379" max="5381" width="14.25" style="3066" customWidth="1"/>
    <col min="5382" max="5382" width="11" style="3066" customWidth="1"/>
    <col min="5383" max="5383" width="9" style="3066"/>
    <col min="5384" max="5384" width="13.75" style="3066" customWidth="1"/>
    <col min="5385" max="5632" width="9" style="3066"/>
    <col min="5633" max="5633" width="14.25" style="3066" customWidth="1"/>
    <col min="5634" max="5634" width="18.75" style="3066" customWidth="1"/>
    <col min="5635" max="5637" width="14.25" style="3066" customWidth="1"/>
    <col min="5638" max="5638" width="11" style="3066" customWidth="1"/>
    <col min="5639" max="5639" width="9" style="3066"/>
    <col min="5640" max="5640" width="13.75" style="3066" customWidth="1"/>
    <col min="5641" max="5888" width="9" style="3066"/>
    <col min="5889" max="5889" width="14.25" style="3066" customWidth="1"/>
    <col min="5890" max="5890" width="18.75" style="3066" customWidth="1"/>
    <col min="5891" max="5893" width="14.25" style="3066" customWidth="1"/>
    <col min="5894" max="5894" width="11" style="3066" customWidth="1"/>
    <col min="5895" max="5895" width="9" style="3066"/>
    <col min="5896" max="5896" width="13.75" style="3066" customWidth="1"/>
    <col min="5897" max="6144" width="9" style="3066"/>
    <col min="6145" max="6145" width="14.25" style="3066" customWidth="1"/>
    <col min="6146" max="6146" width="18.75" style="3066" customWidth="1"/>
    <col min="6147" max="6149" width="14.25" style="3066" customWidth="1"/>
    <col min="6150" max="6150" width="11" style="3066" customWidth="1"/>
    <col min="6151" max="6151" width="9" style="3066"/>
    <col min="6152" max="6152" width="13.75" style="3066" customWidth="1"/>
    <col min="6153" max="6400" width="9" style="3066"/>
    <col min="6401" max="6401" width="14.25" style="3066" customWidth="1"/>
    <col min="6402" max="6402" width="18.75" style="3066" customWidth="1"/>
    <col min="6403" max="6405" width="14.25" style="3066" customWidth="1"/>
    <col min="6406" max="6406" width="11" style="3066" customWidth="1"/>
    <col min="6407" max="6407" width="9" style="3066"/>
    <col min="6408" max="6408" width="13.75" style="3066" customWidth="1"/>
    <col min="6409" max="6656" width="9" style="3066"/>
    <col min="6657" max="6657" width="14.25" style="3066" customWidth="1"/>
    <col min="6658" max="6658" width="18.75" style="3066" customWidth="1"/>
    <col min="6659" max="6661" width="14.25" style="3066" customWidth="1"/>
    <col min="6662" max="6662" width="11" style="3066" customWidth="1"/>
    <col min="6663" max="6663" width="9" style="3066"/>
    <col min="6664" max="6664" width="13.75" style="3066" customWidth="1"/>
    <col min="6665" max="6912" width="9" style="3066"/>
    <col min="6913" max="6913" width="14.25" style="3066" customWidth="1"/>
    <col min="6914" max="6914" width="18.75" style="3066" customWidth="1"/>
    <col min="6915" max="6917" width="14.25" style="3066" customWidth="1"/>
    <col min="6918" max="6918" width="11" style="3066" customWidth="1"/>
    <col min="6919" max="6919" width="9" style="3066"/>
    <col min="6920" max="6920" width="13.75" style="3066" customWidth="1"/>
    <col min="6921" max="7168" width="9" style="3066"/>
    <col min="7169" max="7169" width="14.25" style="3066" customWidth="1"/>
    <col min="7170" max="7170" width="18.75" style="3066" customWidth="1"/>
    <col min="7171" max="7173" width="14.25" style="3066" customWidth="1"/>
    <col min="7174" max="7174" width="11" style="3066" customWidth="1"/>
    <col min="7175" max="7175" width="9" style="3066"/>
    <col min="7176" max="7176" width="13.75" style="3066" customWidth="1"/>
    <col min="7177" max="7424" width="9" style="3066"/>
    <col min="7425" max="7425" width="14.25" style="3066" customWidth="1"/>
    <col min="7426" max="7426" width="18.75" style="3066" customWidth="1"/>
    <col min="7427" max="7429" width="14.25" style="3066" customWidth="1"/>
    <col min="7430" max="7430" width="11" style="3066" customWidth="1"/>
    <col min="7431" max="7431" width="9" style="3066"/>
    <col min="7432" max="7432" width="13.75" style="3066" customWidth="1"/>
    <col min="7433" max="7680" width="9" style="3066"/>
    <col min="7681" max="7681" width="14.25" style="3066" customWidth="1"/>
    <col min="7682" max="7682" width="18.75" style="3066" customWidth="1"/>
    <col min="7683" max="7685" width="14.25" style="3066" customWidth="1"/>
    <col min="7686" max="7686" width="11" style="3066" customWidth="1"/>
    <col min="7687" max="7687" width="9" style="3066"/>
    <col min="7688" max="7688" width="13.75" style="3066" customWidth="1"/>
    <col min="7689" max="7936" width="9" style="3066"/>
    <col min="7937" max="7937" width="14.25" style="3066" customWidth="1"/>
    <col min="7938" max="7938" width="18.75" style="3066" customWidth="1"/>
    <col min="7939" max="7941" width="14.25" style="3066" customWidth="1"/>
    <col min="7942" max="7942" width="11" style="3066" customWidth="1"/>
    <col min="7943" max="7943" width="9" style="3066"/>
    <col min="7944" max="7944" width="13.75" style="3066" customWidth="1"/>
    <col min="7945" max="8192" width="9" style="3066"/>
    <col min="8193" max="8193" width="14.25" style="3066" customWidth="1"/>
    <col min="8194" max="8194" width="18.75" style="3066" customWidth="1"/>
    <col min="8195" max="8197" width="14.25" style="3066" customWidth="1"/>
    <col min="8198" max="8198" width="11" style="3066" customWidth="1"/>
    <col min="8199" max="8199" width="9" style="3066"/>
    <col min="8200" max="8200" width="13.75" style="3066" customWidth="1"/>
    <col min="8201" max="8448" width="9" style="3066"/>
    <col min="8449" max="8449" width="14.25" style="3066" customWidth="1"/>
    <col min="8450" max="8450" width="18.75" style="3066" customWidth="1"/>
    <col min="8451" max="8453" width="14.25" style="3066" customWidth="1"/>
    <col min="8454" max="8454" width="11" style="3066" customWidth="1"/>
    <col min="8455" max="8455" width="9" style="3066"/>
    <col min="8456" max="8456" width="13.75" style="3066" customWidth="1"/>
    <col min="8457" max="8704" width="9" style="3066"/>
    <col min="8705" max="8705" width="14.25" style="3066" customWidth="1"/>
    <col min="8706" max="8706" width="18.75" style="3066" customWidth="1"/>
    <col min="8707" max="8709" width="14.25" style="3066" customWidth="1"/>
    <col min="8710" max="8710" width="11" style="3066" customWidth="1"/>
    <col min="8711" max="8711" width="9" style="3066"/>
    <col min="8712" max="8712" width="13.75" style="3066" customWidth="1"/>
    <col min="8713" max="8960" width="9" style="3066"/>
    <col min="8961" max="8961" width="14.25" style="3066" customWidth="1"/>
    <col min="8962" max="8962" width="18.75" style="3066" customWidth="1"/>
    <col min="8963" max="8965" width="14.25" style="3066" customWidth="1"/>
    <col min="8966" max="8966" width="11" style="3066" customWidth="1"/>
    <col min="8967" max="8967" width="9" style="3066"/>
    <col min="8968" max="8968" width="13.75" style="3066" customWidth="1"/>
    <col min="8969" max="9216" width="9" style="3066"/>
    <col min="9217" max="9217" width="14.25" style="3066" customWidth="1"/>
    <col min="9218" max="9218" width="18.75" style="3066" customWidth="1"/>
    <col min="9219" max="9221" width="14.25" style="3066" customWidth="1"/>
    <col min="9222" max="9222" width="11" style="3066" customWidth="1"/>
    <col min="9223" max="9223" width="9" style="3066"/>
    <col min="9224" max="9224" width="13.75" style="3066" customWidth="1"/>
    <col min="9225" max="9472" width="9" style="3066"/>
    <col min="9473" max="9473" width="14.25" style="3066" customWidth="1"/>
    <col min="9474" max="9474" width="18.75" style="3066" customWidth="1"/>
    <col min="9475" max="9477" width="14.25" style="3066" customWidth="1"/>
    <col min="9478" max="9478" width="11" style="3066" customWidth="1"/>
    <col min="9479" max="9479" width="9" style="3066"/>
    <col min="9480" max="9480" width="13.75" style="3066" customWidth="1"/>
    <col min="9481" max="9728" width="9" style="3066"/>
    <col min="9729" max="9729" width="14.25" style="3066" customWidth="1"/>
    <col min="9730" max="9730" width="18.75" style="3066" customWidth="1"/>
    <col min="9731" max="9733" width="14.25" style="3066" customWidth="1"/>
    <col min="9734" max="9734" width="11" style="3066" customWidth="1"/>
    <col min="9735" max="9735" width="9" style="3066"/>
    <col min="9736" max="9736" width="13.75" style="3066" customWidth="1"/>
    <col min="9737" max="9984" width="9" style="3066"/>
    <col min="9985" max="9985" width="14.25" style="3066" customWidth="1"/>
    <col min="9986" max="9986" width="18.75" style="3066" customWidth="1"/>
    <col min="9987" max="9989" width="14.25" style="3066" customWidth="1"/>
    <col min="9990" max="9990" width="11" style="3066" customWidth="1"/>
    <col min="9991" max="9991" width="9" style="3066"/>
    <col min="9992" max="9992" width="13.75" style="3066" customWidth="1"/>
    <col min="9993" max="10240" width="9" style="3066"/>
    <col min="10241" max="10241" width="14.25" style="3066" customWidth="1"/>
    <col min="10242" max="10242" width="18.75" style="3066" customWidth="1"/>
    <col min="10243" max="10245" width="14.25" style="3066" customWidth="1"/>
    <col min="10246" max="10246" width="11" style="3066" customWidth="1"/>
    <col min="10247" max="10247" width="9" style="3066"/>
    <col min="10248" max="10248" width="13.75" style="3066" customWidth="1"/>
    <col min="10249" max="10496" width="9" style="3066"/>
    <col min="10497" max="10497" width="14.25" style="3066" customWidth="1"/>
    <col min="10498" max="10498" width="18.75" style="3066" customWidth="1"/>
    <col min="10499" max="10501" width="14.25" style="3066" customWidth="1"/>
    <col min="10502" max="10502" width="11" style="3066" customWidth="1"/>
    <col min="10503" max="10503" width="9" style="3066"/>
    <col min="10504" max="10504" width="13.75" style="3066" customWidth="1"/>
    <col min="10505" max="10752" width="9" style="3066"/>
    <col min="10753" max="10753" width="14.25" style="3066" customWidth="1"/>
    <col min="10754" max="10754" width="18.75" style="3066" customWidth="1"/>
    <col min="10755" max="10757" width="14.25" style="3066" customWidth="1"/>
    <col min="10758" max="10758" width="11" style="3066" customWidth="1"/>
    <col min="10759" max="10759" width="9" style="3066"/>
    <col min="10760" max="10760" width="13.75" style="3066" customWidth="1"/>
    <col min="10761" max="11008" width="9" style="3066"/>
    <col min="11009" max="11009" width="14.25" style="3066" customWidth="1"/>
    <col min="11010" max="11010" width="18.75" style="3066" customWidth="1"/>
    <col min="11011" max="11013" width="14.25" style="3066" customWidth="1"/>
    <col min="11014" max="11014" width="11" style="3066" customWidth="1"/>
    <col min="11015" max="11015" width="9" style="3066"/>
    <col min="11016" max="11016" width="13.75" style="3066" customWidth="1"/>
    <col min="11017" max="11264" width="9" style="3066"/>
    <col min="11265" max="11265" width="14.25" style="3066" customWidth="1"/>
    <col min="11266" max="11266" width="18.75" style="3066" customWidth="1"/>
    <col min="11267" max="11269" width="14.25" style="3066" customWidth="1"/>
    <col min="11270" max="11270" width="11" style="3066" customWidth="1"/>
    <col min="11271" max="11271" width="9" style="3066"/>
    <col min="11272" max="11272" width="13.75" style="3066" customWidth="1"/>
    <col min="11273" max="11520" width="9" style="3066"/>
    <col min="11521" max="11521" width="14.25" style="3066" customWidth="1"/>
    <col min="11522" max="11522" width="18.75" style="3066" customWidth="1"/>
    <col min="11523" max="11525" width="14.25" style="3066" customWidth="1"/>
    <col min="11526" max="11526" width="11" style="3066" customWidth="1"/>
    <col min="11527" max="11527" width="9" style="3066"/>
    <col min="11528" max="11528" width="13.75" style="3066" customWidth="1"/>
    <col min="11529" max="11776" width="9" style="3066"/>
    <col min="11777" max="11777" width="14.25" style="3066" customWidth="1"/>
    <col min="11778" max="11778" width="18.75" style="3066" customWidth="1"/>
    <col min="11779" max="11781" width="14.25" style="3066" customWidth="1"/>
    <col min="11782" max="11782" width="11" style="3066" customWidth="1"/>
    <col min="11783" max="11783" width="9" style="3066"/>
    <col min="11784" max="11784" width="13.75" style="3066" customWidth="1"/>
    <col min="11785" max="12032" width="9" style="3066"/>
    <col min="12033" max="12033" width="14.25" style="3066" customWidth="1"/>
    <col min="12034" max="12034" width="18.75" style="3066" customWidth="1"/>
    <col min="12035" max="12037" width="14.25" style="3066" customWidth="1"/>
    <col min="12038" max="12038" width="11" style="3066" customWidth="1"/>
    <col min="12039" max="12039" width="9" style="3066"/>
    <col min="12040" max="12040" width="13.75" style="3066" customWidth="1"/>
    <col min="12041" max="12288" width="9" style="3066"/>
    <col min="12289" max="12289" width="14.25" style="3066" customWidth="1"/>
    <col min="12290" max="12290" width="18.75" style="3066" customWidth="1"/>
    <col min="12291" max="12293" width="14.25" style="3066" customWidth="1"/>
    <col min="12294" max="12294" width="11" style="3066" customWidth="1"/>
    <col min="12295" max="12295" width="9" style="3066"/>
    <col min="12296" max="12296" width="13.75" style="3066" customWidth="1"/>
    <col min="12297" max="12544" width="9" style="3066"/>
    <col min="12545" max="12545" width="14.25" style="3066" customWidth="1"/>
    <col min="12546" max="12546" width="18.75" style="3066" customWidth="1"/>
    <col min="12547" max="12549" width="14.25" style="3066" customWidth="1"/>
    <col min="12550" max="12550" width="11" style="3066" customWidth="1"/>
    <col min="12551" max="12551" width="9" style="3066"/>
    <col min="12552" max="12552" width="13.75" style="3066" customWidth="1"/>
    <col min="12553" max="12800" width="9" style="3066"/>
    <col min="12801" max="12801" width="14.25" style="3066" customWidth="1"/>
    <col min="12802" max="12802" width="18.75" style="3066" customWidth="1"/>
    <col min="12803" max="12805" width="14.25" style="3066" customWidth="1"/>
    <col min="12806" max="12806" width="11" style="3066" customWidth="1"/>
    <col min="12807" max="12807" width="9" style="3066"/>
    <col min="12808" max="12808" width="13.75" style="3066" customWidth="1"/>
    <col min="12809" max="13056" width="9" style="3066"/>
    <col min="13057" max="13057" width="14.25" style="3066" customWidth="1"/>
    <col min="13058" max="13058" width="18.75" style="3066" customWidth="1"/>
    <col min="13059" max="13061" width="14.25" style="3066" customWidth="1"/>
    <col min="13062" max="13062" width="11" style="3066" customWidth="1"/>
    <col min="13063" max="13063" width="9" style="3066"/>
    <col min="13064" max="13064" width="13.75" style="3066" customWidth="1"/>
    <col min="13065" max="13312" width="9" style="3066"/>
    <col min="13313" max="13313" width="14.25" style="3066" customWidth="1"/>
    <col min="13314" max="13314" width="18.75" style="3066" customWidth="1"/>
    <col min="13315" max="13317" width="14.25" style="3066" customWidth="1"/>
    <col min="13318" max="13318" width="11" style="3066" customWidth="1"/>
    <col min="13319" max="13319" width="9" style="3066"/>
    <col min="13320" max="13320" width="13.75" style="3066" customWidth="1"/>
    <col min="13321" max="13568" width="9" style="3066"/>
    <col min="13569" max="13569" width="14.25" style="3066" customWidth="1"/>
    <col min="13570" max="13570" width="18.75" style="3066" customWidth="1"/>
    <col min="13571" max="13573" width="14.25" style="3066" customWidth="1"/>
    <col min="13574" max="13574" width="11" style="3066" customWidth="1"/>
    <col min="13575" max="13575" width="9" style="3066"/>
    <col min="13576" max="13576" width="13.75" style="3066" customWidth="1"/>
    <col min="13577" max="13824" width="9" style="3066"/>
    <col min="13825" max="13825" width="14.25" style="3066" customWidth="1"/>
    <col min="13826" max="13826" width="18.75" style="3066" customWidth="1"/>
    <col min="13827" max="13829" width="14.25" style="3066" customWidth="1"/>
    <col min="13830" max="13830" width="11" style="3066" customWidth="1"/>
    <col min="13831" max="13831" width="9" style="3066"/>
    <col min="13832" max="13832" width="13.75" style="3066" customWidth="1"/>
    <col min="13833" max="14080" width="9" style="3066"/>
    <col min="14081" max="14081" width="14.25" style="3066" customWidth="1"/>
    <col min="14082" max="14082" width="18.75" style="3066" customWidth="1"/>
    <col min="14083" max="14085" width="14.25" style="3066" customWidth="1"/>
    <col min="14086" max="14086" width="11" style="3066" customWidth="1"/>
    <col min="14087" max="14087" width="9" style="3066"/>
    <col min="14088" max="14088" width="13.75" style="3066" customWidth="1"/>
    <col min="14089" max="14336" width="9" style="3066"/>
    <col min="14337" max="14337" width="14.25" style="3066" customWidth="1"/>
    <col min="14338" max="14338" width="18.75" style="3066" customWidth="1"/>
    <col min="14339" max="14341" width="14.25" style="3066" customWidth="1"/>
    <col min="14342" max="14342" width="11" style="3066" customWidth="1"/>
    <col min="14343" max="14343" width="9" style="3066"/>
    <col min="14344" max="14344" width="13.75" style="3066" customWidth="1"/>
    <col min="14345" max="14592" width="9" style="3066"/>
    <col min="14593" max="14593" width="14.25" style="3066" customWidth="1"/>
    <col min="14594" max="14594" width="18.75" style="3066" customWidth="1"/>
    <col min="14595" max="14597" width="14.25" style="3066" customWidth="1"/>
    <col min="14598" max="14598" width="11" style="3066" customWidth="1"/>
    <col min="14599" max="14599" width="9" style="3066"/>
    <col min="14600" max="14600" width="13.75" style="3066" customWidth="1"/>
    <col min="14601" max="14848" width="9" style="3066"/>
    <col min="14849" max="14849" width="14.25" style="3066" customWidth="1"/>
    <col min="14850" max="14850" width="18.75" style="3066" customWidth="1"/>
    <col min="14851" max="14853" width="14.25" style="3066" customWidth="1"/>
    <col min="14854" max="14854" width="11" style="3066" customWidth="1"/>
    <col min="14855" max="14855" width="9" style="3066"/>
    <col min="14856" max="14856" width="13.75" style="3066" customWidth="1"/>
    <col min="14857" max="15104" width="9" style="3066"/>
    <col min="15105" max="15105" width="14.25" style="3066" customWidth="1"/>
    <col min="15106" max="15106" width="18.75" style="3066" customWidth="1"/>
    <col min="15107" max="15109" width="14.25" style="3066" customWidth="1"/>
    <col min="15110" max="15110" width="11" style="3066" customWidth="1"/>
    <col min="15111" max="15111" width="9" style="3066"/>
    <col min="15112" max="15112" width="13.75" style="3066" customWidth="1"/>
    <col min="15113" max="15360" width="9" style="3066"/>
    <col min="15361" max="15361" width="14.25" style="3066" customWidth="1"/>
    <col min="15362" max="15362" width="18.75" style="3066" customWidth="1"/>
    <col min="15363" max="15365" width="14.25" style="3066" customWidth="1"/>
    <col min="15366" max="15366" width="11" style="3066" customWidth="1"/>
    <col min="15367" max="15367" width="9" style="3066"/>
    <col min="15368" max="15368" width="13.75" style="3066" customWidth="1"/>
    <col min="15369" max="15616" width="9" style="3066"/>
    <col min="15617" max="15617" width="14.25" style="3066" customWidth="1"/>
    <col min="15618" max="15618" width="18.75" style="3066" customWidth="1"/>
    <col min="15619" max="15621" width="14.25" style="3066" customWidth="1"/>
    <col min="15622" max="15622" width="11" style="3066" customWidth="1"/>
    <col min="15623" max="15623" width="9" style="3066"/>
    <col min="15624" max="15624" width="13.75" style="3066" customWidth="1"/>
    <col min="15625" max="15872" width="9" style="3066"/>
    <col min="15873" max="15873" width="14.25" style="3066" customWidth="1"/>
    <col min="15874" max="15874" width="18.75" style="3066" customWidth="1"/>
    <col min="15875" max="15877" width="14.25" style="3066" customWidth="1"/>
    <col min="15878" max="15878" width="11" style="3066" customWidth="1"/>
    <col min="15879" max="15879" width="9" style="3066"/>
    <col min="15880" max="15880" width="13.75" style="3066" customWidth="1"/>
    <col min="15881" max="16128" width="9" style="3066"/>
    <col min="16129" max="16129" width="14.25" style="3066" customWidth="1"/>
    <col min="16130" max="16130" width="18.75" style="3066" customWidth="1"/>
    <col min="16131" max="16133" width="14.25" style="3066" customWidth="1"/>
    <col min="16134" max="16134" width="11" style="3066" customWidth="1"/>
    <col min="16135" max="16135" width="9" style="3066"/>
    <col min="16136" max="16136" width="13.75" style="3066" customWidth="1"/>
    <col min="16137" max="16384" width="9" style="3066"/>
  </cols>
  <sheetData>
    <row r="1" spans="1:6" ht="20.25" customHeight="1" thickBot="1">
      <c r="A1" s="3064" t="s">
        <v>3212</v>
      </c>
      <c r="B1" s="3065">
        <f>项目基本情况!D3</f>
        <v>44074</v>
      </c>
    </row>
    <row r="2" spans="1:6" ht="33" customHeight="1">
      <c r="A2" s="3067" t="s">
        <v>3213</v>
      </c>
      <c r="B2" s="3068" t="s">
        <v>3214</v>
      </c>
      <c r="C2" s="3069" t="s">
        <v>3215</v>
      </c>
      <c r="D2" s="3068" t="s">
        <v>3216</v>
      </c>
      <c r="E2" s="3070" t="s">
        <v>3217</v>
      </c>
    </row>
    <row r="3" spans="1:6" ht="20.25" customHeight="1">
      <c r="A3" s="3071">
        <v>40</v>
      </c>
      <c r="B3" s="3072"/>
      <c r="C3" s="68">
        <f>ROUNDDOWN(MIN((B3-$B$1)/365,A3),2)</f>
        <v>-120.75</v>
      </c>
      <c r="D3" s="69">
        <f>IF(ISERROR(ROUND(POWER(1+E3,A3-C3)*(POWER(1+E3,C3)-1)/(POWER(1+E3,A3)-1),3)),0,ROUND(POWER(1+E3,A3-C3)*(POWER(1+E3,C3)-1)/(POWER(1+E3,A3)-1),3))</f>
        <v>0</v>
      </c>
      <c r="E3" s="3073"/>
    </row>
    <row r="4" spans="1:6" ht="20.25" customHeight="1">
      <c r="A4" s="3071">
        <v>50</v>
      </c>
      <c r="B4" s="3104">
        <f>项目基本情况!I13</f>
        <v>60573</v>
      </c>
      <c r="C4" s="68">
        <f>ROUNDDOWN(MIN((B4-$B$1)/365,A4),2)</f>
        <v>45.2</v>
      </c>
      <c r="D4" s="69">
        <f>IF(ISERROR(ROUND(POWER(1+E4,A4-C4)*(POWER(1+E4,C4)-1)/(POWER(1+E4,A4)-1),3)),0,ROUND(POWER(1+E4,A4-C4)*(POWER(1+E4,C4)-1)/(POWER(1+E4,A4)-1),3))</f>
        <v>0.97099999999999997</v>
      </c>
      <c r="E4" s="3073">
        <v>4.4999999999999998E-2</v>
      </c>
    </row>
    <row r="5" spans="1:6" ht="20.25" customHeight="1" thickBot="1">
      <c r="A5" s="3074">
        <v>70</v>
      </c>
      <c r="B5" s="3075"/>
      <c r="C5" s="3076">
        <f>ROUNDDOWN(MIN((B5-$B$1)/365,A5),2)</f>
        <v>-120.75</v>
      </c>
      <c r="D5" s="3077">
        <f>IF(ISERROR(ROUND(POWER(1+E5,A5-C5)*(POWER(1+E5,C5)-1)/(POWER(1+E5,A5)-1),3)),0,ROUND(POWER(1+E5,A5-C5)*(POWER(1+E5,C5)-1)/(POWER(1+E5,A5)-1),3))</f>
        <v>0</v>
      </c>
      <c r="E5" s="3078"/>
    </row>
    <row r="6" spans="1:6" ht="20.25" customHeight="1" thickBot="1"/>
    <row r="7" spans="1:6" s="3081" customFormat="1" ht="20.25" customHeight="1" thickBot="1">
      <c r="A7" s="3079" t="s">
        <v>3218</v>
      </c>
      <c r="B7" s="3080"/>
    </row>
    <row r="8" spans="1:6" ht="20.25" customHeight="1" thickBot="1">
      <c r="A8" s="3445" t="s">
        <v>3219</v>
      </c>
      <c r="B8" s="3446"/>
      <c r="C8" s="3082"/>
      <c r="D8" s="3083" t="s">
        <v>3217</v>
      </c>
      <c r="E8" s="3082"/>
      <c r="F8" s="3084" t="s">
        <v>3216</v>
      </c>
    </row>
    <row r="9" spans="1:6" ht="20.25" customHeight="1">
      <c r="A9" s="3085" t="s">
        <v>3220</v>
      </c>
      <c r="B9" s="3086">
        <v>20</v>
      </c>
      <c r="C9" s="3087" t="s">
        <v>3221</v>
      </c>
      <c r="D9" s="3088">
        <v>4.4999999999999998E-2</v>
      </c>
      <c r="E9" s="3087" t="s">
        <v>3222</v>
      </c>
      <c r="F9" s="3089">
        <f>1-(1/(POWER(1+D9,B9)))</f>
        <v>0.58535714031541541</v>
      </c>
    </row>
    <row r="10" spans="1:6" ht="20.25" customHeight="1" thickBot="1">
      <c r="A10" s="3090" t="s">
        <v>3223</v>
      </c>
      <c r="B10" s="3091">
        <v>50</v>
      </c>
      <c r="C10" s="3092" t="s">
        <v>3224</v>
      </c>
      <c r="D10" s="3093">
        <v>4.4999999999999998E-2</v>
      </c>
      <c r="E10" s="3092" t="s">
        <v>3225</v>
      </c>
      <c r="F10" s="3094">
        <f>1-(1/(POWER(1+D10,B10)))</f>
        <v>0.88929035003434787</v>
      </c>
    </row>
    <row r="11" spans="1:6" ht="20.25" customHeight="1" thickBot="1">
      <c r="A11" s="3095" t="s">
        <v>3226</v>
      </c>
      <c r="B11" s="3096"/>
      <c r="C11" s="3096"/>
      <c r="D11" s="3096"/>
      <c r="E11" s="3096"/>
      <c r="F11" s="3096"/>
    </row>
    <row r="12" spans="1:6" ht="20.25" customHeight="1">
      <c r="A12" s="3085" t="s">
        <v>3227</v>
      </c>
      <c r="B12" s="3097">
        <f>Sheet1!M18</f>
        <v>726</v>
      </c>
      <c r="E12" s="3098"/>
      <c r="F12" s="3098"/>
    </row>
    <row r="13" spans="1:6" ht="20.25" customHeight="1" thickBot="1">
      <c r="A13" s="3090" t="s">
        <v>3228</v>
      </c>
      <c r="B13" s="3099">
        <f>ROUND(B12*F10/F9,2)</f>
        <v>1102.96</v>
      </c>
      <c r="C13" s="3100">
        <f>ROUND(F10/F9,4)</f>
        <v>1.5192000000000001</v>
      </c>
      <c r="E13" s="3098"/>
      <c r="F13" s="3098"/>
    </row>
    <row r="14" spans="1:6" ht="20.25" customHeight="1" thickBot="1">
      <c r="A14" s="3095" t="s">
        <v>3229</v>
      </c>
      <c r="B14" s="3101"/>
      <c r="C14" s="3098"/>
    </row>
    <row r="15" spans="1:6" ht="20.25" customHeight="1">
      <c r="A15" s="3087" t="s">
        <v>3230</v>
      </c>
      <c r="B15" s="3102">
        <v>4810</v>
      </c>
      <c r="C15" s="3098"/>
    </row>
    <row r="16" spans="1:6" ht="20.25" customHeight="1" thickBot="1">
      <c r="A16" s="3092" t="s">
        <v>3231</v>
      </c>
      <c r="B16" s="3103">
        <f>ROUND(B15*F9/F10,2)</f>
        <v>3166.08</v>
      </c>
      <c r="C16" s="3100">
        <f>ROUND(F9/F10,4)</f>
        <v>0.65820000000000001</v>
      </c>
    </row>
    <row r="17" spans="3:3" ht="20.25" customHeight="1">
      <c r="C17" s="3098"/>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在建建筑物价值</v>
      </c>
      <c r="G2" s="3127"/>
      <c r="H2" s="3127" t="str">
        <f>IF(项目基本情况!B9="房地产市场价值","房地产市场价值","房地产价值")</f>
        <v>房地产价值</v>
      </c>
      <c r="I2" s="3127"/>
    </row>
    <row r="3" spans="1:9" ht="15">
      <c r="A3" s="3121"/>
      <c r="B3" s="3121"/>
      <c r="C3" s="3121"/>
      <c r="D3" s="963" t="s">
        <v>1603</v>
      </c>
      <c r="E3" s="963" t="s">
        <v>1609</v>
      </c>
      <c r="F3" s="963" t="s">
        <v>1603</v>
      </c>
      <c r="G3" s="963" t="s">
        <v>1604</v>
      </c>
      <c r="H3" s="963" t="s">
        <v>1603</v>
      </c>
      <c r="I3" s="963" t="s">
        <v>1604</v>
      </c>
    </row>
    <row r="4" spans="1:9" ht="15">
      <c r="A4" s="1692" t="str">
        <f>项目基本情况!S2</f>
        <v>北京市房地产</v>
      </c>
      <c r="B4" s="963">
        <f>项目基本情况!C17</f>
        <v>177117.85000000003</v>
      </c>
      <c r="C4" s="963">
        <f>项目基本情况!C18</f>
        <v>101087.14</v>
      </c>
      <c r="D4" s="963">
        <f ca="1">结果表!D118</f>
        <v>28185</v>
      </c>
      <c r="E4" s="963">
        <f ca="1">结果表!E118</f>
        <v>1591</v>
      </c>
      <c r="F4" s="963">
        <f ca="1">结果表!F118</f>
        <v>63623</v>
      </c>
      <c r="G4" s="963">
        <f ca="1">结果表!G118</f>
        <v>3592</v>
      </c>
      <c r="H4" s="963">
        <f ca="1">结果表!H118</f>
        <v>91808</v>
      </c>
      <c r="I4" s="963">
        <f ca="1">结果表!I118</f>
        <v>5183</v>
      </c>
    </row>
    <row r="5" spans="1:9" ht="30" customHeight="1">
      <c r="A5" s="3121" t="s">
        <v>1605</v>
      </c>
      <c r="B5" s="3121"/>
      <c r="C5" s="3121"/>
      <c r="D5" s="3122" t="str">
        <f ca="1">结果表!D119</f>
        <v>贰亿捌仟壹佰捌拾伍万元整</v>
      </c>
      <c r="E5" s="3122"/>
      <c r="F5" s="3122" t="str">
        <f ca="1">结果表!F119</f>
        <v>陆亿叁仟陆佰贰拾叁万元整</v>
      </c>
      <c r="G5" s="3122"/>
      <c r="H5" s="3122" t="str">
        <f ca="1">结果表!H119</f>
        <v>玖亿壹仟捌佰零捌万元整</v>
      </c>
      <c r="I5" s="3122"/>
    </row>
    <row r="6" spans="1:9" ht="15.75">
      <c r="A6" s="3120" t="str">
        <f>结果表!A120</f>
        <v>估价师知悉的法定优先受偿款</v>
      </c>
      <c r="B6" s="3120"/>
      <c r="C6" s="3120"/>
      <c r="D6" s="3120">
        <f>结果表!D120</f>
        <v>0</v>
      </c>
      <c r="E6" s="3120"/>
      <c r="F6" s="3120"/>
      <c r="G6" s="3120"/>
      <c r="H6" s="3120"/>
      <c r="I6" s="3120"/>
    </row>
    <row r="7" spans="1:9" ht="15">
      <c r="A7" s="3121" t="s">
        <v>1605</v>
      </c>
      <c r="B7" s="3121"/>
      <c r="C7" s="3121"/>
      <c r="D7" s="3123" t="str">
        <f>结果表!D121</f>
        <v>零元整</v>
      </c>
      <c r="E7" s="3124"/>
      <c r="F7" s="3124"/>
      <c r="G7" s="3124"/>
      <c r="H7" s="3124"/>
      <c r="I7" s="3125"/>
    </row>
    <row r="8" spans="1:9" ht="15.75">
      <c r="A8" s="3120" t="str">
        <f>结果表!A122</f>
        <v>房地产抵押价值</v>
      </c>
      <c r="B8" s="3120"/>
      <c r="C8" s="3120"/>
      <c r="D8" s="3120">
        <f ca="1">结果表!D122</f>
        <v>91808</v>
      </c>
      <c r="E8" s="3120"/>
      <c r="F8" s="3120"/>
      <c r="G8" s="3120"/>
      <c r="H8" s="3120"/>
      <c r="I8" s="3120"/>
    </row>
    <row r="9" spans="1:9" ht="15">
      <c r="A9" s="3121" t="s">
        <v>1605</v>
      </c>
      <c r="B9" s="3121"/>
      <c r="C9" s="3121"/>
      <c r="D9" s="3122" t="str">
        <f ca="1">结果表!D123</f>
        <v>玖亿壹仟捌佰零捌万元整</v>
      </c>
      <c r="E9" s="3122"/>
      <c r="F9" s="3122"/>
      <c r="G9" s="3122"/>
      <c r="H9" s="3122"/>
      <c r="I9" s="3122"/>
    </row>
    <row r="10" spans="1:9" ht="15.75">
      <c r="A10" s="3120" t="str">
        <f>结果表!A124</f>
        <v/>
      </c>
      <c r="B10" s="3120"/>
      <c r="C10" s="3120"/>
      <c r="D10" s="3120" t="str">
        <f>结果表!D124</f>
        <v>——</v>
      </c>
      <c r="E10" s="3120"/>
      <c r="F10" s="3120"/>
      <c r="G10" s="3120"/>
      <c r="H10" s="3120"/>
      <c r="I10" s="3120"/>
    </row>
    <row r="11" spans="1:9" ht="15">
      <c r="A11" s="3121" t="s">
        <v>1605</v>
      </c>
      <c r="B11" s="3121"/>
      <c r="C11" s="3121"/>
      <c r="D11" s="3122" t="e">
        <f>结果表!D125</f>
        <v>#VALUE!</v>
      </c>
      <c r="E11" s="3122"/>
      <c r="F11" s="3122"/>
      <c r="G11" s="3122"/>
      <c r="H11" s="3122"/>
      <c r="I11" s="3122"/>
    </row>
    <row r="12" spans="1:9" ht="15.75">
      <c r="A12" s="3120" t="str">
        <f>结果表!A126</f>
        <v/>
      </c>
      <c r="B12" s="3120"/>
      <c r="C12" s="3120"/>
      <c r="D12" s="3120" t="str">
        <f>结果表!D126</f>
        <v>——</v>
      </c>
      <c r="E12" s="3120"/>
      <c r="F12" s="3120"/>
      <c r="G12" s="3120"/>
      <c r="H12" s="3120"/>
      <c r="I12" s="3120"/>
    </row>
    <row r="13" spans="1:9" ht="15.75" thickBot="1">
      <c r="A13" s="3117" t="s">
        <v>1605</v>
      </c>
      <c r="B13" s="3117"/>
      <c r="C13" s="3117"/>
      <c r="D13" s="3118" t="e">
        <f>结果表!D127</f>
        <v>#VALUE!</v>
      </c>
      <c r="E13" s="3118"/>
      <c r="F13" s="3118"/>
      <c r="G13" s="3118"/>
      <c r="H13" s="3118"/>
      <c r="I13" s="3118"/>
    </row>
    <row r="14" spans="1:9" ht="15" thickTop="1">
      <c r="A14" s="3119" t="s">
        <v>1610</v>
      </c>
      <c r="B14" s="3119"/>
      <c r="C14" s="3119"/>
      <c r="D14" s="3119"/>
      <c r="E14" s="3119"/>
      <c r="F14" s="3119"/>
      <c r="G14" s="3119"/>
      <c r="H14" s="3119"/>
      <c r="I14" s="311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34" t="s">
        <v>1627</v>
      </c>
      <c r="B1" s="3134"/>
      <c r="C1" s="3134"/>
      <c r="D1" s="3134"/>
    </row>
    <row r="2" spans="1:4" ht="18">
      <c r="A2" s="3135" t="s">
        <v>1611</v>
      </c>
      <c r="B2" s="3135"/>
      <c r="C2" s="3135"/>
      <c r="D2" s="3135"/>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35" t="s">
        <v>1617</v>
      </c>
      <c r="B6" s="3135"/>
      <c r="C6" s="3135"/>
      <c r="D6" s="3135"/>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6" t="s">
        <v>1620</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1621</v>
      </c>
      <c r="B16" s="3130"/>
      <c r="C16" s="3130"/>
      <c r="D16" s="3130"/>
    </row>
    <row r="17" spans="1:4" ht="144" customHeight="1">
      <c r="A17" s="3130" t="s">
        <v>1622</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1"/>
      <c r="C21" s="3131"/>
      <c r="D21" s="3131"/>
    </row>
    <row r="22" spans="1:4" ht="18.75" customHeight="1">
      <c r="A22" s="3132" t="s">
        <v>1623</v>
      </c>
      <c r="B22" s="3132"/>
      <c r="C22" s="3132"/>
      <c r="D22" s="3132"/>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2" t="s">
        <v>1634</v>
      </c>
      <c r="B15" s="3137" t="s">
        <v>136</v>
      </c>
      <c r="C15" s="3138"/>
    </row>
    <row r="16" spans="1:7" ht="13.5">
      <c r="A16" s="3143"/>
      <c r="B16" s="3137" t="s">
        <v>69</v>
      </c>
      <c r="C16" s="3138"/>
    </row>
    <row r="17" spans="1:3" ht="13.5">
      <c r="A17" s="3143"/>
      <c r="B17" s="3140" t="s">
        <v>1635</v>
      </c>
      <c r="C17" s="1719" t="s">
        <v>1634</v>
      </c>
    </row>
    <row r="18" spans="1:3" ht="13.5">
      <c r="A18" s="3143"/>
      <c r="B18" s="3140"/>
      <c r="C18" s="1719" t="s">
        <v>1636</v>
      </c>
    </row>
    <row r="19" spans="1:3" ht="13.5">
      <c r="A19" s="3143"/>
      <c r="B19" s="3140"/>
      <c r="C19" s="1719" t="s">
        <v>1637</v>
      </c>
    </row>
    <row r="20" spans="1:3" ht="13.5">
      <c r="A20" s="3144"/>
      <c r="B20" s="3139" t="s">
        <v>1638</v>
      </c>
      <c r="C20" s="3138"/>
    </row>
    <row r="21" spans="1:3" ht="13.5">
      <c r="A21" s="1720" t="s">
        <v>1639</v>
      </c>
      <c r="B21" s="1721"/>
      <c r="C21" s="1722"/>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19" t="s">
        <v>1645</v>
      </c>
    </row>
    <row r="26" spans="1:3" ht="13.5">
      <c r="A26" s="3141"/>
      <c r="B26" s="3140"/>
      <c r="C26" s="1719" t="s">
        <v>1646</v>
      </c>
    </row>
    <row r="27" spans="1:3" ht="13.5">
      <c r="A27" s="3141"/>
      <c r="B27" s="3140"/>
      <c r="C27" s="1719" t="s">
        <v>1647</v>
      </c>
    </row>
    <row r="28" spans="1:3" ht="13.5">
      <c r="A28" s="3141"/>
      <c r="B28" s="3140"/>
      <c r="C28" s="1719" t="s">
        <v>1648</v>
      </c>
    </row>
    <row r="29" spans="1:3" ht="13.5">
      <c r="A29" s="3141"/>
      <c r="B29" s="3140"/>
      <c r="C29" s="1719" t="s">
        <v>1649</v>
      </c>
    </row>
    <row r="30" spans="1:3" ht="13.5">
      <c r="A30" s="3141"/>
      <c r="B30" s="3140"/>
      <c r="C30" s="1719" t="s">
        <v>1650</v>
      </c>
    </row>
    <row r="31" spans="1:3" ht="13.5">
      <c r="A31" s="3141"/>
      <c r="B31" s="3140"/>
      <c r="C31" s="1719" t="s">
        <v>1651</v>
      </c>
    </row>
    <row r="32" spans="1:3" ht="13.5">
      <c r="A32" s="3141"/>
      <c r="B32" s="3140"/>
      <c r="C32" s="1719" t="s">
        <v>1652</v>
      </c>
    </row>
    <row r="33" spans="1:3" ht="13.5">
      <c r="A33" s="3141"/>
      <c r="B33" s="314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44083</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45" t="s">
        <v>2902</v>
      </c>
      <c r="B17" s="3145"/>
      <c r="C17" s="3145"/>
      <c r="D17" s="3145"/>
      <c r="E17" s="3145"/>
      <c r="F17" s="3145"/>
      <c r="G17" s="3145"/>
      <c r="H17" s="3145"/>
    </row>
    <row r="18" spans="1:8" ht="24" customHeight="1">
      <c r="A18" s="3146" t="s">
        <v>2903</v>
      </c>
      <c r="B18" s="3146"/>
      <c r="C18" s="3146"/>
      <c r="D18" s="2568"/>
      <c r="E18" s="3147" t="s">
        <v>2904</v>
      </c>
      <c r="F18" s="3146"/>
      <c r="G18" s="3146"/>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2020-09-09T05:39:47Z</dcterms:modified>
</cp:coreProperties>
</file>