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丰台区集体用地\2021-1-0614丰仪路\"/>
    </mc:Choice>
  </mc:AlternateContent>
  <bookViews>
    <workbookView xWindow="0" yWindow="0" windowWidth="19755" windowHeight="9285"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基准地价修正" sheetId="43" state="hidden" r:id="rId20"/>
    <sheet name="成本法" sheetId="68" state="hidden" r:id="rId21"/>
    <sheet name="成本法 (元)" sheetId="69" state="hidden" r:id="rId22"/>
    <sheet name="假设开发法" sheetId="12" state="hidden" r:id="rId23"/>
    <sheet name="比较法-商业" sheetId="33" r:id="rId24"/>
    <sheet name="典型户型修正" sheetId="31" r:id="rId25"/>
    <sheet name="收益法（汇总）" sheetId="70" r:id="rId26"/>
    <sheet name="收益法-有租约" sheetId="80" r:id="rId27"/>
    <sheet name="收益法-商业" sheetId="81" state="hidden" r:id="rId28"/>
    <sheet name="收益法 (元)" sheetId="67" state="hidden" r:id="rId29"/>
    <sheet name="收益法-酒店" sheetId="15"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8（102）" sheetId="82" state="hidden" r:id="rId47"/>
    <sheet name="收益法-1（101）" sheetId="83" state="hidden" r:id="rId48"/>
    <sheet name="收益法-1（102）" sheetId="84" state="hidden" r:id="rId49"/>
    <sheet name="收益法-1（201）" sheetId="85" state="hidden" r:id="rId50"/>
    <sheet name="收益法-无租约" sheetId="88" r:id="rId51"/>
    <sheet name="面积指标" sheetId="77" r:id="rId52"/>
    <sheet name="土地案例" sheetId="78" state="hidden" r:id="rId53"/>
    <sheet name="租赁台账" sheetId="79" r:id="rId54"/>
    <sheet name="年期修正系数" sheetId="86" state="hidden" r:id="rId55"/>
    <sheet name="案例" sheetId="87" r:id="rId56"/>
  </sheets>
  <externalReferences>
    <externalReference r:id="rId57"/>
    <externalReference r:id="rId58"/>
    <externalReference r:id="rId59"/>
    <externalReference r:id="rId6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47">'收益法-1（101）'!$A$1:$F$43,'收益法-1（101）'!$H$3:$M$29,'收益法-1（101）'!$A$46:$F$71,'收益法-1（101）'!$I$46:$N$65</definedName>
    <definedName name="_xlnm.Print_Area" localSheetId="48">'收益法-1（102）'!$A$1:$F$43,'收益法-1（102）'!$H$3:$M$29,'收益法-1（102）'!$A$46:$F$71,'收益法-1（102）'!$I$46:$N$65</definedName>
    <definedName name="_xlnm.Print_Area" localSheetId="49">'收益法-1（201）'!$A$1:$F$43,'收益法-1（201）'!$H$3:$M$29,'收益法-1（201）'!$A$46:$F$71,'收益法-1（201）'!$I$46:$N$65</definedName>
    <definedName name="_xlnm.Print_Area" localSheetId="46">'收益法-8（102）'!$A$1:$F$43,'收益法-8（102）'!$H$3:$M$29,'收益法-8（102）'!$A$46:$F$71,'收益法-8（102）'!$I$46:$N$65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50">'收益法-无租约'!$A$1:$F$43,'收益法-无租约'!$H$3:$M$29,'收益法-无租约'!$A$46:$F$71,'收益法-无租约'!$I$46:$N$65</definedName>
    <definedName name="_xlnm.Print_Area" localSheetId="26">'收益法-有租约'!$A$1:$F$43,'收益法-有租约'!$H$3:$M$29,'收益法-有租约'!$A$46:$F$71,'收益法-有租约'!$I$46:$N$65</definedName>
    <definedName name="_xlnm.Print_Area" localSheetId="13">'数据-汇总表'!$A$1:$P$32</definedName>
    <definedName name="_xlnm.Print_Area" localSheetId="36">'土地比较法-工业'!$A$1:$K$61,'土地比较法-工业'!$A$64:$M$121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区片价!$I$1:$I$20</definedName>
    <definedName name="二级分类" localSheetId="54">[1]修正!$C$17:$C$39</definedName>
    <definedName name="二级分类">修正!$C$17:$C$39</definedName>
    <definedName name="法定最高年限" localSheetId="54">[2]定义!$F$2:$F$4</definedName>
    <definedName name="法定最高年限">定义!$G$1:$G$4</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基准地价修正!$Q$19:$AD$19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区片价!$P$1:$P$46</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区片价!$M$1:$M$49</definedName>
    <definedName name="内部装修维护情况" localSheetId="54">[1]定义!$U$1:$U$6</definedName>
    <definedName name="内部装修维护情况">定义!$U$1:$U$6</definedName>
    <definedName name="判定" localSheetId="54">[1]定义!$D$1:$D$4</definedName>
    <definedName name="判定">定义!$D$1:$D$4</definedName>
    <definedName name="七级">区片价!$N$1:$N$49</definedName>
    <definedName name="七通一平" localSheetId="54">[1]修正!$A$6:$A$14</definedName>
    <definedName name="七通一平">修正!$A$6:$A$14</definedName>
    <definedName name="区域土地利用方向" localSheetId="54">[1]定义!$P$1:$P$6</definedName>
    <definedName name="区域土地利用方向">定义!$P$1:$P$6</definedName>
    <definedName name="三级">区片价!$J$1:$J$21</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[1]修正!$C$59:$C$119</definedName>
    <definedName name="商业街名称">修正!$C$59:$C$119</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区片价!$K$1:$K$28</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工程地质条件">'[3]比较法-工业'!$B$116:$M$116</definedName>
    <definedName name="套工交易情况" localSheetId="54">'[1]土地比较法-住宅、综合'!$A$73:$M$73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'[1]土地比较法-住宅、综合'!$B$106:$M$106</definedName>
    <definedName name="套综道路等级">'土地比较法-住宅、综合'!$B$106:$M$106</definedName>
    <definedName name="套综工程地质条件" localSheetId="54">'[1]土地比较法-住宅、综合'!$B$125:$M$125</definedName>
    <definedName name="套综工程地质条件">'土地比较法-住宅、综合'!$B$125:$M$125</definedName>
    <definedName name="套综交易情况" localSheetId="54">'[1]土地比较法-住宅、综合'!$A$73:$M$73</definedName>
    <definedName name="套综交易情况">'土地比较法-住宅、综合'!$A$73:$M$73</definedName>
    <definedName name="套综临街宽度及深度" localSheetId="54">'[1]土地比较法-住宅、综合'!$B$121:$M$121</definedName>
    <definedName name="套综临街宽度及深度">'土地比较法-住宅、综合'!$B$121:$M$121</definedName>
    <definedName name="套综土地级别" localSheetId="54">'[1]土地比较法-住宅、综合'!$B$108:$M$108</definedName>
    <definedName name="套综土地级别">'土地比较法-住宅、综合'!$B$108:$M$108</definedName>
    <definedName name="套综用途" localSheetId="54">'[1]土地比较法-住宅、综合'!$B$75:$M$75</definedName>
    <definedName name="套综用途">'土地比较法-住宅、综合'!$B$75:$M$75</definedName>
    <definedName name="套综宗地内开发程度" localSheetId="54">'[1]土地比较法-住宅、综合'!$B$123:$M$123</definedName>
    <definedName name="套综宗地内开发程度">'土地比较法-住宅、综合'!$B$123:$M$123</definedName>
    <definedName name="套综宗地形状" localSheetId="54">'[1]土地比较法-住宅、综合'!$B$119:$M$119</definedName>
    <definedName name="套综宗地形状">'土地比较法-住宅、综合'!$B$119:$M$119</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 localSheetId="54">[1]定义!$I$1:$I$8</definedName>
    <definedName name="土地年限区间">定义!$I$1:$I$8</definedName>
    <definedName name="位置" localSheetId="54">[1]定义!$E$2:$E$4</definedName>
    <definedName name="位置">定义!$E$2:$E$4</definedName>
    <definedName name="五等判定" localSheetId="54">[1]定义!$W$1:$W$6</definedName>
    <definedName name="五等判定">定义!$W$1:$W$6</definedName>
    <definedName name="五级">区片价!$L$1:$L$35</definedName>
    <definedName name="项目类型" localSheetId="54">'[1]数据-汇总表'!$C$17:$C$26</definedName>
    <definedName name="项目类型">'数据-汇总表'!$C$17:$C$26</definedName>
    <definedName name="写字楼等级" localSheetId="54">'[1]比较法-办公'!$B$113:$M$113</definedName>
    <definedName name="写字楼等级">'比较法-办公'!$B$113:$M$113</definedName>
    <definedName name="一级">区片价!$H$1:$H$6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类型">[3]定义!$A$1:$A$50</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[1]定义!$F$1:$F$10</definedName>
    <definedName name="主用途">定义!$F$1:$F$10</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C36" i="9" l="1"/>
  <c r="N6" i="1" l="1"/>
  <c r="X29" i="31" l="1"/>
  <c r="AM7" i="1" l="1"/>
  <c r="AL7" i="1"/>
  <c r="AK7" i="1"/>
  <c r="W7" i="1"/>
  <c r="V7" i="1"/>
  <c r="AD6" i="1"/>
  <c r="Y22" i="1"/>
  <c r="Q7" i="1" l="1"/>
  <c r="N7" i="1"/>
  <c r="L7" i="1"/>
  <c r="J7" i="1"/>
  <c r="I7" i="1"/>
  <c r="H7" i="1"/>
  <c r="F20" i="6"/>
  <c r="F19" i="6"/>
  <c r="D119" i="33"/>
  <c r="E119" i="33" s="1"/>
  <c r="F119" i="33" s="1"/>
  <c r="G119" i="33" s="1"/>
  <c r="H119" i="33" s="1"/>
  <c r="I119" i="33" s="1"/>
  <c r="J119" i="33" s="1"/>
  <c r="I40" i="33"/>
  <c r="G40" i="33"/>
  <c r="J70" i="87"/>
  <c r="J71" i="87" s="1"/>
  <c r="F70" i="87"/>
  <c r="AB28" i="1" l="1"/>
  <c r="AB23" i="1"/>
  <c r="T9" i="31"/>
  <c r="I33" i="33" l="1"/>
  <c r="G33" i="33"/>
  <c r="E33" i="33"/>
  <c r="C40" i="33"/>
  <c r="I5" i="33"/>
  <c r="G5" i="33"/>
  <c r="E5" i="33"/>
  <c r="I71" i="87"/>
  <c r="I47" i="33" s="1"/>
  <c r="I70" i="87"/>
  <c r="G47" i="33" s="1"/>
  <c r="I69" i="87"/>
  <c r="E47" i="33" s="1"/>
  <c r="R4" i="79"/>
  <c r="R8" i="79"/>
  <c r="R7" i="79"/>
  <c r="C4" i="31"/>
  <c r="B28" i="31"/>
  <c r="Y28" i="31" s="1"/>
  <c r="B27" i="31"/>
  <c r="Y27" i="31" s="1"/>
  <c r="B26" i="31"/>
  <c r="Y26" i="31" s="1"/>
  <c r="B24" i="31"/>
  <c r="B25" i="31"/>
  <c r="Y25" i="31" s="1"/>
  <c r="F122" i="33"/>
  <c r="E122" i="33"/>
  <c r="D122" i="33"/>
  <c r="C122" i="33"/>
  <c r="J4" i="31"/>
  <c r="D4" i="31"/>
  <c r="G112" i="33"/>
  <c r="F112" i="33"/>
  <c r="E112" i="33"/>
  <c r="D112" i="33"/>
  <c r="C112" i="33"/>
  <c r="D89" i="33"/>
  <c r="E89" i="33" s="1"/>
  <c r="F89" i="33" s="1"/>
  <c r="G89" i="33" s="1"/>
  <c r="Q72" i="88"/>
  <c r="Q59" i="88"/>
  <c r="K59" i="88"/>
  <c r="P74" i="88" s="1"/>
  <c r="F59" i="88"/>
  <c r="Q58" i="88"/>
  <c r="Q51" i="88"/>
  <c r="J50" i="88"/>
  <c r="J51" i="88" s="1"/>
  <c r="M47" i="88"/>
  <c r="D46" i="88"/>
  <c r="F33" i="88"/>
  <c r="F61" i="88" s="1"/>
  <c r="F31" i="88"/>
  <c r="F23" i="88"/>
  <c r="F21" i="88"/>
  <c r="F20" i="88"/>
  <c r="M19" i="88"/>
  <c r="F18" i="88"/>
  <c r="M17" i="88"/>
  <c r="F15" i="88"/>
  <c r="Q8" i="79"/>
  <c r="Q7" i="79"/>
  <c r="AA8" i="79"/>
  <c r="AB8" i="79" s="1"/>
  <c r="AC8" i="79" s="1"/>
  <c r="AD8" i="79" s="1"/>
  <c r="AE8" i="79" s="1"/>
  <c r="U8" i="79"/>
  <c r="V8" i="79" s="1"/>
  <c r="W8" i="79" s="1"/>
  <c r="X8" i="79" s="1"/>
  <c r="Y8" i="79" s="1"/>
  <c r="Z8" i="79" s="1"/>
  <c r="Z7" i="79"/>
  <c r="AA7" i="79" s="1"/>
  <c r="AB7" i="79" s="1"/>
  <c r="AC7" i="79" s="1"/>
  <c r="AD7" i="79" s="1"/>
  <c r="AE7" i="79" s="1"/>
  <c r="V7" i="79"/>
  <c r="W7" i="79" s="1"/>
  <c r="X7" i="79" s="1"/>
  <c r="V6" i="79"/>
  <c r="V5" i="79"/>
  <c r="U4" i="79"/>
  <c r="V4" i="79" s="1"/>
  <c r="Q9" i="79" l="1"/>
  <c r="C33" i="33"/>
  <c r="Y24" i="31"/>
  <c r="Y7" i="79"/>
  <c r="T7" i="79" s="1"/>
  <c r="H4" i="31"/>
  <c r="T8" i="79"/>
  <c r="I4" i="31"/>
  <c r="F4" i="31"/>
  <c r="E4" i="31"/>
  <c r="G4" i="31"/>
  <c r="D23" i="88"/>
  <c r="D22" i="88"/>
  <c r="D24" i="88"/>
  <c r="P61" i="88"/>
  <c r="AC22" i="1"/>
  <c r="AC23" i="1"/>
  <c r="AA22" i="1"/>
  <c r="X22" i="1" s="1"/>
  <c r="AA21" i="1"/>
  <c r="Y21" i="1" s="1"/>
  <c r="O4" i="87"/>
  <c r="O5" i="87"/>
  <c r="O6" i="87"/>
  <c r="O7" i="87"/>
  <c r="O8" i="87"/>
  <c r="O9" i="87"/>
  <c r="O10" i="87"/>
  <c r="O11" i="87"/>
  <c r="O12" i="87"/>
  <c r="O13" i="87"/>
  <c r="O3" i="87"/>
  <c r="S2" i="79"/>
  <c r="E4" i="86"/>
  <c r="Y24" i="1" l="1"/>
  <c r="Y25" i="1"/>
  <c r="U7" i="1" s="1"/>
  <c r="T9" i="79"/>
  <c r="T10" i="79" s="1"/>
  <c r="T11" i="79" s="1"/>
  <c r="T12" i="79" s="1"/>
  <c r="D12" i="86"/>
  <c r="D13" i="86" s="1"/>
  <c r="F13" i="86" s="1"/>
  <c r="F12" i="86" l="1"/>
  <c r="C16" i="86" s="1"/>
  <c r="B19" i="86" l="1"/>
  <c r="G12" i="86"/>
  <c r="B16" i="86"/>
  <c r="C19" i="86"/>
  <c r="A28" i="31"/>
  <c r="A27" i="31"/>
  <c r="A26" i="31"/>
  <c r="A25" i="31"/>
  <c r="A24" i="31"/>
  <c r="Q72" i="85"/>
  <c r="Q59" i="85"/>
  <c r="K59" i="85"/>
  <c r="P74" i="85" s="1"/>
  <c r="F59" i="85"/>
  <c r="Q58" i="85"/>
  <c r="Q51" i="85"/>
  <c r="J50" i="85"/>
  <c r="J51" i="85" s="1"/>
  <c r="M47" i="85"/>
  <c r="D46" i="85"/>
  <c r="F33" i="85"/>
  <c r="F61" i="85" s="1"/>
  <c r="F31" i="85"/>
  <c r="F23" i="85"/>
  <c r="F21" i="85"/>
  <c r="F20" i="85"/>
  <c r="M19" i="85"/>
  <c r="F18" i="85"/>
  <c r="M17" i="85"/>
  <c r="F15" i="85"/>
  <c r="Q72" i="84"/>
  <c r="Q59" i="84"/>
  <c r="K59" i="84"/>
  <c r="P74" i="84" s="1"/>
  <c r="F59" i="84"/>
  <c r="Q58" i="84"/>
  <c r="Q51" i="84"/>
  <c r="J50" i="84"/>
  <c r="J51" i="84" s="1"/>
  <c r="M47" i="84"/>
  <c r="D46" i="84"/>
  <c r="F33" i="84"/>
  <c r="F61" i="84" s="1"/>
  <c r="F31" i="84"/>
  <c r="F23" i="84"/>
  <c r="D23" i="84" s="1"/>
  <c r="F21" i="84"/>
  <c r="F20" i="84"/>
  <c r="M19" i="84"/>
  <c r="F18" i="84"/>
  <c r="M17" i="84"/>
  <c r="F15" i="84"/>
  <c r="Q72" i="83"/>
  <c r="Q59" i="83"/>
  <c r="K59" i="83"/>
  <c r="P74" i="83" s="1"/>
  <c r="F59" i="83"/>
  <c r="Q58" i="83"/>
  <c r="Q51" i="83"/>
  <c r="J50" i="83"/>
  <c r="J51" i="83" s="1"/>
  <c r="M47" i="83"/>
  <c r="D46" i="83"/>
  <c r="F33" i="83"/>
  <c r="F61" i="83" s="1"/>
  <c r="F31" i="83"/>
  <c r="F23" i="83"/>
  <c r="F21" i="83"/>
  <c r="F20" i="83"/>
  <c r="M19" i="83"/>
  <c r="F18" i="83"/>
  <c r="M17" i="83"/>
  <c r="F15" i="83"/>
  <c r="Q72" i="82"/>
  <c r="Q59" i="82"/>
  <c r="K59" i="82"/>
  <c r="P74" i="82" s="1"/>
  <c r="F59" i="82"/>
  <c r="Q58" i="82"/>
  <c r="Q51" i="82"/>
  <c r="J50" i="82"/>
  <c r="J51" i="82" s="1"/>
  <c r="M47" i="82"/>
  <c r="D46" i="82"/>
  <c r="F33" i="82"/>
  <c r="F61" i="82" s="1"/>
  <c r="F31" i="82"/>
  <c r="F23" i="82"/>
  <c r="F21" i="82"/>
  <c r="F20" i="82"/>
  <c r="M19" i="82"/>
  <c r="F18" i="82"/>
  <c r="M17" i="82"/>
  <c r="F15" i="82"/>
  <c r="D23" i="85" l="1"/>
  <c r="D22" i="85"/>
  <c r="D24" i="85"/>
  <c r="P61" i="85"/>
  <c r="D24" i="84"/>
  <c r="P61" i="84"/>
  <c r="D22" i="84"/>
  <c r="P61" i="83"/>
  <c r="D23" i="83"/>
  <c r="D22" i="83"/>
  <c r="D24" i="83"/>
  <c r="D23" i="82"/>
  <c r="D22" i="82"/>
  <c r="D24" i="82"/>
  <c r="P61" i="82"/>
  <c r="I14" i="3"/>
  <c r="I13" i="3"/>
  <c r="F10" i="4"/>
  <c r="D39" i="66" l="1"/>
  <c r="I46" i="39"/>
  <c r="G46" i="39"/>
  <c r="E46" i="39"/>
  <c r="I38" i="39"/>
  <c r="G38" i="39"/>
  <c r="E38" i="39"/>
  <c r="C38" i="39"/>
  <c r="G4" i="78"/>
  <c r="G3" i="78"/>
  <c r="G125" i="39"/>
  <c r="F125" i="39"/>
  <c r="E125" i="39"/>
  <c r="D125" i="39"/>
  <c r="C125" i="39"/>
  <c r="G123" i="39"/>
  <c r="F123" i="39"/>
  <c r="E123" i="39"/>
  <c r="D123" i="39"/>
  <c r="C123" i="39"/>
  <c r="G118" i="39"/>
  <c r="H118" i="39" s="1"/>
  <c r="I118" i="39" s="1"/>
  <c r="J118" i="39" s="1"/>
  <c r="K118" i="39" s="1"/>
  <c r="F118" i="39"/>
  <c r="D118" i="39"/>
  <c r="C118" i="39" s="1"/>
  <c r="D71" i="39"/>
  <c r="E71" i="39" s="1"/>
  <c r="F71" i="39" s="1"/>
  <c r="G71" i="39" s="1"/>
  <c r="H71" i="39" s="1"/>
  <c r="I71" i="39" s="1"/>
  <c r="J71" i="39" s="1"/>
  <c r="K71" i="39" s="1"/>
  <c r="L71" i="39" s="1"/>
  <c r="M71" i="39" s="1"/>
  <c r="N71" i="39" s="1"/>
  <c r="O71" i="39" s="1"/>
  <c r="I7" i="39"/>
  <c r="G7" i="39"/>
  <c r="E7" i="39"/>
  <c r="I5" i="39"/>
  <c r="G5" i="39"/>
  <c r="E5" i="39"/>
  <c r="C5" i="39"/>
  <c r="B35" i="1"/>
  <c r="B21" i="1"/>
  <c r="Q72" i="81"/>
  <c r="Q59" i="81"/>
  <c r="K59" i="81"/>
  <c r="P74" i="81" s="1"/>
  <c r="F59" i="81"/>
  <c r="Q58" i="81"/>
  <c r="Q51" i="81"/>
  <c r="J50" i="81"/>
  <c r="J51" i="81" s="1"/>
  <c r="M47" i="81"/>
  <c r="D46" i="81"/>
  <c r="F33" i="81"/>
  <c r="F61" i="81" s="1"/>
  <c r="F31" i="81"/>
  <c r="F23" i="81"/>
  <c r="D23" i="81" s="1"/>
  <c r="F21" i="81"/>
  <c r="F20" i="81"/>
  <c r="M19" i="81"/>
  <c r="F18" i="81"/>
  <c r="M17" i="81"/>
  <c r="F15" i="81"/>
  <c r="Q72" i="80"/>
  <c r="Q59" i="80"/>
  <c r="K59" i="80"/>
  <c r="P74" i="80" s="1"/>
  <c r="F59" i="80"/>
  <c r="Q58" i="80"/>
  <c r="Q51" i="80"/>
  <c r="J50" i="80"/>
  <c r="J51" i="80" s="1"/>
  <c r="M47" i="80"/>
  <c r="D46" i="80"/>
  <c r="F33" i="80"/>
  <c r="F61" i="80" s="1"/>
  <c r="F31" i="80"/>
  <c r="F23" i="80"/>
  <c r="D23" i="80" s="1"/>
  <c r="F21" i="80"/>
  <c r="F20" i="80"/>
  <c r="M19" i="80"/>
  <c r="F18" i="80"/>
  <c r="M17" i="80"/>
  <c r="F15" i="80"/>
  <c r="F17" i="80" l="1"/>
  <c r="F17" i="88"/>
  <c r="F17" i="85"/>
  <c r="F17" i="84"/>
  <c r="F17" i="83"/>
  <c r="F17" i="82"/>
  <c r="F17" i="81"/>
  <c r="D24" i="81"/>
  <c r="P61" i="81"/>
  <c r="D22" i="81"/>
  <c r="D24" i="80"/>
  <c r="P61" i="80"/>
  <c r="D22" i="80"/>
  <c r="Y6" i="1" l="1"/>
  <c r="Y7" i="1" s="1"/>
  <c r="C36" i="33"/>
  <c r="J13" i="79"/>
  <c r="D3" i="4" l="1"/>
  <c r="H16" i="77" l="1"/>
  <c r="F16" i="77"/>
  <c r="E16" i="77"/>
  <c r="D16" i="77"/>
  <c r="B16" i="77"/>
  <c r="E14" i="77"/>
  <c r="C14" i="77"/>
  <c r="C17" i="77" s="1"/>
  <c r="G12" i="77"/>
  <c r="G16" i="77" s="1"/>
  <c r="C12" i="77"/>
  <c r="C16" i="77" s="1"/>
  <c r="F9" i="77"/>
  <c r="D9" i="77"/>
  <c r="G6" i="77"/>
  <c r="G7" i="77" s="1"/>
  <c r="G8" i="77" s="1"/>
  <c r="G9" i="77" s="1"/>
  <c r="F6" i="77"/>
  <c r="F7" i="77" s="1"/>
  <c r="D6" i="77"/>
  <c r="D7" i="77" s="1"/>
  <c r="C6" i="77"/>
  <c r="C7" i="77" s="1"/>
  <c r="C8" i="77" s="1"/>
  <c r="C9" i="77"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O21" i="71"/>
  <c r="N21" i="71"/>
  <c r="B20" i="71"/>
  <c r="B19" i="71" s="1"/>
  <c r="B18" i="71" s="1"/>
  <c r="A2" i="53"/>
  <c r="B19" i="72" s="1"/>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22" i="71"/>
  <c r="P22" i="71"/>
  <c r="O22" i="71"/>
  <c r="N22" i="71"/>
  <c r="A15" i="51"/>
  <c r="B12" i="72" s="1"/>
  <c r="C76" i="9"/>
  <c r="I107" i="40"/>
  <c r="K6" i="4"/>
  <c r="N56" i="9" s="1"/>
  <c r="B22" i="31"/>
  <c r="Y29" i="31" s="1"/>
  <c r="E15" i="74"/>
  <c r="F15" i="74"/>
  <c r="E16" i="74"/>
  <c r="F16" i="74"/>
  <c r="E17" i="74"/>
  <c r="F17" i="74"/>
  <c r="E18" i="74"/>
  <c r="F18" i="74"/>
  <c r="E19" i="74"/>
  <c r="F19" i="74"/>
  <c r="E20" i="74"/>
  <c r="F20" i="74"/>
  <c r="E21" i="74"/>
  <c r="F21" i="74"/>
  <c r="E22" i="74"/>
  <c r="F22" i="74"/>
  <c r="E23" i="74"/>
  <c r="F23" i="74"/>
  <c r="B3" i="74"/>
  <c r="B1" i="86" s="1"/>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s="1"/>
  <c r="AH9" i="43"/>
  <c r="AG9" i="43"/>
  <c r="AG10" i="43" s="1"/>
  <c r="AG12" i="43"/>
  <c r="AF9" i="43"/>
  <c r="AF10" i="43" s="1"/>
  <c r="AE9" i="43"/>
  <c r="AD9" i="43"/>
  <c r="AC9" i="43"/>
  <c r="AC12" i="43" s="1"/>
  <c r="AB9" i="43"/>
  <c r="AB12" i="43" s="1"/>
  <c r="AA9" i="43"/>
  <c r="Z9" i="43"/>
  <c r="AC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c r="I19" i="43"/>
  <c r="D85" i="71"/>
  <c r="F84" i="71"/>
  <c r="F83" i="71" s="1"/>
  <c r="F82" i="71" s="1"/>
  <c r="E84" i="71"/>
  <c r="E83" i="71" s="1"/>
  <c r="E82" i="71" s="1"/>
  <c r="C84" i="71"/>
  <c r="D84" i="71"/>
  <c r="B84" i="71"/>
  <c r="B83" i="71"/>
  <c r="B82" i="71" s="1"/>
  <c r="D81" i="71"/>
  <c r="F80" i="71"/>
  <c r="E80" i="71"/>
  <c r="E79" i="71"/>
  <c r="E78" i="71" s="1"/>
  <c r="C80" i="71"/>
  <c r="D80" i="71"/>
  <c r="B80" i="71"/>
  <c r="B79" i="71" s="1"/>
  <c r="B78" i="71" s="1"/>
  <c r="F79" i="71"/>
  <c r="F78" i="71" s="1"/>
  <c r="D77" i="71"/>
  <c r="Q76" i="71"/>
  <c r="P76" i="71"/>
  <c r="O76" i="71"/>
  <c r="N76" i="71"/>
  <c r="F76" i="71"/>
  <c r="V76" i="71" s="1"/>
  <c r="E76" i="71"/>
  <c r="U76" i="71" s="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E72" i="71"/>
  <c r="C72" i="71"/>
  <c r="D72" i="71" s="1"/>
  <c r="B72" i="71"/>
  <c r="B71" i="71" s="1"/>
  <c r="B70" i="71" s="1"/>
  <c r="Q71" i="71"/>
  <c r="P71" i="71"/>
  <c r="O71" i="71"/>
  <c r="N71" i="71"/>
  <c r="Q70" i="71"/>
  <c r="P70" i="71"/>
  <c r="O70" i="71"/>
  <c r="N70" i="71"/>
  <c r="Q69" i="71"/>
  <c r="P69" i="71"/>
  <c r="O69" i="71"/>
  <c r="N69" i="71"/>
  <c r="D69" i="71"/>
  <c r="Q68" i="71"/>
  <c r="P68" i="71"/>
  <c r="O68" i="71"/>
  <c r="N68" i="71"/>
  <c r="F68" i="71"/>
  <c r="V68" i="71" s="1"/>
  <c r="E68" i="71"/>
  <c r="U68" i="71" s="1"/>
  <c r="C68" i="71"/>
  <c r="T68" i="71" s="1"/>
  <c r="B68" i="71"/>
  <c r="S68" i="71"/>
  <c r="Q67" i="71"/>
  <c r="P67" i="71"/>
  <c r="O67" i="71"/>
  <c r="N67" i="71"/>
  <c r="B67" i="71"/>
  <c r="B66" i="71" s="1"/>
  <c r="Q66" i="71"/>
  <c r="P66" i="71"/>
  <c r="O66" i="71"/>
  <c r="N66" i="71"/>
  <c r="Q65" i="71"/>
  <c r="P65" i="71"/>
  <c r="O65" i="71"/>
  <c r="N65" i="71"/>
  <c r="D65" i="71"/>
  <c r="F64" i="71"/>
  <c r="E64" i="71"/>
  <c r="C64" i="71"/>
  <c r="O64" i="71" s="1"/>
  <c r="B64" i="71"/>
  <c r="S64" i="71"/>
  <c r="B63" i="7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C55" i="71" s="1"/>
  <c r="N54" i="71"/>
  <c r="Q53" i="71"/>
  <c r="F54" i="71"/>
  <c r="F55" i="71" s="1"/>
  <c r="F56" i="71" s="1"/>
  <c r="V56" i="71" s="1"/>
  <c r="P53" i="71"/>
  <c r="E54" i="71"/>
  <c r="E55"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P41" i="71"/>
  <c r="E42" i="71"/>
  <c r="E43" i="71" s="1"/>
  <c r="E44" i="71" s="1"/>
  <c r="U44" i="71" s="1"/>
  <c r="O41" i="71"/>
  <c r="C42" i="71" s="1"/>
  <c r="N41" i="71"/>
  <c r="B42" i="71" s="1"/>
  <c r="B43" i="7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c r="B39" i="71" s="1"/>
  <c r="B40" i="71" s="1"/>
  <c r="S40" i="71" s="1"/>
  <c r="D37" i="71"/>
  <c r="Q36" i="71"/>
  <c r="P36" i="71"/>
  <c r="O36" i="71"/>
  <c r="N36" i="71"/>
  <c r="AB35" i="71"/>
  <c r="Q35" i="71"/>
  <c r="P35" i="71"/>
  <c r="AA34" i="71" s="1"/>
  <c r="O35" i="71"/>
  <c r="Y35" i="71" s="1"/>
  <c r="Z35" i="71" s="1"/>
  <c r="N35" i="71"/>
  <c r="X34" i="71" s="1"/>
  <c r="Q34" i="71"/>
  <c r="AB34" i="71"/>
  <c r="P34" i="71"/>
  <c r="O34" i="71"/>
  <c r="Y34" i="71"/>
  <c r="Z34" i="71" s="1"/>
  <c r="N34" i="71"/>
  <c r="F34" i="71"/>
  <c r="F35" i="71" s="1"/>
  <c r="F36" i="71" s="1"/>
  <c r="V36" i="71" s="1"/>
  <c r="Q33" i="71"/>
  <c r="AB33" i="71" s="1"/>
  <c r="P33" i="71"/>
  <c r="O33" i="71"/>
  <c r="N33" i="71"/>
  <c r="B34" i="71" s="1"/>
  <c r="D33" i="71"/>
  <c r="Q32" i="71"/>
  <c r="AB32" i="71"/>
  <c r="P32" i="71"/>
  <c r="O32" i="71"/>
  <c r="Y32" i="71"/>
  <c r="Z32" i="71" s="1"/>
  <c r="N32" i="71"/>
  <c r="Q31" i="71"/>
  <c r="P31" i="71"/>
  <c r="O31" i="71"/>
  <c r="N31" i="71"/>
  <c r="Q30" i="71"/>
  <c r="AB30" i="71"/>
  <c r="P30" i="71"/>
  <c r="O30" i="71"/>
  <c r="N30" i="71"/>
  <c r="Q29" i="71"/>
  <c r="P29" i="71"/>
  <c r="O29" i="71"/>
  <c r="C30" i="71" s="1"/>
  <c r="N29" i="71"/>
  <c r="B30" i="71" s="1"/>
  <c r="B31" i="71" s="1"/>
  <c r="D29" i="71"/>
  <c r="Q28" i="71"/>
  <c r="AB28" i="71" s="1"/>
  <c r="P28" i="71"/>
  <c r="O28" i="71"/>
  <c r="N28" i="71"/>
  <c r="Q27" i="71"/>
  <c r="AB21" i="71" s="1"/>
  <c r="P27" i="71"/>
  <c r="O27" i="71"/>
  <c r="Y27" i="71"/>
  <c r="Z27" i="71" s="1"/>
  <c r="N27" i="71"/>
  <c r="Q26" i="71"/>
  <c r="P26" i="71"/>
  <c r="O26" i="71"/>
  <c r="N26" i="71"/>
  <c r="X26" i="71" s="1"/>
  <c r="Q25" i="71"/>
  <c r="P25" i="71"/>
  <c r="E26" i="71" s="1"/>
  <c r="O25" i="71"/>
  <c r="N25" i="71"/>
  <c r="D25" i="71"/>
  <c r="O24" i="71"/>
  <c r="N24" i="71"/>
  <c r="B26" i="71"/>
  <c r="B27" i="71" s="1"/>
  <c r="B28" i="71" s="1"/>
  <c r="S28" i="71" s="1"/>
  <c r="N64" i="71"/>
  <c r="E30" i="71"/>
  <c r="E31" i="71" s="1"/>
  <c r="E32" i="71" s="1"/>
  <c r="U32" i="71" s="1"/>
  <c r="X31" i="71"/>
  <c r="C34" i="71"/>
  <c r="C35" i="71" s="1"/>
  <c r="Y33" i="71"/>
  <c r="Z33" i="71" s="1"/>
  <c r="B24" i="71"/>
  <c r="S24" i="71" s="1"/>
  <c r="D34" i="71"/>
  <c r="D38" i="71"/>
  <c r="P24" i="71"/>
  <c r="Q24" i="71"/>
  <c r="F24" i="71" s="1"/>
  <c r="F23" i="71" s="1"/>
  <c r="F22" i="71" s="1"/>
  <c r="C63" i="71"/>
  <c r="D63" i="71" s="1"/>
  <c r="C67" i="71"/>
  <c r="D67" i="71" s="1"/>
  <c r="C71" i="71"/>
  <c r="C79" i="71"/>
  <c r="C83" i="71"/>
  <c r="C82" i="71" s="1"/>
  <c r="D82" i="71" s="1"/>
  <c r="D8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C18" i="36"/>
  <c r="Q18" i="35"/>
  <c r="Z18" i="35" s="1"/>
  <c r="D68" i="35"/>
  <c r="E68" i="35"/>
  <c r="F68" i="35" s="1"/>
  <c r="G68" i="35" s="1"/>
  <c r="F18" i="35"/>
  <c r="S18" i="35" s="1"/>
  <c r="C18" i="35"/>
  <c r="Q21" i="37"/>
  <c r="Z21" i="37" s="1"/>
  <c r="D77" i="37"/>
  <c r="E77" i="37"/>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S21" i="21" s="1"/>
  <c r="D81" i="21"/>
  <c r="G20" i="20"/>
  <c r="B86" i="43"/>
  <c r="C22" i="20"/>
  <c r="B75" i="43" s="1"/>
  <c r="B55" i="43"/>
  <c r="C25" i="40"/>
  <c r="C29" i="39"/>
  <c r="H25" i="40"/>
  <c r="J25" i="40"/>
  <c r="W25" i="40" s="1"/>
  <c r="H29" i="39"/>
  <c r="AB29" i="39" s="1"/>
  <c r="J29" i="39"/>
  <c r="AC29" i="39" s="1"/>
  <c r="J18" i="36"/>
  <c r="H18" i="35"/>
  <c r="U18" i="35" s="1"/>
  <c r="J18" i="35"/>
  <c r="H21" i="37"/>
  <c r="AB21" i="37" s="1"/>
  <c r="F21" i="37"/>
  <c r="S21" i="37" s="1"/>
  <c r="H21" i="34"/>
  <c r="AB21" i="34" s="1"/>
  <c r="H21" i="33"/>
  <c r="U21" i="33" s="1"/>
  <c r="F21" i="33"/>
  <c r="AA21" i="33" s="1"/>
  <c r="H1" i="69"/>
  <c r="AB25" i="40"/>
  <c r="U25" i="40"/>
  <c r="AC18" i="36"/>
  <c r="W18" i="36"/>
  <c r="U21" i="37"/>
  <c r="AA21" i="37"/>
  <c r="AB18" i="35"/>
  <c r="J21" i="37"/>
  <c r="AC21" i="37" s="1"/>
  <c r="J21" i="34"/>
  <c r="AC21" i="34" s="1"/>
  <c r="J21" i="33"/>
  <c r="W21" i="33" s="1"/>
  <c r="H21" i="21"/>
  <c r="F38" i="69"/>
  <c r="E37" i="69"/>
  <c r="F36" i="69"/>
  <c r="F35" i="69"/>
  <c r="F21" i="69"/>
  <c r="F40" i="69" s="1"/>
  <c r="F20" i="69"/>
  <c r="F39" i="69" s="1"/>
  <c r="E10" i="69"/>
  <c r="E9" i="69"/>
  <c r="J21" i="21"/>
  <c r="AC21" i="21" s="1"/>
  <c r="F38" i="68"/>
  <c r="E37" i="68"/>
  <c r="F36" i="68"/>
  <c r="F35" i="68"/>
  <c r="F21" i="68"/>
  <c r="F40" i="68" s="1"/>
  <c r="C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I23" i="66"/>
  <c r="D20" i="66"/>
  <c r="I19" i="66"/>
  <c r="I18" i="66"/>
  <c r="I20" i="66" s="1"/>
  <c r="I17" i="66"/>
  <c r="E15" i="66"/>
  <c r="I14" i="66"/>
  <c r="I13" i="66"/>
  <c r="I12" i="66"/>
  <c r="I15" i="66" s="1"/>
  <c r="I9" i="66"/>
  <c r="I8" i="66"/>
  <c r="I7" i="66"/>
  <c r="I6" i="66"/>
  <c r="I5" i="66"/>
  <c r="I4" i="66"/>
  <c r="I3" i="66"/>
  <c r="F113" i="43"/>
  <c r="N99" i="43"/>
  <c r="N108" i="43"/>
  <c r="D99" i="43"/>
  <c r="E99" i="43"/>
  <c r="E100" i="43" s="1"/>
  <c r="F99" i="43"/>
  <c r="F108" i="43" s="1"/>
  <c r="G99" i="43"/>
  <c r="G108" i="43"/>
  <c r="H99" i="43"/>
  <c r="H108" i="43" s="1"/>
  <c r="I99" i="43"/>
  <c r="I100" i="43" s="1"/>
  <c r="I108" i="43"/>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s="1"/>
  <c r="K86" i="43"/>
  <c r="J86" i="43"/>
  <c r="M85" i="43"/>
  <c r="N85" i="43" s="1"/>
  <c r="K85" i="43"/>
  <c r="J85" i="43" s="1"/>
  <c r="M84" i="43"/>
  <c r="N84" i="43" s="1"/>
  <c r="K84" i="43"/>
  <c r="J84" i="43" s="1"/>
  <c r="M83" i="43"/>
  <c r="N83" i="43" s="1"/>
  <c r="K83" i="43"/>
  <c r="J83" i="43" s="1"/>
  <c r="M82" i="43"/>
  <c r="N82" i="43"/>
  <c r="K82" i="43"/>
  <c r="J82" i="43" s="1"/>
  <c r="M81" i="43"/>
  <c r="N81" i="43" s="1"/>
  <c r="K81" i="43"/>
  <c r="J81" i="43" s="1"/>
  <c r="M78" i="43"/>
  <c r="N78" i="43" s="1"/>
  <c r="K78" i="43"/>
  <c r="J78" i="43"/>
  <c r="D78" i="43"/>
  <c r="M77" i="43"/>
  <c r="N77" i="43" s="1"/>
  <c r="K77" i="43"/>
  <c r="J77" i="43"/>
  <c r="D77" i="43"/>
  <c r="M76" i="43"/>
  <c r="N76" i="43"/>
  <c r="K76" i="43"/>
  <c r="J76" i="43" s="1"/>
  <c r="D76" i="43"/>
  <c r="M75" i="43"/>
  <c r="N75" i="43"/>
  <c r="K75" i="43"/>
  <c r="J75" i="43" s="1"/>
  <c r="D75" i="43"/>
  <c r="M74" i="43"/>
  <c r="N74" i="43" s="1"/>
  <c r="K74" i="43"/>
  <c r="J74" i="43" s="1"/>
  <c r="D74" i="43"/>
  <c r="M73" i="43"/>
  <c r="N73" i="43" s="1"/>
  <c r="K73" i="43"/>
  <c r="J73" i="43"/>
  <c r="D73" i="43"/>
  <c r="M72" i="43"/>
  <c r="N72" i="43" s="1"/>
  <c r="K72" i="43"/>
  <c r="J72" i="43"/>
  <c r="D72" i="43"/>
  <c r="M71" i="43"/>
  <c r="N71" i="43" s="1"/>
  <c r="K71" i="43"/>
  <c r="J71" i="43"/>
  <c r="D71" i="43"/>
  <c r="M70" i="43"/>
  <c r="N70" i="43" s="1"/>
  <c r="K70" i="43"/>
  <c r="J70" i="43" s="1"/>
  <c r="D70" i="43"/>
  <c r="M67" i="43"/>
  <c r="N67" i="43"/>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s="1"/>
  <c r="M54" i="43"/>
  <c r="N54" i="43" s="1"/>
  <c r="K54" i="43"/>
  <c r="J54" i="43" s="1"/>
  <c r="D54" i="43"/>
  <c r="M53" i="43"/>
  <c r="N53" i="43" s="1"/>
  <c r="K53" i="43"/>
  <c r="D53" i="43" s="1"/>
  <c r="M52" i="43"/>
  <c r="N52" i="43" s="1"/>
  <c r="K52" i="43"/>
  <c r="J52" i="43" s="1"/>
  <c r="D52" i="43"/>
  <c r="M51" i="43"/>
  <c r="N51" i="43"/>
  <c r="K51" i="43"/>
  <c r="D51" i="43" s="1"/>
  <c r="M50" i="43"/>
  <c r="N50" i="43" s="1"/>
  <c r="K50" i="43"/>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B11" i="1" s="1"/>
  <c r="E11" i="1" s="1"/>
  <c r="A12" i="1"/>
  <c r="R12" i="1" s="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L92" i="3" s="1"/>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A60" i="3" s="1"/>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A27" i="3" s="1"/>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A23" i="3" s="1"/>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L189" i="3" s="1"/>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A141" i="3" s="1"/>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A264" i="3" s="1"/>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L225" i="3" s="1"/>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A336" i="3" s="1"/>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A309" i="3" s="1"/>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L491" i="3" s="1"/>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A486" i="3" s="1"/>
  <c r="BF486" i="3"/>
  <c r="BE486" i="3"/>
  <c r="BD486" i="3"/>
  <c r="BC486" i="3"/>
  <c r="BB486" i="3"/>
  <c r="AX486" i="3"/>
  <c r="AW486" i="3"/>
  <c r="AV486" i="3"/>
  <c r="AC486" i="3"/>
  <c r="H486" i="3"/>
  <c r="G486" i="3" s="1"/>
  <c r="BT485" i="3"/>
  <c r="BS485" i="3"/>
  <c r="BR485" i="3"/>
  <c r="BQ485" i="3"/>
  <c r="BL485" i="3" s="1"/>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A457" i="3" s="1"/>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A451" i="3" s="1"/>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L448" i="3" s="1"/>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A426" i="3" s="1"/>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A420" i="3" s="1"/>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A414" i="3" s="1"/>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A411" i="3" s="1"/>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A399" i="3" s="1"/>
  <c r="BE399" i="3"/>
  <c r="BD399" i="3"/>
  <c r="BC399" i="3"/>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AF6" i="1" s="1"/>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7" i="31"/>
  <c r="I48" i="37"/>
  <c r="J48" i="37" s="1"/>
  <c r="G48" i="37"/>
  <c r="H48" i="37"/>
  <c r="E48" i="37"/>
  <c r="F48" i="37" s="1"/>
  <c r="I55" i="34"/>
  <c r="J55" i="34" s="1"/>
  <c r="G55" i="34"/>
  <c r="H55" i="34"/>
  <c r="E55" i="34"/>
  <c r="F55" i="34" s="1"/>
  <c r="I48" i="40"/>
  <c r="J48" i="40"/>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A537" i="3" s="1"/>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c r="J31" i="35"/>
  <c r="H31" i="35"/>
  <c r="U31" i="35" s="1"/>
  <c r="F31" i="35"/>
  <c r="D87" i="35"/>
  <c r="E87" i="35" s="1"/>
  <c r="F87" i="35" s="1"/>
  <c r="G87" i="35" s="1"/>
  <c r="H87" i="35" s="1"/>
  <c r="I87" i="35" s="1"/>
  <c r="J87" i="35" s="1"/>
  <c r="K87" i="35" s="1"/>
  <c r="L87" i="35" s="1"/>
  <c r="M87" i="35" s="1"/>
  <c r="H34" i="37"/>
  <c r="D101" i="37"/>
  <c r="E101" i="37" s="1"/>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G111" i="33" s="1"/>
  <c r="F41" i="21"/>
  <c r="J41" i="21"/>
  <c r="AC41" i="21" s="1"/>
  <c r="H41" i="21"/>
  <c r="U41" i="21" s="1"/>
  <c r="D81" i="39"/>
  <c r="E81" i="39" s="1"/>
  <c r="D76" i="40"/>
  <c r="E76" i="40" s="1"/>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c r="Q19" i="40"/>
  <c r="Z19" i="40"/>
  <c r="Q17" i="40"/>
  <c r="Z17" i="40" s="1"/>
  <c r="Q15" i="40"/>
  <c r="Z15" i="40" s="1"/>
  <c r="Q14" i="40"/>
  <c r="Z14" i="40"/>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D107" i="39"/>
  <c r="E107" i="39" s="1"/>
  <c r="D105" i="39"/>
  <c r="E105" i="39"/>
  <c r="F105" i="39" s="1"/>
  <c r="G105" i="39" s="1"/>
  <c r="H105" i="39" s="1"/>
  <c r="I105" i="39" s="1"/>
  <c r="J105" i="39" s="1"/>
  <c r="K105" i="39" s="1"/>
  <c r="L105" i="39" s="1"/>
  <c r="M105" i="39" s="1"/>
  <c r="D101" i="39"/>
  <c r="E101" i="39" s="1"/>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c r="B131" i="39"/>
  <c r="H45" i="39" s="1"/>
  <c r="B129" i="39"/>
  <c r="J44" i="39" s="1"/>
  <c r="H44" i="39"/>
  <c r="B127" i="39"/>
  <c r="D126" i="39"/>
  <c r="D122" i="39"/>
  <c r="H40" i="39" s="1"/>
  <c r="AB40" i="39" s="1"/>
  <c r="H35" i="39"/>
  <c r="AB35" i="39" s="1"/>
  <c r="B104" i="39"/>
  <c r="D97" i="39"/>
  <c r="J23" i="39" s="1"/>
  <c r="AC23" i="39" s="1"/>
  <c r="D95" i="39"/>
  <c r="E95" i="39" s="1"/>
  <c r="D93" i="39"/>
  <c r="E93" i="39" s="1"/>
  <c r="J19" i="39" s="1"/>
  <c r="AC19" i="39" s="1"/>
  <c r="D91" i="39"/>
  <c r="E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F44"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B108" i="37"/>
  <c r="C23" i="37"/>
  <c r="C19" i="37"/>
  <c r="C17" i="37"/>
  <c r="C15" i="37"/>
  <c r="B112" i="37"/>
  <c r="J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B86" i="37"/>
  <c r="F28" i="37" s="1"/>
  <c r="B84" i="37"/>
  <c r="B82" i="37"/>
  <c r="D79" i="37"/>
  <c r="E79" i="37" s="1"/>
  <c r="D75" i="37"/>
  <c r="E75" i="37"/>
  <c r="D73" i="37"/>
  <c r="E73" i="37" s="1"/>
  <c r="F73" i="37" s="1"/>
  <c r="D71" i="37"/>
  <c r="H15" i="37"/>
  <c r="AB15" i="37" s="1"/>
  <c r="B68" i="37"/>
  <c r="H14" i="37" s="1"/>
  <c r="B66" i="37"/>
  <c r="B64" i="37"/>
  <c r="F12" i="37" s="1"/>
  <c r="D63" i="37"/>
  <c r="E63" i="37"/>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c r="H30" i="37"/>
  <c r="AB30" i="37" s="1"/>
  <c r="F30" i="37"/>
  <c r="AA30" i="37" s="1"/>
  <c r="Q29" i="37"/>
  <c r="Z29" i="37" s="1"/>
  <c r="H29" i="37"/>
  <c r="AB29" i="37" s="1"/>
  <c r="Q28" i="37"/>
  <c r="Z28" i="37"/>
  <c r="Q27" i="37"/>
  <c r="Z27" i="37" s="1"/>
  <c r="Q26" i="37"/>
  <c r="Z26" i="37" s="1"/>
  <c r="J26" i="37"/>
  <c r="AC26" i="37"/>
  <c r="H26" i="37"/>
  <c r="AB26" i="37" s="1"/>
  <c r="F26" i="37"/>
  <c r="AA26" i="37" s="1"/>
  <c r="Q25" i="37"/>
  <c r="Z25" i="37"/>
  <c r="J25" i="37"/>
  <c r="W25" i="37" s="1"/>
  <c r="AC25" i="37"/>
  <c r="Q23" i="37"/>
  <c r="Z23" i="37"/>
  <c r="Q19" i="37"/>
  <c r="Z19" i="37" s="1"/>
  <c r="Q17" i="37"/>
  <c r="Z17" i="37" s="1"/>
  <c r="Q15" i="37"/>
  <c r="Z15" i="37"/>
  <c r="Q14" i="37"/>
  <c r="Z14" i="37"/>
  <c r="Q13" i="37"/>
  <c r="Z13" i="37" s="1"/>
  <c r="Q12" i="37"/>
  <c r="Z12" i="37" s="1"/>
  <c r="Q11" i="37"/>
  <c r="Z11" i="37" s="1"/>
  <c r="Q10" i="37"/>
  <c r="Z10" i="37"/>
  <c r="F10" i="37"/>
  <c r="Q9" i="37"/>
  <c r="Z9" i="37" s="1"/>
  <c r="J8" i="37"/>
  <c r="W8" i="37" s="1"/>
  <c r="H8" i="37"/>
  <c r="AB8" i="37" s="1"/>
  <c r="F8" i="37"/>
  <c r="S8" i="37" s="1"/>
  <c r="J31" i="36"/>
  <c r="H31" i="36"/>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c r="F68" i="36" s="1"/>
  <c r="G68" i="36" s="1"/>
  <c r="D64" i="36"/>
  <c r="E64" i="36" s="1"/>
  <c r="F64" i="36" s="1"/>
  <c r="G64" i="36" s="1"/>
  <c r="J16" i="36"/>
  <c r="W16" i="36" s="1"/>
  <c r="D62" i="36"/>
  <c r="E62" i="36" s="1"/>
  <c r="F62" i="36" s="1"/>
  <c r="G62" i="36" s="1"/>
  <c r="B59" i="36"/>
  <c r="J13" i="36" s="1"/>
  <c r="AC13" i="36" s="1"/>
  <c r="B57" i="36"/>
  <c r="F12" i="36" s="1"/>
  <c r="S12" i="36" s="1"/>
  <c r="B55" i="36"/>
  <c r="F11" i="36" s="1"/>
  <c r="F54" i="36"/>
  <c r="G54" i="36" s="1"/>
  <c r="H54" i="36" s="1"/>
  <c r="I54" i="36" s="1"/>
  <c r="C51" i="36"/>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s="1"/>
  <c r="Q26" i="36"/>
  <c r="Z26" i="36" s="1"/>
  <c r="H26" i="36"/>
  <c r="AB26" i="36" s="1"/>
  <c r="Q25" i="36"/>
  <c r="Z25" i="36"/>
  <c r="Q24" i="36"/>
  <c r="Z24" i="36" s="1"/>
  <c r="H24" i="36"/>
  <c r="AB24" i="36" s="1"/>
  <c r="Q23" i="36"/>
  <c r="Z23" i="36"/>
  <c r="J23" i="36"/>
  <c r="AC23" i="36" s="1"/>
  <c r="Q22" i="36"/>
  <c r="Z22" i="36" s="1"/>
  <c r="J22" i="36"/>
  <c r="AC22" i="36" s="1"/>
  <c r="Q20" i="36"/>
  <c r="Z20" i="36" s="1"/>
  <c r="Q16" i="36"/>
  <c r="Z16" i="36" s="1"/>
  <c r="Q14" i="36"/>
  <c r="Z14" i="36"/>
  <c r="Q13" i="36"/>
  <c r="Z13" i="36" s="1"/>
  <c r="Q12" i="36"/>
  <c r="Z12" i="36"/>
  <c r="Q11" i="36"/>
  <c r="Z11" i="36" s="1"/>
  <c r="Q10" i="36"/>
  <c r="Z10" i="36"/>
  <c r="F10" i="36"/>
  <c r="AA10" i="36" s="1"/>
  <c r="Q9" i="36"/>
  <c r="Z9" i="36" s="1"/>
  <c r="J9" i="36"/>
  <c r="AC9" i="36" s="1"/>
  <c r="H9" i="36"/>
  <c r="AB9" i="36" s="1"/>
  <c r="F9" i="36"/>
  <c r="AA9" i="36" s="1"/>
  <c r="J8" i="36"/>
  <c r="AC8" i="36" s="1"/>
  <c r="H8" i="36"/>
  <c r="AB8" i="36" s="1"/>
  <c r="U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J25" i="35" s="1"/>
  <c r="B75" i="35"/>
  <c r="J24" i="35" s="1"/>
  <c r="B73" i="35"/>
  <c r="B57" i="35"/>
  <c r="B61" i="35"/>
  <c r="B59" i="35"/>
  <c r="J12" i="35" s="1"/>
  <c r="W12" i="35" s="1"/>
  <c r="B131" i="34"/>
  <c r="J47" i="34" s="1"/>
  <c r="B129" i="34"/>
  <c r="B127" i="34"/>
  <c r="B99" i="34"/>
  <c r="B97" i="34"/>
  <c r="B95" i="34"/>
  <c r="J30" i="34" s="1"/>
  <c r="B93" i="34"/>
  <c r="B75" i="34"/>
  <c r="J14" i="34" s="1"/>
  <c r="B73" i="34"/>
  <c r="B71" i="34"/>
  <c r="B130" i="33"/>
  <c r="F46" i="33" s="1"/>
  <c r="AA46" i="33" s="1"/>
  <c r="B128" i="33"/>
  <c r="H45" i="33" s="1"/>
  <c r="B126" i="33"/>
  <c r="B98" i="33"/>
  <c r="B96" i="33"/>
  <c r="J30" i="33" s="1"/>
  <c r="B94" i="33"/>
  <c r="B74" i="33"/>
  <c r="H14" i="33" s="1"/>
  <c r="U14" i="33" s="1"/>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Q35" i="35"/>
  <c r="Z35" i="35" s="1"/>
  <c r="Q34" i="35"/>
  <c r="Z34" i="35" s="1"/>
  <c r="H34" i="35"/>
  <c r="AB34" i="35" s="1"/>
  <c r="Q33" i="35"/>
  <c r="Z33" i="35" s="1"/>
  <c r="Q32" i="35"/>
  <c r="Z32" i="35" s="1"/>
  <c r="H32" i="35"/>
  <c r="AB32" i="35" s="1"/>
  <c r="F32" i="35"/>
  <c r="AA32" i="35"/>
  <c r="Q31" i="35"/>
  <c r="Z31" i="35" s="1"/>
  <c r="AB31" i="35"/>
  <c r="AA31" i="35"/>
  <c r="Q30" i="35"/>
  <c r="Z30" i="35" s="1"/>
  <c r="Q29" i="35"/>
  <c r="Z29" i="35"/>
  <c r="Q28" i="35"/>
  <c r="Z28" i="35" s="1"/>
  <c r="J28" i="35"/>
  <c r="H28" i="35"/>
  <c r="AB28" i="35"/>
  <c r="F28" i="35"/>
  <c r="AA28" i="35" s="1"/>
  <c r="Q27" i="35"/>
  <c r="Z27" i="35" s="1"/>
  <c r="Q26" i="35"/>
  <c r="Z26" i="35" s="1"/>
  <c r="Q25" i="35"/>
  <c r="Z25" i="35" s="1"/>
  <c r="Q24" i="35"/>
  <c r="Z24" i="35" s="1"/>
  <c r="Q23" i="35"/>
  <c r="Z23" i="35" s="1"/>
  <c r="J23" i="35"/>
  <c r="AC23" i="35" s="1"/>
  <c r="Q22" i="35"/>
  <c r="Z22" i="35" s="1"/>
  <c r="Q20" i="35"/>
  <c r="Z20" i="35"/>
  <c r="Q16" i="35"/>
  <c r="Z16" i="35" s="1"/>
  <c r="Q14" i="35"/>
  <c r="Z14" i="35" s="1"/>
  <c r="Q13" i="35"/>
  <c r="Z13" i="35" s="1"/>
  <c r="Q12" i="35"/>
  <c r="Z12" i="35" s="1"/>
  <c r="H12" i="35"/>
  <c r="AB12" i="35" s="1"/>
  <c r="Q11" i="35"/>
  <c r="Z11" i="35" s="1"/>
  <c r="Q10" i="35"/>
  <c r="Z10" i="35" s="1"/>
  <c r="Q9" i="35"/>
  <c r="Z9" i="35" s="1"/>
  <c r="J8" i="35"/>
  <c r="W8" i="35" s="1"/>
  <c r="H8" i="35"/>
  <c r="AB8" i="35" s="1"/>
  <c r="F8" i="35"/>
  <c r="AA8" i="35" s="1"/>
  <c r="D120" i="34"/>
  <c r="E120" i="34" s="1"/>
  <c r="F120" i="34" s="1"/>
  <c r="G120" i="34" s="1"/>
  <c r="H120" i="34" s="1"/>
  <c r="I120" i="34"/>
  <c r="J120" i="34" s="1"/>
  <c r="K120" i="34" s="1"/>
  <c r="L120" i="34"/>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c r="Q42" i="34"/>
  <c r="Z42" i="34"/>
  <c r="Q41" i="34"/>
  <c r="Z41" i="34" s="1"/>
  <c r="Q40" i="34"/>
  <c r="Z40" i="34" s="1"/>
  <c r="Q39" i="34"/>
  <c r="Z39" i="34" s="1"/>
  <c r="H39" i="34"/>
  <c r="AB39" i="34" s="1"/>
  <c r="Q38" i="34"/>
  <c r="Z38" i="34" s="1"/>
  <c r="Q37" i="34"/>
  <c r="Z37" i="34" s="1"/>
  <c r="Q36" i="34"/>
  <c r="Z36" i="34" s="1"/>
  <c r="Q35" i="34"/>
  <c r="Z35" i="34"/>
  <c r="Q34" i="34"/>
  <c r="Z34" i="34"/>
  <c r="J34" i="34"/>
  <c r="AC34" i="34" s="1"/>
  <c r="H34" i="34"/>
  <c r="U34" i="34" s="1"/>
  <c r="AB34" i="34"/>
  <c r="F34" i="34"/>
  <c r="AA34" i="34" s="1"/>
  <c r="Q33" i="34"/>
  <c r="Z33" i="34" s="1"/>
  <c r="Q32" i="34"/>
  <c r="Z32" i="34" s="1"/>
  <c r="Q31" i="34"/>
  <c r="Z31" i="34"/>
  <c r="Q30" i="34"/>
  <c r="Z30" i="34" s="1"/>
  <c r="Q29" i="34"/>
  <c r="Z29" i="34"/>
  <c r="Q28" i="34"/>
  <c r="Z28" i="34" s="1"/>
  <c r="Q27" i="34"/>
  <c r="Z27" i="34"/>
  <c r="Q25" i="34"/>
  <c r="Z25" i="34"/>
  <c r="Q23" i="34"/>
  <c r="Z23" i="34" s="1"/>
  <c r="C23" i="34"/>
  <c r="Q19" i="34"/>
  <c r="Z19" i="34" s="1"/>
  <c r="C19" i="34"/>
  <c r="Q17" i="34"/>
  <c r="Z17" i="34" s="1"/>
  <c r="C17" i="34"/>
  <c r="Q15" i="34"/>
  <c r="Z15" i="34" s="1"/>
  <c r="Q14" i="34"/>
  <c r="Z14" i="34" s="1"/>
  <c r="Q13" i="34"/>
  <c r="Z13" i="34"/>
  <c r="Q12" i="34"/>
  <c r="Z12" i="34" s="1"/>
  <c r="J12" i="34"/>
  <c r="Q11" i="34"/>
  <c r="Z11" i="34" s="1"/>
  <c r="Q10" i="34"/>
  <c r="Z10" i="34" s="1"/>
  <c r="F10" i="34"/>
  <c r="AA10" i="34" s="1"/>
  <c r="Q9" i="34"/>
  <c r="Z9" i="34"/>
  <c r="J9" i="34"/>
  <c r="W9" i="34" s="1"/>
  <c r="AC9" i="34"/>
  <c r="J8" i="34"/>
  <c r="AC8" i="34" s="1"/>
  <c r="H8" i="34"/>
  <c r="U8" i="34" s="1"/>
  <c r="F8" i="34"/>
  <c r="D121" i="33"/>
  <c r="J41" i="33" s="1"/>
  <c r="F109" i="33"/>
  <c r="E109" i="33"/>
  <c r="D109" i="33"/>
  <c r="C109" i="33"/>
  <c r="D91" i="33"/>
  <c r="E91" i="33" s="1"/>
  <c r="B88" i="33"/>
  <c r="C23" i="33"/>
  <c r="C19" i="33"/>
  <c r="C17" i="33"/>
  <c r="C15" i="33"/>
  <c r="C15" i="21"/>
  <c r="D125" i="33"/>
  <c r="D123" i="33"/>
  <c r="J42" i="33" s="1"/>
  <c r="AC42" i="33" s="1"/>
  <c r="D117" i="33"/>
  <c r="E117" i="33" s="1"/>
  <c r="F117" i="33" s="1"/>
  <c r="G117" i="33" s="1"/>
  <c r="D115" i="33"/>
  <c r="H38" i="33" s="1"/>
  <c r="AB38"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s="1"/>
  <c r="Q15" i="33"/>
  <c r="Z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56" i="43" s="1"/>
  <c r="C18" i="20"/>
  <c r="C17" i="20"/>
  <c r="B59" i="43" s="1"/>
  <c r="C16" i="20"/>
  <c r="C17" i="39" s="1"/>
  <c r="C15" i="20"/>
  <c r="B70" i="43" s="1"/>
  <c r="E54" i="21"/>
  <c r="F54" i="21" s="1"/>
  <c r="I54" i="21"/>
  <c r="J54" i="21"/>
  <c r="G54" i="21"/>
  <c r="H54" i="21" s="1"/>
  <c r="D125" i="21"/>
  <c r="E125" i="21" s="1"/>
  <c r="F125" i="21" s="1"/>
  <c r="G125" i="21" s="1"/>
  <c r="D123" i="21"/>
  <c r="E123" i="21"/>
  <c r="F123" i="21" s="1"/>
  <c r="F42" i="21"/>
  <c r="AA42" i="21" s="1"/>
  <c r="D119" i="21"/>
  <c r="E119" i="21" s="1"/>
  <c r="F40" i="21"/>
  <c r="AA40" i="21" s="1"/>
  <c r="D117" i="21"/>
  <c r="E117" i="21" s="1"/>
  <c r="F117" i="21" s="1"/>
  <c r="G117" i="21" s="1"/>
  <c r="D115" i="21"/>
  <c r="E115" i="21" s="1"/>
  <c r="F115" i="21" s="1"/>
  <c r="G115" i="21" s="1"/>
  <c r="H115" i="21" s="1"/>
  <c r="I115" i="21" s="1"/>
  <c r="J115" i="21" s="1"/>
  <c r="K115" i="21"/>
  <c r="L115" i="21" s="1"/>
  <c r="M115" i="21" s="1"/>
  <c r="D113" i="21"/>
  <c r="E113" i="21" s="1"/>
  <c r="F113" i="21" s="1"/>
  <c r="G113" i="21" s="1"/>
  <c r="H113" i="21" s="1"/>
  <c r="D110" i="21"/>
  <c r="E110" i="21" s="1"/>
  <c r="F110" i="21" s="1"/>
  <c r="G110" i="21" s="1"/>
  <c r="H110" i="21" s="1"/>
  <c r="I110" i="21" s="1"/>
  <c r="J110" i="21" s="1"/>
  <c r="K110" i="2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F46" i="21" s="1"/>
  <c r="AA46" i="21" s="1"/>
  <c r="B128" i="21"/>
  <c r="J45" i="21" s="1"/>
  <c r="W45" i="21" s="1"/>
  <c r="B126" i="21"/>
  <c r="H44" i="21" s="1"/>
  <c r="B98" i="21"/>
  <c r="F31" i="21" s="1"/>
  <c r="S31" i="21" s="1"/>
  <c r="B96" i="21"/>
  <c r="B94" i="21"/>
  <c r="J29" i="21" s="1"/>
  <c r="AC29" i="21" s="1"/>
  <c r="B92" i="21"/>
  <c r="B90" i="21"/>
  <c r="B74" i="21"/>
  <c r="B72" i="21"/>
  <c r="H13" i="21"/>
  <c r="B70" i="21"/>
  <c r="C19" i="21"/>
  <c r="C17" i="21"/>
  <c r="C23" i="21"/>
  <c r="Q9" i="21"/>
  <c r="Z9" i="21" s="1"/>
  <c r="Q10" i="21"/>
  <c r="Z10" i="21" s="1"/>
  <c r="Q11" i="21"/>
  <c r="Z11" i="21" s="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H34" i="21"/>
  <c r="F43" i="21"/>
  <c r="S43" i="21" s="1"/>
  <c r="H38" i="21"/>
  <c r="U38" i="21" s="1"/>
  <c r="H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19" i="21"/>
  <c r="J19" i="21"/>
  <c r="W19" i="21" s="1"/>
  <c r="J26" i="21"/>
  <c r="W26" i="21" s="1"/>
  <c r="F26" i="21"/>
  <c r="S26" i="21" s="1"/>
  <c r="AB41" i="21"/>
  <c r="F45" i="39"/>
  <c r="S45" i="39" s="1"/>
  <c r="J45" i="39"/>
  <c r="W45" i="39" s="1"/>
  <c r="J35" i="39"/>
  <c r="F35" i="39"/>
  <c r="AA35" i="39" s="1"/>
  <c r="U30" i="37"/>
  <c r="F39" i="37"/>
  <c r="AA39" i="37" s="1"/>
  <c r="S39" i="37"/>
  <c r="F29" i="36"/>
  <c r="AA29" i="36" s="1"/>
  <c r="W8" i="36"/>
  <c r="F16" i="36"/>
  <c r="AA16" i="36" s="1"/>
  <c r="U9" i="36"/>
  <c r="W28" i="36"/>
  <c r="S30" i="36"/>
  <c r="J33" i="36"/>
  <c r="W33" i="36" s="1"/>
  <c r="H22" i="35"/>
  <c r="AB22" i="35"/>
  <c r="AC27" i="35"/>
  <c r="S31" i="35"/>
  <c r="F36" i="34"/>
  <c r="J35" i="34"/>
  <c r="H39" i="33"/>
  <c r="AB39" i="33" s="1"/>
  <c r="U33" i="33"/>
  <c r="S40" i="33"/>
  <c r="AB39" i="37"/>
  <c r="S27" i="35"/>
  <c r="F11" i="40"/>
  <c r="AA11" i="40" s="1"/>
  <c r="H11" i="40"/>
  <c r="AB11" i="40" s="1"/>
  <c r="W8" i="40"/>
  <c r="AB39" i="40"/>
  <c r="AC9" i="40"/>
  <c r="U34" i="40"/>
  <c r="H34" i="39"/>
  <c r="U34" i="39" s="1"/>
  <c r="E109" i="39"/>
  <c r="F109" i="39" s="1"/>
  <c r="G109" i="39" s="1"/>
  <c r="H109" i="39" s="1"/>
  <c r="I109" i="39" s="1"/>
  <c r="J109" i="39" s="1"/>
  <c r="K109" i="39" s="1"/>
  <c r="L109" i="39" s="1"/>
  <c r="M109" i="39" s="1"/>
  <c r="J23" i="40"/>
  <c r="AC23" i="40" s="1"/>
  <c r="F21" i="40"/>
  <c r="AA21" i="40" s="1"/>
  <c r="J21" i="40"/>
  <c r="W21" i="40" s="1"/>
  <c r="J34" i="39"/>
  <c r="AC34" i="39" s="1"/>
  <c r="J31" i="39"/>
  <c r="F101" i="39"/>
  <c r="H27" i="39"/>
  <c r="U27" i="39" s="1"/>
  <c r="J27" i="39"/>
  <c r="AC27" i="39" s="1"/>
  <c r="F11" i="21"/>
  <c r="S11" i="21" s="1"/>
  <c r="S40" i="21"/>
  <c r="C15" i="39"/>
  <c r="H11" i="21"/>
  <c r="U11" i="21" s="1"/>
  <c r="J11" i="21"/>
  <c r="W11" i="21"/>
  <c r="H37" i="40"/>
  <c r="U37" i="40" s="1"/>
  <c r="H36" i="40"/>
  <c r="AB36" i="40"/>
  <c r="F35" i="40"/>
  <c r="S35" i="40" s="1"/>
  <c r="H23" i="40"/>
  <c r="AB23" i="40" s="1"/>
  <c r="H17" i="40"/>
  <c r="U17" i="40" s="1"/>
  <c r="J15" i="40"/>
  <c r="W15" i="40" s="1"/>
  <c r="J11" i="40"/>
  <c r="AC11" i="40" s="1"/>
  <c r="W11" i="40"/>
  <c r="U30" i="36"/>
  <c r="J30" i="35"/>
  <c r="W30" i="35" s="1"/>
  <c r="H30" i="35"/>
  <c r="U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F14" i="35"/>
  <c r="J32" i="35"/>
  <c r="AC32" i="35" s="1"/>
  <c r="J16" i="35"/>
  <c r="AC16" i="35"/>
  <c r="H16" i="35"/>
  <c r="U16" i="35" s="1"/>
  <c r="F16" i="35"/>
  <c r="S16" i="35" s="1"/>
  <c r="H14" i="35"/>
  <c r="AB14" i="35" s="1"/>
  <c r="J29" i="35"/>
  <c r="H33" i="35"/>
  <c r="AB33" i="35" s="1"/>
  <c r="AC8" i="35"/>
  <c r="J20" i="35"/>
  <c r="W20" i="35" s="1"/>
  <c r="F35" i="37"/>
  <c r="S35" i="37" s="1"/>
  <c r="F101" i="37"/>
  <c r="G101" i="37" s="1"/>
  <c r="H101" i="37" s="1"/>
  <c r="I101" i="37"/>
  <c r="J101" i="37" s="1"/>
  <c r="K101" i="37" s="1"/>
  <c r="L101" i="37" s="1"/>
  <c r="M101" i="37" s="1"/>
  <c r="J34" i="37"/>
  <c r="W34" i="37" s="1"/>
  <c r="AB34" i="37"/>
  <c r="J33" i="37"/>
  <c r="U42" i="34"/>
  <c r="H40" i="34"/>
  <c r="U40" i="34" s="1"/>
  <c r="E114" i="34"/>
  <c r="F114" i="34" s="1"/>
  <c r="H36" i="34"/>
  <c r="U36" i="34" s="1"/>
  <c r="F37" i="34"/>
  <c r="AA37" i="34" s="1"/>
  <c r="F28" i="34"/>
  <c r="AA28" i="34"/>
  <c r="F27" i="34"/>
  <c r="AA27" i="34" s="1"/>
  <c r="F25" i="34"/>
  <c r="S25" i="34"/>
  <c r="H23" i="34"/>
  <c r="J23" i="34"/>
  <c r="F19" i="34"/>
  <c r="H17" i="34"/>
  <c r="AB17" i="34" s="1"/>
  <c r="F15" i="34"/>
  <c r="S15" i="34" s="1"/>
  <c r="J15" i="34"/>
  <c r="H15" i="34"/>
  <c r="AB15" i="34" s="1"/>
  <c r="W8" i="34"/>
  <c r="E113" i="33"/>
  <c r="F113" i="33" s="1"/>
  <c r="F11" i="33"/>
  <c r="AA11" i="33" s="1"/>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J43" i="34"/>
  <c r="AC43" i="34" s="1"/>
  <c r="AB42" i="34"/>
  <c r="J40" i="34"/>
  <c r="G114" i="34"/>
  <c r="H114" i="34" s="1"/>
  <c r="I114" i="34" s="1"/>
  <c r="J114" i="34" s="1"/>
  <c r="K114" i="34" s="1"/>
  <c r="L114" i="34" s="1"/>
  <c r="M114" i="34" s="1"/>
  <c r="H38" i="34"/>
  <c r="AB38" i="34"/>
  <c r="J36" i="34"/>
  <c r="W36" i="34" s="1"/>
  <c r="H37" i="34"/>
  <c r="U37" i="34" s="1"/>
  <c r="H25" i="34"/>
  <c r="AB25" i="34"/>
  <c r="J25" i="34"/>
  <c r="AC25" i="34" s="1"/>
  <c r="F23" i="34"/>
  <c r="AA23" i="34"/>
  <c r="J19" i="34"/>
  <c r="AC19" i="34" s="1"/>
  <c r="F17" i="34"/>
  <c r="AA17" i="34" s="1"/>
  <c r="J17" i="34"/>
  <c r="G113" i="33"/>
  <c r="H113" i="33" s="1"/>
  <c r="I113" i="33" s="1"/>
  <c r="J113" i="33" s="1"/>
  <c r="K113" i="33" s="1"/>
  <c r="L113" i="33" s="1"/>
  <c r="M113" i="33" s="1"/>
  <c r="H37" i="33"/>
  <c r="AB37" i="33" s="1"/>
  <c r="H11" i="33"/>
  <c r="AB11" i="33" s="1"/>
  <c r="F28" i="40"/>
  <c r="AA28" i="40" s="1"/>
  <c r="AA42" i="34"/>
  <c r="S42" i="34"/>
  <c r="AC38" i="34"/>
  <c r="AA38" i="34"/>
  <c r="J37" i="34"/>
  <c r="J11" i="33"/>
  <c r="W11" i="33" s="1"/>
  <c r="S28" i="34"/>
  <c r="U23" i="40"/>
  <c r="G123" i="21"/>
  <c r="H123" i="21" s="1"/>
  <c r="I123" i="21"/>
  <c r="J123" i="21" s="1"/>
  <c r="K123" i="21" s="1"/>
  <c r="L123" i="21" s="1"/>
  <c r="M123" i="21" s="1"/>
  <c r="J42" i="21"/>
  <c r="AC42" i="21" s="1"/>
  <c r="H42" i="21"/>
  <c r="U42" i="21"/>
  <c r="J44" i="34"/>
  <c r="F44" i="34"/>
  <c r="AA44" i="34" s="1"/>
  <c r="J10" i="35"/>
  <c r="W10" i="35" s="1"/>
  <c r="BL587" i="3"/>
  <c r="H28" i="21"/>
  <c r="AB28" i="21" s="1"/>
  <c r="F28" i="21"/>
  <c r="AA28" i="21"/>
  <c r="J28" i="21"/>
  <c r="F30" i="21"/>
  <c r="S30" i="21" s="1"/>
  <c r="J44" i="21"/>
  <c r="AC44" i="21" s="1"/>
  <c r="U44" i="21"/>
  <c r="F44" i="21"/>
  <c r="AA44"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H10" i="36"/>
  <c r="AB10" i="36" s="1"/>
  <c r="J14" i="36"/>
  <c r="AC14" i="36" s="1"/>
  <c r="H14" i="36"/>
  <c r="U14" i="36" s="1"/>
  <c r="F28" i="36"/>
  <c r="AA28" i="36" s="1"/>
  <c r="J13" i="21"/>
  <c r="AC13" i="21" s="1"/>
  <c r="H29" i="21"/>
  <c r="U29" i="21"/>
  <c r="J31" i="21"/>
  <c r="AC31" i="21" s="1"/>
  <c r="H13" i="33"/>
  <c r="F13" i="33"/>
  <c r="F29" i="33"/>
  <c r="S29" i="33" s="1"/>
  <c r="J31" i="33"/>
  <c r="W31" i="33" s="1"/>
  <c r="H31" i="33"/>
  <c r="F31" i="33"/>
  <c r="J45" i="33"/>
  <c r="W45" i="33" s="1"/>
  <c r="F45" i="33"/>
  <c r="AA45" i="33" s="1"/>
  <c r="W14" i="34"/>
  <c r="F14" i="34"/>
  <c r="S14" i="34" s="1"/>
  <c r="H14" i="34"/>
  <c r="H30" i="34"/>
  <c r="F30" i="34"/>
  <c r="S30" i="34" s="1"/>
  <c r="W30" i="34"/>
  <c r="H32" i="34"/>
  <c r="F32" i="34"/>
  <c r="J32" i="34"/>
  <c r="W32" i="34" s="1"/>
  <c r="J46" i="34"/>
  <c r="H11" i="35"/>
  <c r="J11" i="35"/>
  <c r="F11" i="35"/>
  <c r="J26" i="36"/>
  <c r="W26" i="36" s="1"/>
  <c r="H28" i="36"/>
  <c r="U28" i="36" s="1"/>
  <c r="H32" i="36"/>
  <c r="AB32" i="36" s="1"/>
  <c r="J32" i="36"/>
  <c r="H11" i="36"/>
  <c r="U11" i="36"/>
  <c r="H13" i="36"/>
  <c r="AB13" i="36" s="1"/>
  <c r="E89" i="37"/>
  <c r="F89" i="37" s="1"/>
  <c r="G89" i="37" s="1"/>
  <c r="H89" i="37" s="1"/>
  <c r="I89" i="37" s="1"/>
  <c r="J89" i="37" s="1"/>
  <c r="K89" i="37" s="1"/>
  <c r="L89" i="37" s="1"/>
  <c r="M89" i="37" s="1"/>
  <c r="J29" i="37"/>
  <c r="W29" i="37" s="1"/>
  <c r="F29" i="37"/>
  <c r="S29" i="37" s="1"/>
  <c r="H36" i="37"/>
  <c r="U36" i="37" s="1"/>
  <c r="AB36" i="37"/>
  <c r="J37" i="37"/>
  <c r="H37" i="37"/>
  <c r="U37" i="37" s="1"/>
  <c r="H40" i="37"/>
  <c r="U40" i="37"/>
  <c r="F40" i="37"/>
  <c r="AA40" i="37" s="1"/>
  <c r="AC12" i="40"/>
  <c r="F14" i="33"/>
  <c r="J14" i="33"/>
  <c r="H30" i="33"/>
  <c r="AB30" i="33" s="1"/>
  <c r="F30" i="33"/>
  <c r="H44" i="33"/>
  <c r="J44" i="33"/>
  <c r="AC44" i="33" s="1"/>
  <c r="F44" i="33"/>
  <c r="J46" i="33"/>
  <c r="AC46" i="33" s="1"/>
  <c r="H46" i="33"/>
  <c r="AB46" i="33" s="1"/>
  <c r="H13" i="34"/>
  <c r="J29" i="34"/>
  <c r="AC29" i="34" s="1"/>
  <c r="F29" i="34"/>
  <c r="H29" i="34"/>
  <c r="AB29" i="34" s="1"/>
  <c r="J31" i="34"/>
  <c r="AC31" i="34" s="1"/>
  <c r="H31" i="34"/>
  <c r="AB31" i="34" s="1"/>
  <c r="F31" i="34"/>
  <c r="S31" i="34"/>
  <c r="F45" i="34"/>
  <c r="S45" i="34" s="1"/>
  <c r="H47" i="34"/>
  <c r="U47" i="34" s="1"/>
  <c r="F47" i="34"/>
  <c r="S47" i="34" s="1"/>
  <c r="AC47" i="34"/>
  <c r="F13" i="35"/>
  <c r="J13" i="35"/>
  <c r="AC13" i="35" s="1"/>
  <c r="H13" i="35"/>
  <c r="U13" i="35" s="1"/>
  <c r="W25" i="35"/>
  <c r="F25" i="35"/>
  <c r="S25" i="35" s="1"/>
  <c r="H25" i="35"/>
  <c r="AB25" i="35"/>
  <c r="J35" i="35"/>
  <c r="AC35" i="35" s="1"/>
  <c r="F35" i="35"/>
  <c r="AA35" i="35"/>
  <c r="H35" i="35"/>
  <c r="AB35" i="35" s="1"/>
  <c r="J25" i="36"/>
  <c r="W25" i="36" s="1"/>
  <c r="F25" i="36"/>
  <c r="S25" i="36" s="1"/>
  <c r="H25" i="36"/>
  <c r="AB25" i="36"/>
  <c r="H13" i="37"/>
  <c r="AB13" i="37" s="1"/>
  <c r="F13" i="37"/>
  <c r="S13" i="37" s="1"/>
  <c r="J13" i="37"/>
  <c r="W13" i="37" s="1"/>
  <c r="AA28" i="37"/>
  <c r="J28" i="37"/>
  <c r="AC28" i="37" s="1"/>
  <c r="H28" i="37"/>
  <c r="AB28" i="37" s="1"/>
  <c r="F43" i="39"/>
  <c r="AA43" i="39" s="1"/>
  <c r="J14" i="39"/>
  <c r="AC14" i="39" s="1"/>
  <c r="F12" i="40"/>
  <c r="H30" i="40"/>
  <c r="AB30" i="40" s="1"/>
  <c r="F33" i="40"/>
  <c r="AA33" i="40" s="1"/>
  <c r="H33" i="40"/>
  <c r="AB33" i="40" s="1"/>
  <c r="U33" i="40"/>
  <c r="J35" i="40"/>
  <c r="AC35" i="40" s="1"/>
  <c r="J37" i="40"/>
  <c r="AC37" i="40"/>
  <c r="J13" i="40"/>
  <c r="W13" i="40" s="1"/>
  <c r="F13" i="40"/>
  <c r="AA13" i="40" s="1"/>
  <c r="F14" i="37"/>
  <c r="S14" i="37"/>
  <c r="F13" i="39"/>
  <c r="H14" i="40"/>
  <c r="J14" i="40"/>
  <c r="W14" i="40" s="1"/>
  <c r="F14" i="40"/>
  <c r="J14" i="37"/>
  <c r="W14" i="37" s="1"/>
  <c r="U31" i="34"/>
  <c r="J36" i="37"/>
  <c r="AC36" i="37" s="1"/>
  <c r="AB11" i="36"/>
  <c r="J10" i="36"/>
  <c r="AC10" i="36"/>
  <c r="AA14" i="37"/>
  <c r="W13" i="36"/>
  <c r="AC30" i="34"/>
  <c r="S45" i="33"/>
  <c r="BA585" i="3"/>
  <c r="F17" i="21"/>
  <c r="AA17" i="21" s="1"/>
  <c r="H17" i="21"/>
  <c r="AB17" i="21" s="1"/>
  <c r="F15" i="21"/>
  <c r="S15" i="21" s="1"/>
  <c r="AB11" i="21"/>
  <c r="J41" i="39"/>
  <c r="W41" i="39" s="1"/>
  <c r="AC45" i="39"/>
  <c r="U36" i="39"/>
  <c r="S35" i="39"/>
  <c r="G544" i="3"/>
  <c r="G540" i="3"/>
  <c r="G532" i="3"/>
  <c r="G531" i="3"/>
  <c r="G528" i="3"/>
  <c r="G527" i="3"/>
  <c r="G523" i="3"/>
  <c r="G514" i="3"/>
  <c r="G510" i="3"/>
  <c r="G500" i="3"/>
  <c r="G496" i="3"/>
  <c r="G584" i="3"/>
  <c r="G576" i="3"/>
  <c r="G568" i="3"/>
  <c r="G564" i="3"/>
  <c r="G554" i="3"/>
  <c r="G550" i="3"/>
  <c r="BL584" i="3"/>
  <c r="BL572" i="3"/>
  <c r="BL568" i="3"/>
  <c r="BL564" i="3"/>
  <c r="BL560" i="3"/>
  <c r="BL522" i="3"/>
  <c r="BL516" i="3"/>
  <c r="BL498" i="3"/>
  <c r="BL582" i="3"/>
  <c r="BL578" i="3"/>
  <c r="BL574" i="3"/>
  <c r="BL552" i="3"/>
  <c r="BL536" i="3"/>
  <c r="G533" i="3"/>
  <c r="G525" i="3"/>
  <c r="BL524" i="3"/>
  <c r="BL514" i="3"/>
  <c r="G493" i="3"/>
  <c r="BA584" i="3"/>
  <c r="BA582" i="3"/>
  <c r="AZ582" i="3" s="1"/>
  <c r="BA580" i="3"/>
  <c r="BA576" i="3"/>
  <c r="BA574" i="3"/>
  <c r="AZ574" i="3" s="1"/>
  <c r="BA564" i="3"/>
  <c r="BA560" i="3"/>
  <c r="BA558" i="3"/>
  <c r="BA554" i="3"/>
  <c r="BA540" i="3"/>
  <c r="BA538" i="3"/>
  <c r="BA530" i="3"/>
  <c r="AZ530" i="3" s="1"/>
  <c r="BA528" i="3"/>
  <c r="BA526" i="3"/>
  <c r="AZ516" i="3"/>
  <c r="BA512" i="3"/>
  <c r="BA510" i="3"/>
  <c r="BA504" i="3"/>
  <c r="BA502" i="3"/>
  <c r="BA500" i="3"/>
  <c r="BA587" i="3"/>
  <c r="AZ587" i="3" s="1"/>
  <c r="BA583" i="3"/>
  <c r="AZ583" i="3" s="1"/>
  <c r="BA581" i="3"/>
  <c r="AZ581" i="3" s="1"/>
  <c r="BA579" i="3"/>
  <c r="BA575" i="3"/>
  <c r="BA573" i="3"/>
  <c r="BA565" i="3"/>
  <c r="BA563" i="3"/>
  <c r="BA559" i="3"/>
  <c r="BA555" i="3"/>
  <c r="AZ555" i="3" s="1"/>
  <c r="BA549" i="3"/>
  <c r="BA545" i="3"/>
  <c r="BA531" i="3"/>
  <c r="BA529" i="3"/>
  <c r="AZ529" i="3" s="1"/>
  <c r="BA523" i="3"/>
  <c r="BA513" i="3"/>
  <c r="BA511" i="3"/>
  <c r="AZ511" i="3" s="1"/>
  <c r="BA507" i="3"/>
  <c r="AZ560" i="3"/>
  <c r="G583" i="3"/>
  <c r="G581" i="3"/>
  <c r="G579" i="3"/>
  <c r="G577" i="3"/>
  <c r="G575" i="3"/>
  <c r="G569" i="3"/>
  <c r="G567" i="3"/>
  <c r="G565" i="3"/>
  <c r="G563" i="3"/>
  <c r="G561" i="3"/>
  <c r="BL558" i="3"/>
  <c r="AZ558" i="3" s="1"/>
  <c r="AC557" i="3"/>
  <c r="G557" i="3" s="1"/>
  <c r="BQ557" i="3"/>
  <c r="BL557" i="3"/>
  <c r="BQ583" i="3"/>
  <c r="BL583" i="3"/>
  <c r="BQ581" i="3"/>
  <c r="BL581" i="3" s="1"/>
  <c r="BQ579" i="3"/>
  <c r="BQ577" i="3"/>
  <c r="BL577" i="3"/>
  <c r="BQ575" i="3"/>
  <c r="BL575" i="3" s="1"/>
  <c r="BQ573" i="3"/>
  <c r="BQ571" i="3"/>
  <c r="BL571" i="3"/>
  <c r="BQ569" i="3"/>
  <c r="BQ567" i="3"/>
  <c r="BQ565" i="3"/>
  <c r="BL565" i="3" s="1"/>
  <c r="BQ563" i="3"/>
  <c r="BL563" i="3"/>
  <c r="BQ561" i="3"/>
  <c r="BQ559" i="3"/>
  <c r="G559" i="3"/>
  <c r="G555" i="3"/>
  <c r="G553" i="3"/>
  <c r="G545" i="3"/>
  <c r="G543" i="3"/>
  <c r="G541" i="3"/>
  <c r="BQ555" i="3"/>
  <c r="BL555" i="3" s="1"/>
  <c r="BQ553" i="3"/>
  <c r="BL553" i="3" s="1"/>
  <c r="BQ551" i="3"/>
  <c r="BL551" i="3"/>
  <c r="BQ549" i="3"/>
  <c r="BQ547" i="3"/>
  <c r="BL547" i="3"/>
  <c r="BQ545" i="3"/>
  <c r="BL545" i="3"/>
  <c r="BQ543" i="3"/>
  <c r="BL543" i="3" s="1"/>
  <c r="BQ541" i="3"/>
  <c r="BQ539" i="3"/>
  <c r="BQ537" i="3"/>
  <c r="BQ535" i="3"/>
  <c r="BL535" i="3"/>
  <c r="BQ533" i="3"/>
  <c r="BQ531" i="3"/>
  <c r="BL531" i="3" s="1"/>
  <c r="BQ529" i="3"/>
  <c r="BL529" i="3" s="1"/>
  <c r="BQ527" i="3"/>
  <c r="BQ525" i="3"/>
  <c r="BL525" i="3"/>
  <c r="BQ523" i="3"/>
  <c r="AC521" i="3"/>
  <c r="G521" i="3" s="1"/>
  <c r="BQ521" i="3"/>
  <c r="BL521" i="3"/>
  <c r="G519" i="3"/>
  <c r="G515" i="3"/>
  <c r="G513" i="3"/>
  <c r="G511" i="3"/>
  <c r="BQ519" i="3"/>
  <c r="BQ517" i="3"/>
  <c r="BL517" i="3" s="1"/>
  <c r="BQ515" i="3"/>
  <c r="BQ513" i="3"/>
  <c r="BQ511" i="3"/>
  <c r="BL511" i="3"/>
  <c r="BA509" i="3"/>
  <c r="AC509" i="3"/>
  <c r="BQ509" i="3"/>
  <c r="G507" i="3"/>
  <c r="G505" i="3"/>
  <c r="G503" i="3"/>
  <c r="G501" i="3"/>
  <c r="G497" i="3"/>
  <c r="G495" i="3"/>
  <c r="BQ507" i="3"/>
  <c r="BL507" i="3" s="1"/>
  <c r="BQ505" i="3"/>
  <c r="BQ503" i="3"/>
  <c r="BL503" i="3" s="1"/>
  <c r="BQ501" i="3"/>
  <c r="BL501" i="3" s="1"/>
  <c r="BQ499" i="3"/>
  <c r="BL499" i="3" s="1"/>
  <c r="BQ497" i="3"/>
  <c r="BL497" i="3"/>
  <c r="BQ495" i="3"/>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c r="F22" i="36"/>
  <c r="S22" i="36" s="1"/>
  <c r="F26" i="36"/>
  <c r="S26" i="36" s="1"/>
  <c r="H27" i="34"/>
  <c r="AB27" i="34"/>
  <c r="H35" i="34"/>
  <c r="U35" i="34" s="1"/>
  <c r="F41" i="34"/>
  <c r="H41" i="34"/>
  <c r="U41" i="34" s="1"/>
  <c r="J41" i="34"/>
  <c r="AC41" i="34" s="1"/>
  <c r="F10" i="35"/>
  <c r="S10" i="35"/>
  <c r="F24" i="35"/>
  <c r="AA24" i="35" s="1"/>
  <c r="H24" i="35"/>
  <c r="AB24" i="35" s="1"/>
  <c r="H23" i="37"/>
  <c r="AB23" i="37"/>
  <c r="J32" i="37"/>
  <c r="AC32" i="37" s="1"/>
  <c r="F36" i="37"/>
  <c r="AA36" i="37" s="1"/>
  <c r="F37" i="37"/>
  <c r="AA37" i="37" s="1"/>
  <c r="F31" i="40"/>
  <c r="AA31" i="40"/>
  <c r="H31" i="40"/>
  <c r="U31" i="40" s="1"/>
  <c r="J36" i="40"/>
  <c r="W36" i="40"/>
  <c r="H19" i="37"/>
  <c r="U19" i="37" s="1"/>
  <c r="H42" i="33"/>
  <c r="AB42" i="33" s="1"/>
  <c r="J43" i="33"/>
  <c r="AC43" i="33" s="1"/>
  <c r="U33" i="37"/>
  <c r="U39" i="37"/>
  <c r="W26" i="37"/>
  <c r="AC8" i="37"/>
  <c r="U26" i="37"/>
  <c r="W47" i="34"/>
  <c r="AC36" i="34"/>
  <c r="AC45" i="33"/>
  <c r="W44" i="33"/>
  <c r="U19" i="21"/>
  <c r="W44" i="21"/>
  <c r="AB38" i="21"/>
  <c r="F43" i="33"/>
  <c r="AA43" i="33" s="1"/>
  <c r="W15" i="34"/>
  <c r="AC15" i="34"/>
  <c r="W16" i="35"/>
  <c r="H107" i="37"/>
  <c r="I107" i="37" s="1"/>
  <c r="J107" i="37" s="1"/>
  <c r="K107" i="37"/>
  <c r="L107" i="37" s="1"/>
  <c r="M107" i="37" s="1"/>
  <c r="H37" i="21"/>
  <c r="U37" i="21" s="1"/>
  <c r="S42" i="21"/>
  <c r="H19" i="34"/>
  <c r="AB19" i="34" s="1"/>
  <c r="F36" i="35"/>
  <c r="S36" i="35"/>
  <c r="J9" i="37"/>
  <c r="AC9" i="37" s="1"/>
  <c r="AB9" i="37"/>
  <c r="F9" i="37"/>
  <c r="S9" i="37"/>
  <c r="J12" i="37"/>
  <c r="W12" i="37" s="1"/>
  <c r="H12" i="37"/>
  <c r="U12" i="37" s="1"/>
  <c r="AB12" i="37"/>
  <c r="S12" i="37"/>
  <c r="E71" i="37"/>
  <c r="F71" i="37" s="1"/>
  <c r="G71" i="37" s="1"/>
  <c r="F15" i="37"/>
  <c r="AA15" i="37" s="1"/>
  <c r="F31" i="37"/>
  <c r="S31" i="37" s="1"/>
  <c r="J42" i="39"/>
  <c r="AC42" i="39" s="1"/>
  <c r="H21" i="40"/>
  <c r="U21" i="40" s="1"/>
  <c r="AB21" i="40"/>
  <c r="AC12" i="37"/>
  <c r="F94" i="37"/>
  <c r="G94" i="37" s="1"/>
  <c r="H94" i="37" s="1"/>
  <c r="I94" i="37" s="1"/>
  <c r="J94" i="37" s="1"/>
  <c r="K94" i="37" s="1"/>
  <c r="L94" i="37" s="1"/>
  <c r="M94" i="37" s="1"/>
  <c r="H31" i="37"/>
  <c r="U31" i="37"/>
  <c r="J15" i="37"/>
  <c r="W15" i="37" s="1"/>
  <c r="AT6" i="3"/>
  <c r="C12" i="43"/>
  <c r="H19" i="40"/>
  <c r="U19" i="40" s="1"/>
  <c r="F88" i="40"/>
  <c r="G88" i="40" s="1"/>
  <c r="F19" i="40"/>
  <c r="AA19" i="40" s="1"/>
  <c r="AC13" i="40"/>
  <c r="U45" i="39"/>
  <c r="AB45" i="39"/>
  <c r="AB44" i="39"/>
  <c r="U44" i="39"/>
  <c r="G101" i="39"/>
  <c r="H37" i="39"/>
  <c r="AB37" i="39" s="1"/>
  <c r="H25" i="39"/>
  <c r="AB25" i="39" s="1"/>
  <c r="J25" i="39"/>
  <c r="AC25" i="39" s="1"/>
  <c r="F25" i="39"/>
  <c r="AA25" i="39" s="1"/>
  <c r="F15" i="39"/>
  <c r="H15" i="39"/>
  <c r="U15" i="39" s="1"/>
  <c r="J15" i="39"/>
  <c r="W15" i="39" s="1"/>
  <c r="H41" i="39"/>
  <c r="U41" i="39" s="1"/>
  <c r="AB34" i="39"/>
  <c r="W14" i="39"/>
  <c r="W9" i="39"/>
  <c r="W8" i="39"/>
  <c r="J19" i="40"/>
  <c r="AC19" i="40" s="1"/>
  <c r="J50" i="40"/>
  <c r="H103" i="9"/>
  <c r="D8" i="53" s="1"/>
  <c r="B16" i="53"/>
  <c r="B33" i="72" s="1"/>
  <c r="C7" i="37"/>
  <c r="C7" i="34"/>
  <c r="C7" i="36"/>
  <c r="C46" i="36" s="1"/>
  <c r="D46" i="36" s="1"/>
  <c r="E46" i="36" s="1"/>
  <c r="F46" i="36" s="1"/>
  <c r="G46" i="36" s="1"/>
  <c r="H46" i="36" s="1"/>
  <c r="I46" i="36" s="1"/>
  <c r="W35" i="40"/>
  <c r="A4" i="52"/>
  <c r="B41" i="72" s="1"/>
  <c r="G4" i="4"/>
  <c r="I4" i="4"/>
  <c r="F59" i="43"/>
  <c r="H62" i="43" s="1"/>
  <c r="BL549" i="3"/>
  <c r="G546" i="3"/>
  <c r="G524" i="3"/>
  <c r="G303" i="3"/>
  <c r="BL304" i="3"/>
  <c r="G305" i="3"/>
  <c r="BL306" i="3"/>
  <c r="AZ306" i="3" s="1"/>
  <c r="BA308" i="3"/>
  <c r="AZ308" i="3" s="1"/>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BA376" i="3"/>
  <c r="BL376" i="3"/>
  <c r="AZ376" i="3" s="1"/>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AZ199" i="3" s="1"/>
  <c r="BL200" i="3"/>
  <c r="G201" i="3"/>
  <c r="BA203" i="3"/>
  <c r="BL204" i="3"/>
  <c r="G534" i="3"/>
  <c r="G530"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BL321" i="3"/>
  <c r="G322" i="3"/>
  <c r="G325" i="3"/>
  <c r="BL326" i="3"/>
  <c r="AZ326" i="3" s="1"/>
  <c r="BA328" i="3"/>
  <c r="AZ328" i="3" s="1"/>
  <c r="BA329" i="3"/>
  <c r="BL329" i="3"/>
  <c r="G330" i="3"/>
  <c r="G333" i="3"/>
  <c r="BL334" i="3"/>
  <c r="AZ336" i="3"/>
  <c r="BA337" i="3"/>
  <c r="AZ337" i="3" s="1"/>
  <c r="BL337" i="3"/>
  <c r="G338" i="3"/>
  <c r="G341" i="3"/>
  <c r="BA342" i="3"/>
  <c r="BL342" i="3"/>
  <c r="AZ342" i="3"/>
  <c r="BA344" i="3"/>
  <c r="BL344" i="3"/>
  <c r="BA346" i="3"/>
  <c r="BA347" i="3"/>
  <c r="BL347" i="3"/>
  <c r="G350" i="3"/>
  <c r="BA351" i="3"/>
  <c r="AZ351" i="3"/>
  <c r="BL351" i="3"/>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AZ303" i="3" s="1"/>
  <c r="G304" i="3"/>
  <c r="BA306" i="3"/>
  <c r="BL307" i="3"/>
  <c r="G308" i="3"/>
  <c r="BA310" i="3"/>
  <c r="BL311" i="3"/>
  <c r="AZ311" i="3"/>
  <c r="G312" i="3"/>
  <c r="BA314" i="3"/>
  <c r="BL315" i="3"/>
  <c r="G316" i="3"/>
  <c r="BA318" i="3"/>
  <c r="BL319" i="3"/>
  <c r="G320" i="3"/>
  <c r="BA322" i="3"/>
  <c r="BL323" i="3"/>
  <c r="G324" i="3"/>
  <c r="BA326" i="3"/>
  <c r="BL327" i="3"/>
  <c r="G328" i="3"/>
  <c r="BA330" i="3"/>
  <c r="BL331" i="3"/>
  <c r="G332" i="3"/>
  <c r="BA334" i="3"/>
  <c r="AZ334" i="3"/>
  <c r="BL335" i="3"/>
  <c r="G336" i="3"/>
  <c r="BA338" i="3"/>
  <c r="AZ338" i="3" s="1"/>
  <c r="BL339" i="3"/>
  <c r="G340" i="3"/>
  <c r="BL343" i="3"/>
  <c r="G344" i="3"/>
  <c r="G348" i="3"/>
  <c r="G355" i="3"/>
  <c r="G342" i="3"/>
  <c r="BL345" i="3"/>
  <c r="AZ345" i="3"/>
  <c r="G346" i="3"/>
  <c r="BL349" i="3"/>
  <c r="AZ349" i="3" s="1"/>
  <c r="BL352" i="3"/>
  <c r="G353" i="3"/>
  <c r="BA357" i="3"/>
  <c r="AZ357" i="3"/>
  <c r="BL358" i="3"/>
  <c r="G359" i="3"/>
  <c r="BA361" i="3"/>
  <c r="BL362" i="3"/>
  <c r="AZ362" i="3" s="1"/>
  <c r="G363" i="3"/>
  <c r="BA365" i="3"/>
  <c r="BL366" i="3"/>
  <c r="G367" i="3"/>
  <c r="BA369" i="3"/>
  <c r="BL370" i="3"/>
  <c r="AZ370" i="3" s="1"/>
  <c r="G371" i="3"/>
  <c r="BA373" i="3"/>
  <c r="AZ373" i="3" s="1"/>
  <c r="BL374" i="3"/>
  <c r="G375" i="3"/>
  <c r="BA377" i="3"/>
  <c r="BA379" i="3"/>
  <c r="AZ379" i="3"/>
  <c r="BL380" i="3"/>
  <c r="G381" i="3"/>
  <c r="BA383" i="3"/>
  <c r="BL384" i="3"/>
  <c r="G385" i="3"/>
  <c r="BA387" i="3"/>
  <c r="BL388" i="3"/>
  <c r="G389" i="3"/>
  <c r="BA391" i="3"/>
  <c r="AZ391" i="3"/>
  <c r="BL392" i="3"/>
  <c r="G393" i="3"/>
  <c r="BJ5" i="3"/>
  <c r="BH5" i="3"/>
  <c r="BF5" i="3"/>
  <c r="BD5" i="3"/>
  <c r="AZ309" i="3"/>
  <c r="G548" i="3"/>
  <c r="G520" i="3"/>
  <c r="G502" i="3"/>
  <c r="BP5" i="3"/>
  <c r="BI5" i="3"/>
  <c r="BG5" i="3"/>
  <c r="G17" i="3"/>
  <c r="BA17" i="3"/>
  <c r="BT5" i="3"/>
  <c r="AZ356" i="3"/>
  <c r="BA15" i="3"/>
  <c r="BB5" i="3"/>
  <c r="G509" i="3"/>
  <c r="U36" i="40"/>
  <c r="F36" i="43"/>
  <c r="F81" i="43"/>
  <c r="H83" i="43" s="1"/>
  <c r="H113" i="43"/>
  <c r="F70" i="43"/>
  <c r="H73" i="43" s="1"/>
  <c r="M11" i="43"/>
  <c r="D17" i="43"/>
  <c r="F39" i="43"/>
  <c r="I17" i="43"/>
  <c r="F35" i="43"/>
  <c r="J17" i="43"/>
  <c r="F6" i="1"/>
  <c r="U35" i="21"/>
  <c r="AC35" i="21"/>
  <c r="U10" i="21"/>
  <c r="G10" i="1"/>
  <c r="W44" i="34"/>
  <c r="AC44" i="34"/>
  <c r="S15" i="37"/>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c r="AC29" i="35"/>
  <c r="W29" i="35"/>
  <c r="H35" i="37"/>
  <c r="AB35" i="37" s="1"/>
  <c r="U35" i="37"/>
  <c r="AC14" i="35"/>
  <c r="H20" i="35"/>
  <c r="U20" i="35" s="1"/>
  <c r="F20" i="35"/>
  <c r="AA20" i="35" s="1"/>
  <c r="AB29" i="36"/>
  <c r="U29" i="36"/>
  <c r="H32" i="37"/>
  <c r="U32" i="37" s="1"/>
  <c r="F96" i="37"/>
  <c r="H27" i="40"/>
  <c r="U27" i="40" s="1"/>
  <c r="J27" i="40"/>
  <c r="AC27" i="40" s="1"/>
  <c r="F27" i="40"/>
  <c r="AA27" i="40" s="1"/>
  <c r="J30" i="40"/>
  <c r="AC30" i="40" s="1"/>
  <c r="F30" i="40"/>
  <c r="AA30" i="40" s="1"/>
  <c r="AC21" i="40"/>
  <c r="S11" i="40"/>
  <c r="E98" i="40"/>
  <c r="F98" i="40" s="1"/>
  <c r="G98" i="40" s="1"/>
  <c r="H98" i="40" s="1"/>
  <c r="I98" i="40" s="1"/>
  <c r="J98" i="40" s="1"/>
  <c r="K98" i="40" s="1"/>
  <c r="L98" i="40" s="1"/>
  <c r="M98" i="40" s="1"/>
  <c r="F10" i="33"/>
  <c r="F34" i="33"/>
  <c r="S34" i="33" s="1"/>
  <c r="H34" i="33"/>
  <c r="U34" i="33" s="1"/>
  <c r="F35" i="33"/>
  <c r="S35" i="33" s="1"/>
  <c r="F39" i="34"/>
  <c r="S39" i="34"/>
  <c r="J39" i="34"/>
  <c r="AC39" i="34" s="1"/>
  <c r="F40" i="34"/>
  <c r="S40" i="34"/>
  <c r="F43" i="34"/>
  <c r="AA43" i="34" s="1"/>
  <c r="H44" i="34"/>
  <c r="AB44" i="34" s="1"/>
  <c r="F39" i="39"/>
  <c r="S39" i="39" s="1"/>
  <c r="J39" i="39"/>
  <c r="AC39" i="39" s="1"/>
  <c r="E97" i="39"/>
  <c r="F97" i="39" s="1"/>
  <c r="G97" i="39" s="1"/>
  <c r="C40" i="11"/>
  <c r="AZ288" i="3"/>
  <c r="H75" i="43"/>
  <c r="F23" i="39"/>
  <c r="AA23" i="39" s="1"/>
  <c r="H27" i="36"/>
  <c r="U27" i="36" s="1"/>
  <c r="F27" i="36"/>
  <c r="AA27" i="36" s="1"/>
  <c r="H33" i="34"/>
  <c r="U33" i="34" s="1"/>
  <c r="F32" i="37"/>
  <c r="AA32" i="37"/>
  <c r="G96" i="37"/>
  <c r="H96" i="37"/>
  <c r="I96" i="37" s="1"/>
  <c r="J96" i="37" s="1"/>
  <c r="K96" i="37" s="1"/>
  <c r="L96" i="37" s="1"/>
  <c r="M96" i="37" s="1"/>
  <c r="F20" i="36"/>
  <c r="S20" i="36" s="1"/>
  <c r="J33" i="34"/>
  <c r="W33" i="34" s="1"/>
  <c r="H23" i="39"/>
  <c r="U23" i="39" s="1"/>
  <c r="D48" i="9"/>
  <c r="M52" i="9" s="1"/>
  <c r="K9" i="1"/>
  <c r="AE9" i="1"/>
  <c r="D93" i="9"/>
  <c r="AB33" i="36"/>
  <c r="U33" i="36"/>
  <c r="AC39" i="40"/>
  <c r="W39" i="40"/>
  <c r="W12" i="33"/>
  <c r="AC12" i="33"/>
  <c r="AA32" i="36"/>
  <c r="S32" i="36"/>
  <c r="AA39" i="34"/>
  <c r="BL14" i="3"/>
  <c r="AA47" i="34"/>
  <c r="W28" i="37"/>
  <c r="F12" i="33"/>
  <c r="F39" i="40"/>
  <c r="BA14" i="3"/>
  <c r="S12" i="1"/>
  <c r="AR12" i="1" s="1"/>
  <c r="B12" i="1"/>
  <c r="E12" i="1" s="1"/>
  <c r="B10" i="1"/>
  <c r="E10" i="1" s="1"/>
  <c r="S13" i="1"/>
  <c r="AR13" i="1" s="1"/>
  <c r="R13" i="1"/>
  <c r="S11" i="1"/>
  <c r="AQ11" i="1" s="1"/>
  <c r="R11" i="1"/>
  <c r="J51" i="67"/>
  <c r="C42" i="1"/>
  <c r="H100" i="43"/>
  <c r="B41" i="1"/>
  <c r="J100" i="43"/>
  <c r="AB37" i="40"/>
  <c r="U35" i="40"/>
  <c r="AC36" i="40"/>
  <c r="S17" i="40"/>
  <c r="S23" i="40"/>
  <c r="AC17" i="40"/>
  <c r="AC15" i="40"/>
  <c r="S28" i="40"/>
  <c r="AB19" i="40"/>
  <c r="W42" i="39"/>
  <c r="S43" i="39"/>
  <c r="U35" i="39"/>
  <c r="F32" i="39"/>
  <c r="S32" i="39" s="1"/>
  <c r="F107" i="39"/>
  <c r="G107" i="39"/>
  <c r="H107" i="39" s="1"/>
  <c r="I107" i="39" s="1"/>
  <c r="J107" i="39" s="1"/>
  <c r="K107" i="39" s="1"/>
  <c r="L107" i="39" s="1"/>
  <c r="M107" i="39" s="1"/>
  <c r="U25" i="39"/>
  <c r="AB27" i="39"/>
  <c r="AB15" i="39"/>
  <c r="S9" i="39"/>
  <c r="U13" i="36"/>
  <c r="S33" i="36"/>
  <c r="AA26" i="36"/>
  <c r="S29" i="36"/>
  <c r="AC26" i="36"/>
  <c r="AA22" i="36"/>
  <c r="W14" i="36"/>
  <c r="AB14" i="36"/>
  <c r="U22" i="36"/>
  <c r="S16" i="36"/>
  <c r="S24" i="36"/>
  <c r="U24" i="36"/>
  <c r="AB20" i="36"/>
  <c r="U16" i="36"/>
  <c r="S14" i="36"/>
  <c r="U10" i="36"/>
  <c r="W10" i="36"/>
  <c r="AB13" i="35"/>
  <c r="U29" i="35"/>
  <c r="U28" i="35"/>
  <c r="AB27" i="35"/>
  <c r="U36" i="35"/>
  <c r="U32" i="35"/>
  <c r="AA33" i="35"/>
  <c r="AC30" i="35"/>
  <c r="S32" i="35"/>
  <c r="AA36" i="35"/>
  <c r="W32" i="35"/>
  <c r="S28" i="35"/>
  <c r="U22" i="35"/>
  <c r="AC20" i="35"/>
  <c r="S22" i="35"/>
  <c r="U14" i="35"/>
  <c r="AC10" i="35"/>
  <c r="AA10" i="35"/>
  <c r="AB10" i="35"/>
  <c r="S8" i="35"/>
  <c r="AC9" i="35"/>
  <c r="W9" i="35"/>
  <c r="AC12" i="35"/>
  <c r="W13" i="35"/>
  <c r="F9" i="35"/>
  <c r="AA9" i="35" s="1"/>
  <c r="H9" i="35"/>
  <c r="U9" i="35" s="1"/>
  <c r="F26" i="35"/>
  <c r="AA26" i="35"/>
  <c r="J26" i="35"/>
  <c r="W26" i="35" s="1"/>
  <c r="H26" i="35"/>
  <c r="AB26" i="35" s="1"/>
  <c r="AB40" i="37"/>
  <c r="S26" i="37"/>
  <c r="AC29" i="37"/>
  <c r="U29" i="37"/>
  <c r="S32" i="37"/>
  <c r="AB31" i="37"/>
  <c r="W30" i="37"/>
  <c r="S36" i="37"/>
  <c r="AC35" i="37"/>
  <c r="S30" i="37"/>
  <c r="AC15" i="37"/>
  <c r="J17" i="37"/>
  <c r="W17" i="37" s="1"/>
  <c r="G73" i="37"/>
  <c r="F17" i="37"/>
  <c r="S17" i="37" s="1"/>
  <c r="AB17" i="37"/>
  <c r="F75" i="37"/>
  <c r="G75" i="37" s="1"/>
  <c r="F19" i="37"/>
  <c r="S19" i="37" s="1"/>
  <c r="F79" i="37"/>
  <c r="F23" i="37"/>
  <c r="S23" i="37"/>
  <c r="U23" i="37"/>
  <c r="U15" i="37"/>
  <c r="AC13" i="37"/>
  <c r="U9" i="37"/>
  <c r="AA13" i="37"/>
  <c r="AA12" i="37"/>
  <c r="AA9" i="37"/>
  <c r="H10" i="37"/>
  <c r="AB10" i="37" s="1"/>
  <c r="H60" i="37"/>
  <c r="I60" i="37" s="1"/>
  <c r="F63" i="37"/>
  <c r="G63" i="37" s="1"/>
  <c r="H63" i="37" s="1"/>
  <c r="I63" i="37" s="1"/>
  <c r="J63" i="37" s="1"/>
  <c r="K63" i="37" s="1"/>
  <c r="L63" i="37" s="1"/>
  <c r="M63" i="37" s="1"/>
  <c r="F11" i="37"/>
  <c r="S11" i="37"/>
  <c r="S27" i="34"/>
  <c r="W25" i="34"/>
  <c r="AB8" i="34"/>
  <c r="U44" i="34"/>
  <c r="U43" i="34"/>
  <c r="W41" i="34"/>
  <c r="AC42" i="34"/>
  <c r="AB35" i="34"/>
  <c r="U39" i="34"/>
  <c r="AB41" i="34"/>
  <c r="W34" i="34"/>
  <c r="AA25" i="34"/>
  <c r="S17" i="34"/>
  <c r="U27" i="34"/>
  <c r="S23" i="34"/>
  <c r="U15" i="34"/>
  <c r="S10" i="34"/>
  <c r="H67" i="34"/>
  <c r="I67" i="34" s="1"/>
  <c r="H10" i="34"/>
  <c r="U10" i="34" s="1"/>
  <c r="F11" i="34"/>
  <c r="S11" i="34"/>
  <c r="F70" i="34"/>
  <c r="G70" i="34" s="1"/>
  <c r="H70" i="34" s="1"/>
  <c r="I70" i="34" s="1"/>
  <c r="J70" i="34" s="1"/>
  <c r="K70" i="34" s="1"/>
  <c r="L70" i="34" s="1"/>
  <c r="M70" i="34" s="1"/>
  <c r="W42" i="33"/>
  <c r="AA29" i="33"/>
  <c r="J35" i="33"/>
  <c r="AC35" i="33" s="1"/>
  <c r="S37" i="33"/>
  <c r="AA37" i="33"/>
  <c r="S39" i="33"/>
  <c r="S46" i="33"/>
  <c r="W43" i="33"/>
  <c r="I66" i="33"/>
  <c r="J10" i="33"/>
  <c r="W10" i="33" s="1"/>
  <c r="H10" i="33"/>
  <c r="AB10" i="33" s="1"/>
  <c r="AC11" i="33"/>
  <c r="AB14" i="33"/>
  <c r="W43" i="21"/>
  <c r="W36" i="21"/>
  <c r="W41" i="21"/>
  <c r="AB39" i="21"/>
  <c r="AA43" i="21"/>
  <c r="S39" i="21"/>
  <c r="AA38" i="21"/>
  <c r="AA36" i="21"/>
  <c r="AC40" i="21"/>
  <c r="J15" i="21"/>
  <c r="W15" i="21" s="1"/>
  <c r="F23" i="21"/>
  <c r="AA23" i="21" s="1"/>
  <c r="E85" i="21"/>
  <c r="F85" i="21" s="1"/>
  <c r="G85" i="21" s="1"/>
  <c r="AC11" i="21"/>
  <c r="AB8" i="21"/>
  <c r="S8" i="21"/>
  <c r="M3" i="43"/>
  <c r="M1" i="43"/>
  <c r="N8" i="43"/>
  <c r="C18" i="9"/>
  <c r="D18" i="9" s="1"/>
  <c r="F34" i="67"/>
  <c r="F62" i="67" s="1"/>
  <c r="M20" i="67"/>
  <c r="F34" i="15"/>
  <c r="F62" i="15" s="1"/>
  <c r="BA13" i="3"/>
  <c r="J56" i="9"/>
  <c r="J57" i="9" s="1"/>
  <c r="J59" i="9" s="1"/>
  <c r="J61" i="9" s="1"/>
  <c r="A24" i="51"/>
  <c r="B18" i="72" s="1"/>
  <c r="U29" i="34"/>
  <c r="E5" i="6"/>
  <c r="D9" i="11" s="1"/>
  <c r="C9" i="11" s="1"/>
  <c r="E32" i="6"/>
  <c r="L19" i="6"/>
  <c r="K1" i="12"/>
  <c r="E19" i="69"/>
  <c r="E19" i="68"/>
  <c r="E19" i="11"/>
  <c r="E1" i="73"/>
  <c r="G22" i="69"/>
  <c r="G22" i="68"/>
  <c r="G26" i="12"/>
  <c r="G22" i="11"/>
  <c r="C100" i="43"/>
  <c r="C7" i="43"/>
  <c r="E81" i="43"/>
  <c r="B79" i="43" s="1"/>
  <c r="E70" i="43"/>
  <c r="B68" i="43" s="1"/>
  <c r="F100" i="43"/>
  <c r="H17" i="43"/>
  <c r="H78" i="43"/>
  <c r="C17" i="43"/>
  <c r="F33" i="43"/>
  <c r="K17" i="43"/>
  <c r="F34" i="43"/>
  <c r="N6" i="43"/>
  <c r="N3" i="43"/>
  <c r="F38" i="43"/>
  <c r="F37" i="43"/>
  <c r="M9" i="43"/>
  <c r="N5" i="43"/>
  <c r="M12" i="43"/>
  <c r="B19" i="53"/>
  <c r="B37" i="72" s="1"/>
  <c r="C7" i="39"/>
  <c r="C68" i="39" s="1"/>
  <c r="C7" i="35"/>
  <c r="C48" i="35" s="1"/>
  <c r="D48" i="35" s="1"/>
  <c r="C7" i="33"/>
  <c r="C7" i="21"/>
  <c r="C58" i="21" s="1"/>
  <c r="C7" i="40"/>
  <c r="C63" i="40" s="1"/>
  <c r="M47" i="9"/>
  <c r="G19" i="43"/>
  <c r="O19" i="43" s="1"/>
  <c r="C59" i="34"/>
  <c r="D59" i="34" s="1"/>
  <c r="E59" i="34" s="1"/>
  <c r="F59" i="34" s="1"/>
  <c r="G59" i="34" s="1"/>
  <c r="H59" i="34" s="1"/>
  <c r="C52" i="37"/>
  <c r="D52" i="37" s="1"/>
  <c r="A4" i="51"/>
  <c r="B6" i="72" s="1"/>
  <c r="C4" i="12"/>
  <c r="H66" i="43"/>
  <c r="H65" i="43"/>
  <c r="H64" i="43"/>
  <c r="H63" i="43"/>
  <c r="H72" i="43"/>
  <c r="L20" i="6"/>
  <c r="B6" i="1"/>
  <c r="E6" i="1" s="1"/>
  <c r="K11" i="1"/>
  <c r="M11" i="1" s="1"/>
  <c r="AP6" i="1"/>
  <c r="B9" i="1"/>
  <c r="E9" i="1" s="1"/>
  <c r="G1" i="15"/>
  <c r="G1" i="67"/>
  <c r="W23" i="40"/>
  <c r="S37" i="40"/>
  <c r="W28" i="40"/>
  <c r="W34" i="40"/>
  <c r="S36" i="40"/>
  <c r="W37" i="40"/>
  <c r="AC14" i="40"/>
  <c r="S13" i="40"/>
  <c r="S33" i="40"/>
  <c r="AA15" i="40"/>
  <c r="U11" i="40"/>
  <c r="S31" i="40"/>
  <c r="AB13" i="40"/>
  <c r="U15" i="40"/>
  <c r="AB17" i="40"/>
  <c r="U8" i="40"/>
  <c r="S8" i="40"/>
  <c r="AA39" i="39"/>
  <c r="AB23" i="39"/>
  <c r="W25" i="39"/>
  <c r="AA13" i="39"/>
  <c r="S13" i="39"/>
  <c r="AA27" i="39"/>
  <c r="W31" i="39"/>
  <c r="AC31" i="39"/>
  <c r="AA45" i="39"/>
  <c r="W34" i="39"/>
  <c r="U38" i="39"/>
  <c r="S8" i="39"/>
  <c r="AC25" i="36"/>
  <c r="S28" i="36"/>
  <c r="U32" i="36"/>
  <c r="W29" i="36"/>
  <c r="U25" i="36"/>
  <c r="AB28" i="36"/>
  <c r="W9" i="36"/>
  <c r="W22" i="36"/>
  <c r="W23" i="36"/>
  <c r="S9" i="36"/>
  <c r="AC25" i="35"/>
  <c r="U25" i="35"/>
  <c r="S24" i="35"/>
  <c r="W33" i="35"/>
  <c r="AA30" i="35"/>
  <c r="S35" i="35"/>
  <c r="W35" i="35"/>
  <c r="AA35" i="37"/>
  <c r="W36" i="37"/>
  <c r="S28" i="37"/>
  <c r="W32" i="37"/>
  <c r="S40" i="37"/>
  <c r="AB37" i="37"/>
  <c r="S33" i="37"/>
  <c r="AC34" i="37"/>
  <c r="AA11" i="37"/>
  <c r="AA31" i="37"/>
  <c r="AA29" i="37"/>
  <c r="AA8" i="37"/>
  <c r="U8" i="37"/>
  <c r="AA40" i="34"/>
  <c r="AB40" i="34"/>
  <c r="U19" i="34"/>
  <c r="W19" i="34"/>
  <c r="AB33" i="34"/>
  <c r="AA31" i="34"/>
  <c r="AA30" i="34"/>
  <c r="AB47" i="34"/>
  <c r="U25" i="34"/>
  <c r="AB36" i="34"/>
  <c r="AC14" i="34"/>
  <c r="AC32" i="34"/>
  <c r="W29" i="34"/>
  <c r="W46" i="34"/>
  <c r="AC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W46" i="33"/>
  <c r="U39" i="33"/>
  <c r="U38" i="33"/>
  <c r="S33" i="33"/>
  <c r="U44" i="33"/>
  <c r="AB44" i="33"/>
  <c r="S30" i="33"/>
  <c r="AA30" i="33"/>
  <c r="AC14" i="33"/>
  <c r="W14" i="33"/>
  <c r="AC30" i="33"/>
  <c r="W30" i="33"/>
  <c r="S31" i="33"/>
  <c r="AA31" i="33"/>
  <c r="W13" i="33"/>
  <c r="AC13" i="33"/>
  <c r="S11" i="33"/>
  <c r="U37" i="33"/>
  <c r="S28" i="33"/>
  <c r="W9" i="33"/>
  <c r="W8" i="33"/>
  <c r="S44" i="21"/>
  <c r="AB42" i="21"/>
  <c r="AA11" i="21"/>
  <c r="F33" i="21"/>
  <c r="S33" i="21" s="1"/>
  <c r="J33" i="21"/>
  <c r="W33" i="21" s="1"/>
  <c r="H33" i="21"/>
  <c r="AB33" i="21" s="1"/>
  <c r="F37" i="21"/>
  <c r="AA37" i="21"/>
  <c r="AA26" i="21"/>
  <c r="U40" i="21"/>
  <c r="U13" i="21"/>
  <c r="AB13" i="21"/>
  <c r="W8" i="21"/>
  <c r="S35" i="21"/>
  <c r="AB37" i="21"/>
  <c r="J37" i="21"/>
  <c r="W37" i="21" s="1"/>
  <c r="H15" i="21"/>
  <c r="AB15" i="21" s="1"/>
  <c r="U15" i="21"/>
  <c r="J17" i="21"/>
  <c r="AC17" i="21" s="1"/>
  <c r="AC19" i="21"/>
  <c r="W39" i="21"/>
  <c r="S46" i="21"/>
  <c r="H45" i="21"/>
  <c r="AB45" i="21" s="1"/>
  <c r="F29" i="21"/>
  <c r="S29" i="21" s="1"/>
  <c r="F13" i="21"/>
  <c r="AA13" i="21" s="1"/>
  <c r="H32" i="21"/>
  <c r="H9" i="21"/>
  <c r="AB9" i="21" s="1"/>
  <c r="J9" i="21"/>
  <c r="AC9" i="21" s="1"/>
  <c r="J32" i="21"/>
  <c r="F32" i="21"/>
  <c r="AA31" i="21"/>
  <c r="U17" i="21"/>
  <c r="W29" i="21"/>
  <c r="S19" i="21"/>
  <c r="AA9" i="21"/>
  <c r="K141" i="21"/>
  <c r="K144" i="21"/>
  <c r="K143" i="21"/>
  <c r="AB25" i="21"/>
  <c r="AB44" i="21"/>
  <c r="AA30" i="21"/>
  <c r="W13" i="21"/>
  <c r="AC45" i="21"/>
  <c r="F10" i="21"/>
  <c r="AA10" i="21" s="1"/>
  <c r="K145" i="21"/>
  <c r="W25" i="21"/>
  <c r="AA29" i="21"/>
  <c r="W31" i="21"/>
  <c r="S17" i="21"/>
  <c r="AA15" i="21"/>
  <c r="AC26" i="21"/>
  <c r="AB29" i="21"/>
  <c r="S28" i="21"/>
  <c r="AC34" i="21"/>
  <c r="W10" i="21"/>
  <c r="AB36" i="21"/>
  <c r="C19" i="39"/>
  <c r="C15" i="40"/>
  <c r="C17" i="40"/>
  <c r="C23" i="40"/>
  <c r="C21" i="40"/>
  <c r="U30" i="40"/>
  <c r="B54" i="43"/>
  <c r="B65" i="43"/>
  <c r="B49" i="43"/>
  <c r="B52" i="43"/>
  <c r="B60" i="43"/>
  <c r="B63" i="43"/>
  <c r="D23" i="15"/>
  <c r="D22" i="15"/>
  <c r="E4" i="4"/>
  <c r="B5" i="62" s="1"/>
  <c r="B73" i="72" s="1"/>
  <c r="C4" i="4"/>
  <c r="AA39" i="40"/>
  <c r="S39" i="40"/>
  <c r="S12" i="33"/>
  <c r="AA12" i="33"/>
  <c r="J32" i="39"/>
  <c r="AC32" i="39" s="1"/>
  <c r="H32" i="39"/>
  <c r="U32" i="39" s="1"/>
  <c r="AA32" i="39"/>
  <c r="S26" i="35"/>
  <c r="AB9" i="35"/>
  <c r="AC26" i="35"/>
  <c r="U26" i="35"/>
  <c r="AC17" i="37"/>
  <c r="J19" i="37"/>
  <c r="W19" i="37" s="1"/>
  <c r="AA19" i="37"/>
  <c r="AA23" i="37"/>
  <c r="J23" i="37"/>
  <c r="W23" i="37" s="1"/>
  <c r="G79" i="37"/>
  <c r="J10" i="37"/>
  <c r="AC10" i="37" s="1"/>
  <c r="H11" i="37"/>
  <c r="AB11" i="37" s="1"/>
  <c r="H11" i="34"/>
  <c r="U11" i="34" s="1"/>
  <c r="AB10" i="34"/>
  <c r="J10" i="34"/>
  <c r="AC10" i="34" s="1"/>
  <c r="F23" i="33"/>
  <c r="S23" i="33" s="1"/>
  <c r="AC37" i="21"/>
  <c r="S37" i="21"/>
  <c r="J23" i="21"/>
  <c r="AC23" i="21" s="1"/>
  <c r="H23" i="21"/>
  <c r="U23" i="21" s="1"/>
  <c r="AP7" i="1"/>
  <c r="AC33" i="21"/>
  <c r="AA33" i="21"/>
  <c r="W32" i="21"/>
  <c r="AC32" i="21"/>
  <c r="AA32" i="21"/>
  <c r="S32" i="21"/>
  <c r="AB32" i="21"/>
  <c r="U32" i="21"/>
  <c r="AC23" i="37"/>
  <c r="J11" i="37"/>
  <c r="AC11" i="37" s="1"/>
  <c r="W10" i="34"/>
  <c r="J11" i="34"/>
  <c r="W11" i="34" s="1"/>
  <c r="W11" i="37"/>
  <c r="F34" i="11"/>
  <c r="F11" i="12"/>
  <c r="C23" i="12" s="1"/>
  <c r="F34" i="68"/>
  <c r="H112" i="9"/>
  <c r="D21" i="53" s="1"/>
  <c r="B39" i="72" s="1"/>
  <c r="H111" i="9"/>
  <c r="D126" i="9" s="1"/>
  <c r="I14" i="74" s="1"/>
  <c r="B8" i="74" s="1"/>
  <c r="AD3" i="71"/>
  <c r="J1" i="73"/>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S20" i="71"/>
  <c r="AB18" i="71"/>
  <c r="X16" i="71"/>
  <c r="X15" i="71"/>
  <c r="AA16" i="71"/>
  <c r="AA15" i="71"/>
  <c r="X19" i="71"/>
  <c r="Y15" i="71"/>
  <c r="Z15" i="71" s="1"/>
  <c r="AB16" i="71"/>
  <c r="AB15" i="71"/>
  <c r="Y16" i="71"/>
  <c r="Z16" i="71" s="1"/>
  <c r="X3" i="71"/>
  <c r="I59" i="34"/>
  <c r="J59" i="34" s="1"/>
  <c r="B10" i="76"/>
  <c r="B13" i="76"/>
  <c r="L47" i="15"/>
  <c r="D2" i="36"/>
  <c r="AO12" i="1"/>
  <c r="M9" i="15"/>
  <c r="C76" i="15"/>
  <c r="M23" i="67"/>
  <c r="M8" i="67"/>
  <c r="F7" i="73"/>
  <c r="F40" i="15"/>
  <c r="F20" i="31"/>
  <c r="M26" i="15"/>
  <c r="D3" i="73"/>
  <c r="E9" i="76"/>
  <c r="L48" i="15"/>
  <c r="E13" i="76"/>
  <c r="B12" i="76"/>
  <c r="L48" i="67"/>
  <c r="D2" i="21"/>
  <c r="F37" i="67"/>
  <c r="AO9" i="1"/>
  <c r="F8" i="67"/>
  <c r="C76" i="67"/>
  <c r="D2" i="34"/>
  <c r="E2" i="68"/>
  <c r="AO10" i="1"/>
  <c r="D2" i="33"/>
  <c r="F6" i="73"/>
  <c r="M9" i="67"/>
  <c r="B9" i="76"/>
  <c r="E8" i="76"/>
  <c r="D2" i="37"/>
  <c r="B11" i="76"/>
  <c r="L47" i="67"/>
  <c r="E2" i="69"/>
  <c r="E12" i="76"/>
  <c r="J15" i="67"/>
  <c r="M26" i="67"/>
  <c r="F9" i="67"/>
  <c r="B7" i="76"/>
  <c r="F16" i="67"/>
  <c r="D2" i="35"/>
  <c r="F8" i="15"/>
  <c r="M28" i="67"/>
  <c r="F37" i="15"/>
  <c r="AO11" i="1"/>
  <c r="F26" i="67"/>
  <c r="M24" i="67"/>
  <c r="F5" i="73"/>
  <c r="E11" i="76"/>
  <c r="F36" i="67"/>
  <c r="AO13" i="1"/>
  <c r="E10" i="76"/>
  <c r="F40" i="67"/>
  <c r="M22" i="67"/>
  <c r="F4" i="73"/>
  <c r="F3" i="73"/>
  <c r="F6" i="67"/>
  <c r="F38" i="67"/>
  <c r="F42" i="67"/>
  <c r="M28" i="15"/>
  <c r="E7" i="76"/>
  <c r="B8" i="76"/>
  <c r="D7" i="73"/>
  <c r="F7" i="15"/>
  <c r="A118" i="9" l="1"/>
  <c r="A2" i="9"/>
  <c r="W27" i="34"/>
  <c r="AC27" i="34"/>
  <c r="AC24" i="35"/>
  <c r="W24" i="35"/>
  <c r="D9" i="69"/>
  <c r="C9" i="69" s="1"/>
  <c r="AC20" i="36"/>
  <c r="D120" i="9"/>
  <c r="AA45" i="34"/>
  <c r="S30" i="40"/>
  <c r="AC33" i="34"/>
  <c r="U13" i="37"/>
  <c r="AZ329" i="3"/>
  <c r="AZ320" i="3"/>
  <c r="AZ565" i="3"/>
  <c r="W11" i="35"/>
  <c r="AC11" i="35"/>
  <c r="U23" i="34"/>
  <c r="AB23" i="34"/>
  <c r="J39" i="37"/>
  <c r="J13" i="39"/>
  <c r="H13" i="39"/>
  <c r="BL580" i="3"/>
  <c r="BL579" i="3"/>
  <c r="AZ579" i="3" s="1"/>
  <c r="BL570" i="3"/>
  <c r="BA568" i="3"/>
  <c r="AC11" i="34"/>
  <c r="S13" i="21"/>
  <c r="AB20" i="35"/>
  <c r="W27" i="40"/>
  <c r="AZ372" i="3"/>
  <c r="AZ318" i="3"/>
  <c r="AB19" i="37"/>
  <c r="AZ563" i="3"/>
  <c r="AZ584" i="3"/>
  <c r="W31" i="34"/>
  <c r="AC14" i="37"/>
  <c r="H12" i="33"/>
  <c r="BA552" i="3"/>
  <c r="AZ552" i="3" s="1"/>
  <c r="BL510" i="3"/>
  <c r="AA20" i="36"/>
  <c r="AZ371" i="3"/>
  <c r="AZ341" i="3"/>
  <c r="S19" i="40"/>
  <c r="AZ564" i="3"/>
  <c r="AA13" i="35"/>
  <c r="S13" i="35"/>
  <c r="AB30" i="35"/>
  <c r="F41" i="39"/>
  <c r="S41" i="39" s="1"/>
  <c r="BL585" i="3"/>
  <c r="H30" i="21"/>
  <c r="J30" i="21"/>
  <c r="W28" i="35"/>
  <c r="AC28" i="35"/>
  <c r="AB14" i="37"/>
  <c r="U14" i="37"/>
  <c r="W40" i="37"/>
  <c r="AC40" i="37"/>
  <c r="W31" i="35"/>
  <c r="AC31" i="35"/>
  <c r="BA533" i="3"/>
  <c r="BA503" i="3"/>
  <c r="AZ503" i="3" s="1"/>
  <c r="BA498" i="3"/>
  <c r="BA494" i="3"/>
  <c r="AZ504" i="3"/>
  <c r="AZ585" i="3"/>
  <c r="AA12" i="40"/>
  <c r="S12" i="40"/>
  <c r="AB26" i="21"/>
  <c r="U26" i="21"/>
  <c r="F12" i="21"/>
  <c r="J12" i="21"/>
  <c r="H12" i="21"/>
  <c r="J37" i="39"/>
  <c r="F37" i="39"/>
  <c r="BL573" i="3"/>
  <c r="BA567" i="3"/>
  <c r="AC34" i="33"/>
  <c r="AZ322" i="3"/>
  <c r="AZ369" i="3"/>
  <c r="D19" i="53"/>
  <c r="B38" i="72" s="1"/>
  <c r="AB23" i="21"/>
  <c r="AC19" i="37"/>
  <c r="U45" i="21"/>
  <c r="AA25" i="35"/>
  <c r="AA25" i="36"/>
  <c r="S27" i="40"/>
  <c r="AZ361" i="3"/>
  <c r="AZ389" i="3"/>
  <c r="AZ304" i="3"/>
  <c r="AZ394" i="3"/>
  <c r="AZ325" i="3"/>
  <c r="AZ531" i="3"/>
  <c r="AZ510" i="3"/>
  <c r="J46" i="21"/>
  <c r="AC37" i="34"/>
  <c r="W37" i="34"/>
  <c r="AC28" i="34"/>
  <c r="W28" i="34"/>
  <c r="W36" i="35"/>
  <c r="AC36" i="35"/>
  <c r="S8" i="36"/>
  <c r="AA8" i="36"/>
  <c r="S34" i="37"/>
  <c r="AA34" i="37"/>
  <c r="U33" i="21"/>
  <c r="AB31" i="40"/>
  <c r="U28" i="34"/>
  <c r="S27" i="36"/>
  <c r="U30" i="33"/>
  <c r="AZ387" i="3"/>
  <c r="AZ377" i="3"/>
  <c r="W9" i="37"/>
  <c r="U11" i="33"/>
  <c r="AZ580" i="3"/>
  <c r="S44" i="34"/>
  <c r="AB14" i="40"/>
  <c r="U14" i="40"/>
  <c r="H46" i="21"/>
  <c r="AA15" i="34"/>
  <c r="C27" i="39"/>
  <c r="AA9" i="40"/>
  <c r="BL586" i="3"/>
  <c r="AZ586" i="3" s="1"/>
  <c r="H9" i="33"/>
  <c r="F9" i="34"/>
  <c r="AA9" i="34" s="1"/>
  <c r="J13" i="34"/>
  <c r="F13" i="34"/>
  <c r="J34" i="35"/>
  <c r="F34" i="35"/>
  <c r="H34" i="36"/>
  <c r="J34" i="36"/>
  <c r="S31" i="36"/>
  <c r="AA10" i="37"/>
  <c r="S10" i="37"/>
  <c r="J32" i="40"/>
  <c r="F32" i="40"/>
  <c r="H32" i="40"/>
  <c r="H14" i="21"/>
  <c r="F14" i="21"/>
  <c r="AZ321" i="3"/>
  <c r="AZ549" i="3"/>
  <c r="AZ507" i="3"/>
  <c r="AZ568" i="3"/>
  <c r="U13" i="34"/>
  <c r="AB13" i="34"/>
  <c r="J14" i="21"/>
  <c r="AC31" i="37"/>
  <c r="W31" i="37"/>
  <c r="H31" i="39"/>
  <c r="F31" i="39"/>
  <c r="BA518" i="3"/>
  <c r="BL515" i="3"/>
  <c r="BA497" i="3"/>
  <c r="G499" i="3"/>
  <c r="W31" i="40"/>
  <c r="G586" i="3"/>
  <c r="F23" i="36"/>
  <c r="H23" i="36"/>
  <c r="AB23" i="36" s="1"/>
  <c r="F25" i="37"/>
  <c r="H25" i="37"/>
  <c r="G570" i="3"/>
  <c r="BL540" i="3"/>
  <c r="AZ540" i="3" s="1"/>
  <c r="BA539" i="3"/>
  <c r="G536" i="3"/>
  <c r="BA534" i="3"/>
  <c r="BL533" i="3"/>
  <c r="BL532" i="3"/>
  <c r="BA532" i="3"/>
  <c r="AZ532" i="3" s="1"/>
  <c r="G529" i="3"/>
  <c r="BL528" i="3"/>
  <c r="AZ528" i="3" s="1"/>
  <c r="BA527" i="3"/>
  <c r="BA525" i="3"/>
  <c r="AZ525" i="3" s="1"/>
  <c r="BA522" i="3"/>
  <c r="AZ522" i="3" s="1"/>
  <c r="BA521" i="3"/>
  <c r="BL520" i="3"/>
  <c r="BA520" i="3"/>
  <c r="AZ520" i="3" s="1"/>
  <c r="BL518" i="3"/>
  <c r="BA515" i="3"/>
  <c r="BA514" i="3"/>
  <c r="AZ514" i="3" s="1"/>
  <c r="BL513" i="3"/>
  <c r="AZ513" i="3" s="1"/>
  <c r="BL509" i="3"/>
  <c r="AZ509" i="3" s="1"/>
  <c r="BL508" i="3"/>
  <c r="G508" i="3"/>
  <c r="BL506" i="3"/>
  <c r="BA506" i="3"/>
  <c r="AZ506" i="3" s="1"/>
  <c r="BL504" i="3"/>
  <c r="BL502" i="3"/>
  <c r="AZ502" i="3" s="1"/>
  <c r="BA501" i="3"/>
  <c r="AZ501" i="3" s="1"/>
  <c r="BL500" i="3"/>
  <c r="AZ500" i="3" s="1"/>
  <c r="BA499" i="3"/>
  <c r="AZ499" i="3" s="1"/>
  <c r="BL494" i="3"/>
  <c r="BA493" i="3"/>
  <c r="BL493" i="3"/>
  <c r="BL505" i="3"/>
  <c r="BL559" i="3"/>
  <c r="AZ559" i="3" s="1"/>
  <c r="H12" i="40"/>
  <c r="AB12" i="40" s="1"/>
  <c r="J11" i="36"/>
  <c r="G585" i="3"/>
  <c r="F40" i="40"/>
  <c r="H40" i="40"/>
  <c r="U40" i="40" s="1"/>
  <c r="G572" i="3"/>
  <c r="BA571" i="3"/>
  <c r="AZ571" i="3" s="1"/>
  <c r="BA547" i="3"/>
  <c r="AZ547" i="3" s="1"/>
  <c r="G547" i="3"/>
  <c r="BL546" i="3"/>
  <c r="BA546" i="3"/>
  <c r="AZ546" i="3" s="1"/>
  <c r="BA543" i="3"/>
  <c r="BL542" i="3"/>
  <c r="BA542" i="3"/>
  <c r="AZ420" i="3"/>
  <c r="BQ5" i="3"/>
  <c r="BL561" i="3"/>
  <c r="S34" i="40"/>
  <c r="BA551" i="3"/>
  <c r="AZ551" i="3" s="1"/>
  <c r="AC40" i="40"/>
  <c r="BL566" i="3"/>
  <c r="BA566" i="3"/>
  <c r="G562" i="3"/>
  <c r="BA556" i="3"/>
  <c r="AZ556" i="3" s="1"/>
  <c r="BL554" i="3"/>
  <c r="AZ554" i="3" s="1"/>
  <c r="BA553" i="3"/>
  <c r="AZ553" i="3" s="1"/>
  <c r="G535" i="3"/>
  <c r="G526" i="3"/>
  <c r="G398" i="3"/>
  <c r="BL399" i="3"/>
  <c r="BL400" i="3"/>
  <c r="G403" i="3"/>
  <c r="BA410" i="3"/>
  <c r="BL412" i="3"/>
  <c r="G414" i="3"/>
  <c r="G415" i="3"/>
  <c r="BL415" i="3"/>
  <c r="G418" i="3"/>
  <c r="G422" i="3"/>
  <c r="BL424" i="3"/>
  <c r="G427" i="3"/>
  <c r="G428" i="3"/>
  <c r="BA431" i="3"/>
  <c r="AZ431" i="3" s="1"/>
  <c r="BL444" i="3"/>
  <c r="G448" i="3"/>
  <c r="BA449" i="3"/>
  <c r="BL452" i="3"/>
  <c r="BL454" i="3"/>
  <c r="BL459" i="3"/>
  <c r="BA465" i="3"/>
  <c r="BA466" i="3"/>
  <c r="AZ466" i="3" s="1"/>
  <c r="G472" i="3"/>
  <c r="BL474" i="3"/>
  <c r="AZ474" i="3" s="1"/>
  <c r="G480" i="3"/>
  <c r="BL483" i="3"/>
  <c r="BA316" i="3"/>
  <c r="AZ316" i="3" s="1"/>
  <c r="BA333" i="3"/>
  <c r="BA339" i="3"/>
  <c r="AZ339" i="3" s="1"/>
  <c r="BA358" i="3"/>
  <c r="AZ358" i="3" s="1"/>
  <c r="BL381" i="3"/>
  <c r="AZ381" i="3" s="1"/>
  <c r="BL211" i="3"/>
  <c r="G212" i="3"/>
  <c r="G213" i="3"/>
  <c r="BL213" i="3"/>
  <c r="G221" i="3"/>
  <c r="BA221" i="3"/>
  <c r="G223" i="3"/>
  <c r="BL278" i="3"/>
  <c r="BL280" i="3"/>
  <c r="BA289" i="3"/>
  <c r="BA291" i="3"/>
  <c r="BL291" i="3"/>
  <c r="G293" i="3"/>
  <c r="BA130" i="3"/>
  <c r="BA160" i="3"/>
  <c r="AZ160" i="3" s="1"/>
  <c r="BA33" i="3"/>
  <c r="AZ33" i="3" s="1"/>
  <c r="BL44" i="3"/>
  <c r="BA405" i="3"/>
  <c r="BL414" i="3"/>
  <c r="BA434" i="3"/>
  <c r="G437" i="3"/>
  <c r="BL438" i="3"/>
  <c r="BL461" i="3"/>
  <c r="BL464" i="3"/>
  <c r="G470" i="3"/>
  <c r="BL489" i="3"/>
  <c r="G311" i="3"/>
  <c r="BL330" i="3"/>
  <c r="AZ330" i="3" s="1"/>
  <c r="BA350" i="3"/>
  <c r="AZ350" i="3" s="1"/>
  <c r="BA368" i="3"/>
  <c r="BL375" i="3"/>
  <c r="AZ375" i="3" s="1"/>
  <c r="BL209" i="3"/>
  <c r="AZ209" i="3" s="1"/>
  <c r="G211" i="3"/>
  <c r="BL214" i="3"/>
  <c r="BA249" i="3"/>
  <c r="AZ249" i="3" s="1"/>
  <c r="BL251" i="3"/>
  <c r="BA263" i="3"/>
  <c r="AZ263" i="3" s="1"/>
  <c r="BL266" i="3"/>
  <c r="BL273" i="3"/>
  <c r="BL285" i="3"/>
  <c r="BA200" i="3"/>
  <c r="AZ200" i="3" s="1"/>
  <c r="BL62" i="3"/>
  <c r="BL84" i="3"/>
  <c r="BA89" i="3"/>
  <c r="BL111" i="3"/>
  <c r="C47" i="71"/>
  <c r="D47" i="71" s="1"/>
  <c r="D46" i="71"/>
  <c r="AZ407" i="3"/>
  <c r="AB21" i="21"/>
  <c r="U21" i="21"/>
  <c r="G13" i="3"/>
  <c r="BL404" i="3"/>
  <c r="G409" i="3"/>
  <c r="BL430" i="3"/>
  <c r="G433" i="3"/>
  <c r="G436" i="3"/>
  <c r="G442" i="3"/>
  <c r="BL442" i="3"/>
  <c r="BL443" i="3"/>
  <c r="BA448" i="3"/>
  <c r="G464" i="3"/>
  <c r="BA477" i="3"/>
  <c r="BL481" i="3"/>
  <c r="BL492" i="3"/>
  <c r="BL324" i="3"/>
  <c r="AZ324" i="3" s="1"/>
  <c r="G339" i="3"/>
  <c r="BL348" i="3"/>
  <c r="AZ348" i="3" s="1"/>
  <c r="BA367" i="3"/>
  <c r="BL368" i="3"/>
  <c r="G369" i="3"/>
  <c r="G380" i="3"/>
  <c r="BL395" i="3"/>
  <c r="BL220" i="3"/>
  <c r="BA226" i="3"/>
  <c r="BL230" i="3"/>
  <c r="BL233" i="3"/>
  <c r="BA242" i="3"/>
  <c r="AZ242" i="3" s="1"/>
  <c r="BL245" i="3"/>
  <c r="G248" i="3"/>
  <c r="G250" i="3"/>
  <c r="BL265" i="3"/>
  <c r="BL267" i="3"/>
  <c r="BA272" i="3"/>
  <c r="AZ272" i="3" s="1"/>
  <c r="BA275" i="3"/>
  <c r="BA277" i="3"/>
  <c r="G284" i="3"/>
  <c r="BA295" i="3"/>
  <c r="BA136" i="3"/>
  <c r="AZ136" i="3" s="1"/>
  <c r="BL158" i="3"/>
  <c r="BA87" i="3"/>
  <c r="BL107" i="3"/>
  <c r="BA404" i="3"/>
  <c r="BL406" i="3"/>
  <c r="G408" i="3"/>
  <c r="BL416" i="3"/>
  <c r="BA429" i="3"/>
  <c r="BA430" i="3"/>
  <c r="BA432" i="3"/>
  <c r="BA453" i="3"/>
  <c r="AZ453" i="3" s="1"/>
  <c r="BA456" i="3"/>
  <c r="BA471" i="3"/>
  <c r="BA473" i="3"/>
  <c r="AZ473" i="3" s="1"/>
  <c r="BA476" i="3"/>
  <c r="BA478" i="3"/>
  <c r="AZ478" i="3" s="1"/>
  <c r="BA489" i="3"/>
  <c r="BA492" i="3"/>
  <c r="BA323" i="3"/>
  <c r="AZ323" i="3" s="1"/>
  <c r="BA214" i="3"/>
  <c r="AZ214" i="3" s="1"/>
  <c r="BA223" i="3"/>
  <c r="BA227" i="3"/>
  <c r="G230" i="3"/>
  <c r="BA239" i="3"/>
  <c r="BL279" i="3"/>
  <c r="BA283" i="3"/>
  <c r="BL119" i="3"/>
  <c r="AZ119" i="3" s="1"/>
  <c r="BL147" i="3"/>
  <c r="AZ147" i="3" s="1"/>
  <c r="BA148" i="3"/>
  <c r="AZ148" i="3" s="1"/>
  <c r="BL165" i="3"/>
  <c r="BA181" i="3"/>
  <c r="G81" i="3"/>
  <c r="BA95" i="3"/>
  <c r="BL103" i="3"/>
  <c r="C75" i="71"/>
  <c r="T76" i="71"/>
  <c r="D76" i="71"/>
  <c r="BA402" i="3"/>
  <c r="BL410" i="3"/>
  <c r="BA416" i="3"/>
  <c r="AZ416" i="3" s="1"/>
  <c r="BA421" i="3"/>
  <c r="BA422" i="3"/>
  <c r="AZ422" i="3" s="1"/>
  <c r="BA424" i="3"/>
  <c r="BA428" i="3"/>
  <c r="AZ428" i="3" s="1"/>
  <c r="BL434" i="3"/>
  <c r="BL450" i="3"/>
  <c r="BA454" i="3"/>
  <c r="BA484" i="3"/>
  <c r="BA485" i="3"/>
  <c r="AZ485" i="3" s="1"/>
  <c r="BA491" i="3"/>
  <c r="AZ491" i="3" s="1"/>
  <c r="G315" i="3"/>
  <c r="BA319" i="3"/>
  <c r="AZ319" i="3" s="1"/>
  <c r="BL393" i="3"/>
  <c r="AZ393" i="3" s="1"/>
  <c r="BA213" i="3"/>
  <c r="BA222" i="3"/>
  <c r="BA224" i="3"/>
  <c r="BL242" i="3"/>
  <c r="BL253" i="3"/>
  <c r="AZ253" i="3" s="1"/>
  <c r="BA279" i="3"/>
  <c r="AZ279" i="3" s="1"/>
  <c r="BL117" i="3"/>
  <c r="C43" i="71"/>
  <c r="D43" i="71" s="1"/>
  <c r="D42" i="71"/>
  <c r="V64" i="71"/>
  <c r="Q64" i="71"/>
  <c r="F63" i="71"/>
  <c r="F62" i="71" s="1"/>
  <c r="Q62" i="71" s="1"/>
  <c r="G578" i="3"/>
  <c r="BA577" i="3"/>
  <c r="AZ577" i="3" s="1"/>
  <c r="BL576" i="3"/>
  <c r="AZ576" i="3" s="1"/>
  <c r="G549" i="3"/>
  <c r="G404" i="3"/>
  <c r="BL405" i="3"/>
  <c r="AZ405" i="3" s="1"/>
  <c r="BA413" i="3"/>
  <c r="BA415" i="3"/>
  <c r="AZ415" i="3" s="1"/>
  <c r="BA419" i="3"/>
  <c r="BL428" i="3"/>
  <c r="BA435" i="3"/>
  <c r="AZ435" i="3" s="1"/>
  <c r="BA437" i="3"/>
  <c r="AZ437" i="3" s="1"/>
  <c r="BL445" i="3"/>
  <c r="BL447" i="3"/>
  <c r="BL455" i="3"/>
  <c r="G458" i="3"/>
  <c r="BL458" i="3"/>
  <c r="BA460" i="3"/>
  <c r="BL470" i="3"/>
  <c r="BL475" i="3"/>
  <c r="BA481" i="3"/>
  <c r="G489" i="3"/>
  <c r="G491" i="3"/>
  <c r="G313" i="3"/>
  <c r="BL317" i="3"/>
  <c r="AZ317" i="3" s="1"/>
  <c r="G345" i="3"/>
  <c r="BA384" i="3"/>
  <c r="AZ384" i="3" s="1"/>
  <c r="G215" i="3"/>
  <c r="BL217" i="3"/>
  <c r="BA233" i="3"/>
  <c r="BL238" i="3"/>
  <c r="BL241" i="3"/>
  <c r="BL272" i="3"/>
  <c r="BA278" i="3"/>
  <c r="AZ278" i="3" s="1"/>
  <c r="BA292" i="3"/>
  <c r="BL296" i="3"/>
  <c r="BA117" i="3"/>
  <c r="C36" i="71"/>
  <c r="D35" i="71"/>
  <c r="E34" i="71"/>
  <c r="E35" i="71" s="1"/>
  <c r="E36" i="71" s="1"/>
  <c r="U36" i="71" s="1"/>
  <c r="AA32" i="71"/>
  <c r="BL550" i="3"/>
  <c r="BA550" i="3"/>
  <c r="BL17" i="3"/>
  <c r="BL402" i="3"/>
  <c r="BA403" i="3"/>
  <c r="AZ403" i="3" s="1"/>
  <c r="BL403" i="3"/>
  <c r="BL407" i="3"/>
  <c r="BA408" i="3"/>
  <c r="BA412" i="3"/>
  <c r="AZ412" i="3" s="1"/>
  <c r="BL417" i="3"/>
  <c r="AZ417" i="3" s="1"/>
  <c r="BA418" i="3"/>
  <c r="BL418" i="3"/>
  <c r="BL420" i="3"/>
  <c r="BL431" i="3"/>
  <c r="BA438" i="3"/>
  <c r="BA443" i="3"/>
  <c r="AZ443" i="3" s="1"/>
  <c r="BA445" i="3"/>
  <c r="BA447" i="3"/>
  <c r="BL449" i="3"/>
  <c r="BA462" i="3"/>
  <c r="BA464" i="3"/>
  <c r="BA470" i="3"/>
  <c r="BL472" i="3"/>
  <c r="BL488" i="3"/>
  <c r="BA354" i="3"/>
  <c r="BA210" i="3"/>
  <c r="BA211" i="3"/>
  <c r="AZ211" i="3" s="1"/>
  <c r="BA219" i="3"/>
  <c r="BL221" i="3"/>
  <c r="BA232" i="3"/>
  <c r="AZ232" i="3" s="1"/>
  <c r="BL234" i="3"/>
  <c r="BA238" i="3"/>
  <c r="AZ238" i="3" s="1"/>
  <c r="BA254" i="3"/>
  <c r="AZ254" i="3" s="1"/>
  <c r="BA255" i="3"/>
  <c r="BL256" i="3"/>
  <c r="BL259" i="3"/>
  <c r="BA261" i="3"/>
  <c r="BA267" i="3"/>
  <c r="AZ267" i="3" s="1"/>
  <c r="BL269" i="3"/>
  <c r="BA276" i="3"/>
  <c r="AZ276" i="3" s="1"/>
  <c r="BA286" i="3"/>
  <c r="BA296" i="3"/>
  <c r="AZ296" i="3" s="1"/>
  <c r="BA299" i="3"/>
  <c r="BA302" i="3"/>
  <c r="AZ302" i="3" s="1"/>
  <c r="BL113" i="3"/>
  <c r="BL125" i="3"/>
  <c r="BA138" i="3"/>
  <c r="BA152" i="3"/>
  <c r="AZ152" i="3" s="1"/>
  <c r="BA168" i="3"/>
  <c r="AZ168" i="3" s="1"/>
  <c r="BL174" i="3"/>
  <c r="BL205" i="3"/>
  <c r="BL36" i="3"/>
  <c r="AZ36" i="3" s="1"/>
  <c r="BA247" i="3"/>
  <c r="BL254" i="3"/>
  <c r="BA259" i="3"/>
  <c r="BA260" i="3"/>
  <c r="G263" i="3"/>
  <c r="G264" i="3"/>
  <c r="G274" i="3"/>
  <c r="BL284" i="3"/>
  <c r="BL294" i="3"/>
  <c r="BL298" i="3"/>
  <c r="G122" i="3"/>
  <c r="BA153" i="3"/>
  <c r="BL155" i="3"/>
  <c r="AZ155" i="3" s="1"/>
  <c r="BA165" i="3"/>
  <c r="AZ165" i="3" s="1"/>
  <c r="G170" i="3"/>
  <c r="BA178" i="3"/>
  <c r="G182" i="3"/>
  <c r="G194" i="3"/>
  <c r="BL206" i="3"/>
  <c r="BA32" i="3"/>
  <c r="BL37" i="3"/>
  <c r="G39" i="3"/>
  <c r="G41" i="3"/>
  <c r="G42" i="3"/>
  <c r="BA42" i="3"/>
  <c r="BA46" i="3"/>
  <c r="BA48" i="3"/>
  <c r="G51" i="3"/>
  <c r="BL59" i="3"/>
  <c r="BA66" i="3"/>
  <c r="BA67" i="3"/>
  <c r="BL67" i="3"/>
  <c r="BA72" i="3"/>
  <c r="AZ72" i="3" s="1"/>
  <c r="G73" i="3"/>
  <c r="BA73" i="3"/>
  <c r="G75" i="3"/>
  <c r="BA75" i="3"/>
  <c r="AZ75" i="3" s="1"/>
  <c r="BA93" i="3"/>
  <c r="BA98" i="3"/>
  <c r="BA99" i="3"/>
  <c r="BA101" i="3"/>
  <c r="BA105" i="3"/>
  <c r="BA106" i="3"/>
  <c r="BA109" i="3"/>
  <c r="AZ109" i="3" s="1"/>
  <c r="BA110" i="3"/>
  <c r="AA18" i="35"/>
  <c r="D68" i="71"/>
  <c r="X33" i="71"/>
  <c r="E27" i="71"/>
  <c r="BL135" i="3"/>
  <c r="AZ135" i="3" s="1"/>
  <c r="BL146" i="3"/>
  <c r="BA166" i="3"/>
  <c r="BL179" i="3"/>
  <c r="AZ179" i="3" s="1"/>
  <c r="BA189" i="3"/>
  <c r="AZ189" i="3" s="1"/>
  <c r="BL194" i="3"/>
  <c r="G205" i="3"/>
  <c r="BA22" i="3"/>
  <c r="BL26" i="3"/>
  <c r="G37" i="3"/>
  <c r="BA47" i="3"/>
  <c r="BA59" i="3"/>
  <c r="AZ59" i="3" s="1"/>
  <c r="BL64" i="3"/>
  <c r="BL70" i="3"/>
  <c r="G72" i="3"/>
  <c r="BA91" i="3"/>
  <c r="BA96" i="3"/>
  <c r="BA107" i="3"/>
  <c r="BA111" i="3"/>
  <c r="AZ111" i="3" s="1"/>
  <c r="C40" i="69"/>
  <c r="E67" i="71"/>
  <c r="E66" i="71" s="1"/>
  <c r="AB23" i="71"/>
  <c r="B32" i="71"/>
  <c r="S32" i="71" s="1"/>
  <c r="X35" i="71"/>
  <c r="S72" i="71"/>
  <c r="Y20" i="71"/>
  <c r="Z20" i="71" s="1"/>
  <c r="BA128" i="3"/>
  <c r="AZ128" i="3" s="1"/>
  <c r="G130" i="3"/>
  <c r="BA137" i="3"/>
  <c r="BL141" i="3"/>
  <c r="G143" i="3"/>
  <c r="BA144" i="3"/>
  <c r="AZ144" i="3" s="1"/>
  <c r="G168" i="3"/>
  <c r="G180" i="3"/>
  <c r="BA182" i="3"/>
  <c r="BA188" i="3"/>
  <c r="AZ188" i="3" s="1"/>
  <c r="BL29" i="3"/>
  <c r="BL45" i="3"/>
  <c r="BA83" i="3"/>
  <c r="AZ83" i="3" s="1"/>
  <c r="BA85" i="3"/>
  <c r="BA88" i="3"/>
  <c r="BA90" i="3"/>
  <c r="BA92" i="3"/>
  <c r="AZ92" i="3" s="1"/>
  <c r="BL93" i="3"/>
  <c r="BL97" i="3"/>
  <c r="BL98" i="3"/>
  <c r="BL99" i="3"/>
  <c r="BL100" i="3"/>
  <c r="BL106" i="3"/>
  <c r="M56" i="9"/>
  <c r="BL163" i="3"/>
  <c r="AZ163" i="3" s="1"/>
  <c r="BL170" i="3"/>
  <c r="AZ170" i="3" s="1"/>
  <c r="BA173" i="3"/>
  <c r="BA176" i="3"/>
  <c r="AZ176" i="3" s="1"/>
  <c r="BL187" i="3"/>
  <c r="AZ187" i="3" s="1"/>
  <c r="BL198" i="3"/>
  <c r="BA30" i="3"/>
  <c r="BL34" i="3"/>
  <c r="BL49" i="3"/>
  <c r="BA62" i="3"/>
  <c r="AZ62" i="3" s="1"/>
  <c r="BL63" i="3"/>
  <c r="BL72" i="3"/>
  <c r="BA86" i="3"/>
  <c r="AZ86" i="3" s="1"/>
  <c r="G102" i="3"/>
  <c r="G112" i="3"/>
  <c r="I10" i="66"/>
  <c r="X25" i="71"/>
  <c r="T72" i="71"/>
  <c r="BL216" i="3"/>
  <c r="BA225" i="3"/>
  <c r="AZ225" i="3" s="1"/>
  <c r="BA228" i="3"/>
  <c r="AZ228" i="3" s="1"/>
  <c r="BA229" i="3"/>
  <c r="BA230" i="3"/>
  <c r="G233" i="3"/>
  <c r="BA246" i="3"/>
  <c r="AZ246" i="3" s="1"/>
  <c r="BA251" i="3"/>
  <c r="AZ251" i="3" s="1"/>
  <c r="BL255" i="3"/>
  <c r="G256" i="3"/>
  <c r="BA256" i="3"/>
  <c r="AZ256" i="3" s="1"/>
  <c r="G259" i="3"/>
  <c r="G269" i="3"/>
  <c r="BA271" i="3"/>
  <c r="G280" i="3"/>
  <c r="BL289" i="3"/>
  <c r="BA290" i="3"/>
  <c r="BA116" i="3"/>
  <c r="AZ116" i="3" s="1"/>
  <c r="G127" i="3"/>
  <c r="BA149" i="3"/>
  <c r="AZ149" i="3" s="1"/>
  <c r="G151" i="3"/>
  <c r="G152" i="3"/>
  <c r="BL153" i="3"/>
  <c r="BA172" i="3"/>
  <c r="AZ172" i="3" s="1"/>
  <c r="BA185" i="3"/>
  <c r="AZ185" i="3" s="1"/>
  <c r="BL185" i="3"/>
  <c r="BL193" i="3"/>
  <c r="G198" i="3"/>
  <c r="G200" i="3"/>
  <c r="BA21" i="3"/>
  <c r="G25" i="3"/>
  <c r="G27" i="3"/>
  <c r="BL39" i="3"/>
  <c r="BA43" i="3"/>
  <c r="AZ43" i="3" s="1"/>
  <c r="BA44" i="3"/>
  <c r="AZ44" i="3" s="1"/>
  <c r="BL48" i="3"/>
  <c r="BA49" i="3"/>
  <c r="BL54" i="3"/>
  <c r="BA56" i="3"/>
  <c r="BA57" i="3"/>
  <c r="AZ57" i="3" s="1"/>
  <c r="BL57" i="3"/>
  <c r="G63" i="3"/>
  <c r="BA78" i="3"/>
  <c r="AZ78" i="3" s="1"/>
  <c r="BA79" i="3"/>
  <c r="BA82" i="3"/>
  <c r="AZ82" i="3" s="1"/>
  <c r="BL83" i="3"/>
  <c r="G84" i="3"/>
  <c r="G86" i="3"/>
  <c r="G87" i="3"/>
  <c r="G89" i="3"/>
  <c r="G91" i="3"/>
  <c r="K100" i="43"/>
  <c r="W21" i="34"/>
  <c r="U21" i="34"/>
  <c r="AC25" i="40"/>
  <c r="S21" i="34"/>
  <c r="B44" i="71"/>
  <c r="S44" i="71" s="1"/>
  <c r="BA194" i="3"/>
  <c r="AZ194" i="3" s="1"/>
  <c r="BL207" i="3"/>
  <c r="BA18" i="3"/>
  <c r="BA19" i="3"/>
  <c r="BA39" i="3"/>
  <c r="G46" i="3"/>
  <c r="BA52" i="3"/>
  <c r="G61" i="3"/>
  <c r="BL80" i="3"/>
  <c r="G82" i="3"/>
  <c r="G83" i="3"/>
  <c r="E59" i="43"/>
  <c r="B57" i="43" s="1"/>
  <c r="S25" i="40"/>
  <c r="AA21" i="21"/>
  <c r="C66" i="71"/>
  <c r="D66" i="71" s="1"/>
  <c r="E75" i="71"/>
  <c r="E74" i="71" s="1"/>
  <c r="AB31" i="71"/>
  <c r="B35" i="71"/>
  <c r="B36" i="71" s="1"/>
  <c r="S36" i="71" s="1"/>
  <c r="E47" i="71"/>
  <c r="E48" i="71" s="1"/>
  <c r="U48" i="71" s="1"/>
  <c r="AB10" i="43"/>
  <c r="P61" i="15"/>
  <c r="BA265" i="3"/>
  <c r="AZ265" i="3" s="1"/>
  <c r="G266" i="3"/>
  <c r="BA273" i="3"/>
  <c r="AZ273" i="3" s="1"/>
  <c r="G276" i="3"/>
  <c r="G277" i="3"/>
  <c r="BA280" i="3"/>
  <c r="AZ280" i="3" s="1"/>
  <c r="BL301" i="3"/>
  <c r="BA121" i="3"/>
  <c r="BA122" i="3"/>
  <c r="AZ122" i="3" s="1"/>
  <c r="BL123" i="3"/>
  <c r="AZ123" i="3" s="1"/>
  <c r="G126" i="3"/>
  <c r="BL126" i="3"/>
  <c r="G135" i="3"/>
  <c r="G147" i="3"/>
  <c r="G148" i="3"/>
  <c r="BL169" i="3"/>
  <c r="BA180" i="3"/>
  <c r="AZ180" i="3" s="1"/>
  <c r="BA190" i="3"/>
  <c r="BA193" i="3"/>
  <c r="AZ193" i="3" s="1"/>
  <c r="BA202" i="3"/>
  <c r="BA206" i="3"/>
  <c r="AZ206" i="3" s="1"/>
  <c r="BA207" i="3"/>
  <c r="BA29" i="3"/>
  <c r="BA34" i="3"/>
  <c r="BA37" i="3"/>
  <c r="BL38" i="3"/>
  <c r="G43" i="3"/>
  <c r="G57" i="3"/>
  <c r="BL61" i="3"/>
  <c r="BA68" i="3"/>
  <c r="BL77" i="3"/>
  <c r="BL78" i="3"/>
  <c r="G80" i="3"/>
  <c r="BA80" i="3"/>
  <c r="AZ80" i="3" s="1"/>
  <c r="Y30" i="71"/>
  <c r="Z30" i="71" s="1"/>
  <c r="X29" i="71"/>
  <c r="Y31" i="71"/>
  <c r="Z31" i="71" s="1"/>
  <c r="AI10" i="43"/>
  <c r="AC21" i="33"/>
  <c r="S21" i="33"/>
  <c r="AB12" i="39"/>
  <c r="U12" i="39"/>
  <c r="C70" i="39"/>
  <c r="D68" i="39"/>
  <c r="AA35" i="40"/>
  <c r="S34" i="34"/>
  <c r="F38" i="40"/>
  <c r="J38" i="40"/>
  <c r="H38" i="40"/>
  <c r="AC35" i="39"/>
  <c r="W35" i="39"/>
  <c r="C58" i="33"/>
  <c r="D58" i="33" s="1"/>
  <c r="E58" i="33" s="1"/>
  <c r="F58" i="33" s="1"/>
  <c r="G58" i="33" s="1"/>
  <c r="H58" i="33" s="1"/>
  <c r="I58" i="33" s="1"/>
  <c r="J58" i="33" s="1"/>
  <c r="K58" i="33" s="1"/>
  <c r="L58" i="33" s="1"/>
  <c r="M58" i="33" s="1"/>
  <c r="N58" i="33" s="1"/>
  <c r="O58" i="33" s="1"/>
  <c r="E7" i="33"/>
  <c r="G7" i="33" s="1"/>
  <c r="I7" i="33" s="1"/>
  <c r="S43" i="34"/>
  <c r="AA33" i="34"/>
  <c r="AZ390" i="3"/>
  <c r="AZ360" i="3"/>
  <c r="AC15" i="21"/>
  <c r="S10" i="33"/>
  <c r="AA10" i="33"/>
  <c r="AZ344" i="3"/>
  <c r="AZ497" i="3"/>
  <c r="D20" i="53"/>
  <c r="B40" i="72" s="1"/>
  <c r="AB11" i="34"/>
  <c r="W9" i="21"/>
  <c r="U10" i="33"/>
  <c r="U10" i="37"/>
  <c r="W17" i="21"/>
  <c r="AC38" i="21"/>
  <c r="AA16" i="35"/>
  <c r="W19" i="40"/>
  <c r="H85" i="43"/>
  <c r="S23" i="21"/>
  <c r="U26" i="36"/>
  <c r="W39" i="34"/>
  <c r="U35" i="35"/>
  <c r="S25" i="21"/>
  <c r="AA25" i="21"/>
  <c r="AZ557" i="3"/>
  <c r="S11" i="36"/>
  <c r="AA11" i="36"/>
  <c r="AB34" i="21"/>
  <c r="U34" i="21"/>
  <c r="H23" i="35"/>
  <c r="F23" i="35"/>
  <c r="AZ543" i="3"/>
  <c r="BL541" i="3"/>
  <c r="BL537" i="3"/>
  <c r="AZ537" i="3" s="1"/>
  <c r="BL527" i="3"/>
  <c r="AZ527" i="3" s="1"/>
  <c r="BA524" i="3"/>
  <c r="AZ524" i="3" s="1"/>
  <c r="BL523" i="3"/>
  <c r="AZ523" i="3" s="1"/>
  <c r="AZ521" i="3"/>
  <c r="BA519" i="3"/>
  <c r="AZ515" i="3"/>
  <c r="BA505" i="3"/>
  <c r="BC5" i="3"/>
  <c r="E8" i="6" s="1"/>
  <c r="BO5" i="3"/>
  <c r="BA496" i="3"/>
  <c r="AZ496" i="3" s="1"/>
  <c r="BL495" i="3"/>
  <c r="BA495" i="3"/>
  <c r="BE5" i="3"/>
  <c r="W37" i="37"/>
  <c r="AC37" i="37"/>
  <c r="W32" i="36"/>
  <c r="AC32" i="36"/>
  <c r="B77" i="43"/>
  <c r="C25" i="39"/>
  <c r="W23" i="35"/>
  <c r="U23" i="36"/>
  <c r="AB27" i="36"/>
  <c r="U12" i="40"/>
  <c r="AZ378" i="3"/>
  <c r="H5" i="3"/>
  <c r="AZ545" i="3"/>
  <c r="AZ498" i="3"/>
  <c r="S13" i="33"/>
  <c r="AA13" i="33"/>
  <c r="W28" i="21"/>
  <c r="AC28" i="21"/>
  <c r="AB31" i="36"/>
  <c r="U31" i="36"/>
  <c r="AB43" i="21"/>
  <c r="U43" i="21"/>
  <c r="U9" i="40"/>
  <c r="AB9" i="40"/>
  <c r="S29" i="34"/>
  <c r="AA29" i="34"/>
  <c r="AB34" i="33"/>
  <c r="H84" i="43"/>
  <c r="W32" i="39"/>
  <c r="S20" i="35"/>
  <c r="AC27" i="36"/>
  <c r="U43" i="33"/>
  <c r="AZ575" i="3"/>
  <c r="AA14" i="34"/>
  <c r="AA14" i="40"/>
  <c r="S14" i="40"/>
  <c r="AB13" i="33"/>
  <c r="U13" i="33"/>
  <c r="AA29" i="35"/>
  <c r="W17" i="34"/>
  <c r="AC17" i="34"/>
  <c r="AC31" i="36"/>
  <c r="W31" i="36"/>
  <c r="S41" i="21"/>
  <c r="AA41" i="21"/>
  <c r="AC12" i="34"/>
  <c r="W12" i="34"/>
  <c r="F30" i="68"/>
  <c r="F48" i="68" s="1"/>
  <c r="M18" i="88"/>
  <c r="F32" i="88"/>
  <c r="F60" i="88" s="1"/>
  <c r="F28" i="88"/>
  <c r="C28" i="88" s="1"/>
  <c r="F28" i="83"/>
  <c r="C28" i="83" s="1"/>
  <c r="F32" i="84"/>
  <c r="F60" i="84" s="1"/>
  <c r="M18" i="84"/>
  <c r="F28" i="82"/>
  <c r="C28" i="82" s="1"/>
  <c r="F32" i="85"/>
  <c r="F60" i="85" s="1"/>
  <c r="M18" i="85"/>
  <c r="F32" i="83"/>
  <c r="F60" i="83" s="1"/>
  <c r="M18" i="83"/>
  <c r="F32" i="82"/>
  <c r="F60" i="82" s="1"/>
  <c r="M18" i="82"/>
  <c r="F28" i="85"/>
  <c r="C28" i="85" s="1"/>
  <c r="F28" i="84"/>
  <c r="C28" i="84" s="1"/>
  <c r="W23" i="21"/>
  <c r="W10" i="37"/>
  <c r="U11" i="37"/>
  <c r="S10" i="21"/>
  <c r="U9" i="21"/>
  <c r="S9" i="35"/>
  <c r="B67" i="43"/>
  <c r="U28" i="21"/>
  <c r="W43" i="34"/>
  <c r="U24" i="35"/>
  <c r="AB28" i="40"/>
  <c r="S25" i="39"/>
  <c r="AB27" i="40"/>
  <c r="AZ364" i="3"/>
  <c r="AZ347" i="3"/>
  <c r="S21" i="40"/>
  <c r="AZ526" i="3"/>
  <c r="U28" i="37"/>
  <c r="AA12" i="36"/>
  <c r="S14" i="35"/>
  <c r="AA14" i="35"/>
  <c r="J38" i="37"/>
  <c r="F38" i="37"/>
  <c r="H38" i="37"/>
  <c r="AA15" i="39"/>
  <c r="S15" i="39"/>
  <c r="AC22" i="35"/>
  <c r="W22" i="35"/>
  <c r="F12" i="39"/>
  <c r="J12" i="39"/>
  <c r="W30" i="40"/>
  <c r="S37" i="37"/>
  <c r="W42" i="21"/>
  <c r="AA17" i="37"/>
  <c r="AB16" i="35"/>
  <c r="AA34" i="36"/>
  <c r="AB32" i="37"/>
  <c r="AB37" i="34"/>
  <c r="AA41" i="34"/>
  <c r="S41" i="34"/>
  <c r="S14" i="33"/>
  <c r="AA14" i="33"/>
  <c r="S11" i="35"/>
  <c r="AA11" i="35"/>
  <c r="U8" i="35"/>
  <c r="H27" i="21"/>
  <c r="J27" i="21"/>
  <c r="F27" i="21"/>
  <c r="J12" i="36"/>
  <c r="H12" i="36"/>
  <c r="AZ573" i="3"/>
  <c r="S44" i="33"/>
  <c r="AA44" i="33"/>
  <c r="AC33" i="37"/>
  <c r="W33" i="37"/>
  <c r="BL544" i="3"/>
  <c r="BA536" i="3"/>
  <c r="AZ536" i="3" s="1"/>
  <c r="BL519" i="3"/>
  <c r="BA517" i="3"/>
  <c r="AZ517" i="3" s="1"/>
  <c r="BL512" i="3"/>
  <c r="AZ512" i="3" s="1"/>
  <c r="BA508" i="3"/>
  <c r="AZ508" i="3" s="1"/>
  <c r="AA34" i="21"/>
  <c r="S34" i="21"/>
  <c r="E115" i="33"/>
  <c r="F115" i="33" s="1"/>
  <c r="G115" i="33" s="1"/>
  <c r="H115" i="33" s="1"/>
  <c r="I115" i="33" s="1"/>
  <c r="J115" i="33" s="1"/>
  <c r="K115" i="33" s="1"/>
  <c r="L115" i="33" s="1"/>
  <c r="M115" i="33" s="1"/>
  <c r="J38" i="33"/>
  <c r="AC38" i="33" s="1"/>
  <c r="F38" i="33"/>
  <c r="AA38" i="33" s="1"/>
  <c r="AB9" i="39"/>
  <c r="U9" i="39"/>
  <c r="BL548" i="3"/>
  <c r="AZ548" i="3" s="1"/>
  <c r="BA544" i="3"/>
  <c r="AZ544" i="3" s="1"/>
  <c r="BA541" i="3"/>
  <c r="AZ541" i="3" s="1"/>
  <c r="BL539" i="3"/>
  <c r="AZ539" i="3" s="1"/>
  <c r="BA535" i="3"/>
  <c r="AZ535" i="3" s="1"/>
  <c r="BL534" i="3"/>
  <c r="AZ534" i="3" s="1"/>
  <c r="J26" i="33"/>
  <c r="F26" i="33"/>
  <c r="AA26" i="33" s="1"/>
  <c r="J45" i="34"/>
  <c r="H45" i="34"/>
  <c r="F27" i="37"/>
  <c r="H27" i="37"/>
  <c r="J27" i="37"/>
  <c r="AA44" i="39"/>
  <c r="S44" i="39"/>
  <c r="F93" i="39"/>
  <c r="G93" i="39" s="1"/>
  <c r="H19" i="39"/>
  <c r="AB19" i="39" s="1"/>
  <c r="E126" i="39"/>
  <c r="F126" i="39" s="1"/>
  <c r="G126" i="39" s="1"/>
  <c r="H126" i="39" s="1"/>
  <c r="I126" i="39" s="1"/>
  <c r="J126" i="39" s="1"/>
  <c r="K126" i="39" s="1"/>
  <c r="L126" i="39" s="1"/>
  <c r="M126" i="39" s="1"/>
  <c r="H42" i="39"/>
  <c r="AB42" i="39" s="1"/>
  <c r="F42" i="39"/>
  <c r="AA42" i="39" s="1"/>
  <c r="F36" i="39"/>
  <c r="J36" i="39"/>
  <c r="AC31" i="33"/>
  <c r="F13" i="36"/>
  <c r="U45" i="33"/>
  <c r="AB45" i="33"/>
  <c r="F45" i="21"/>
  <c r="W46" i="21"/>
  <c r="AC46" i="21"/>
  <c r="U17" i="34"/>
  <c r="H12" i="34"/>
  <c r="F12" i="34"/>
  <c r="F46" i="34"/>
  <c r="H46" i="34"/>
  <c r="J43" i="39"/>
  <c r="H43" i="39"/>
  <c r="BL569" i="3"/>
  <c r="AZ569" i="3" s="1"/>
  <c r="BL567" i="3"/>
  <c r="AZ567" i="3" s="1"/>
  <c r="BA561" i="3"/>
  <c r="AZ561" i="3" s="1"/>
  <c r="AB11" i="35"/>
  <c r="U11" i="35"/>
  <c r="BA572" i="3"/>
  <c r="AZ572" i="3" s="1"/>
  <c r="BA570" i="3"/>
  <c r="AZ570" i="3" s="1"/>
  <c r="AC33" i="36"/>
  <c r="S9" i="34"/>
  <c r="U34" i="35"/>
  <c r="J39" i="33"/>
  <c r="AC39" i="33" s="1"/>
  <c r="F12" i="35"/>
  <c r="AC44" i="39"/>
  <c r="W44" i="39"/>
  <c r="AZ456" i="3"/>
  <c r="H31" i="21"/>
  <c r="U12" i="35"/>
  <c r="J29" i="33"/>
  <c r="H29" i="33"/>
  <c r="F14" i="39"/>
  <c r="H14" i="39"/>
  <c r="E120" i="39"/>
  <c r="F120" i="39" s="1"/>
  <c r="G120" i="39" s="1"/>
  <c r="H120" i="39" s="1"/>
  <c r="I120" i="39" s="1"/>
  <c r="J120" i="39" s="1"/>
  <c r="K120" i="39" s="1"/>
  <c r="L120" i="39" s="1"/>
  <c r="M120" i="39" s="1"/>
  <c r="H39" i="39"/>
  <c r="AB40" i="40"/>
  <c r="BA578" i="3"/>
  <c r="AZ578" i="3" s="1"/>
  <c r="BL538" i="3"/>
  <c r="AZ538" i="3" s="1"/>
  <c r="BL562" i="3"/>
  <c r="AB31" i="33"/>
  <c r="U31" i="33"/>
  <c r="B71" i="43"/>
  <c r="C21" i="39"/>
  <c r="E122" i="39"/>
  <c r="F122" i="39" s="1"/>
  <c r="G122" i="39" s="1"/>
  <c r="H122" i="39" s="1"/>
  <c r="I122" i="39" s="1"/>
  <c r="J122" i="39" s="1"/>
  <c r="K122" i="39" s="1"/>
  <c r="L122" i="39" s="1"/>
  <c r="M122" i="39" s="1"/>
  <c r="J40" i="39"/>
  <c r="F40" i="39"/>
  <c r="G574" i="3"/>
  <c r="BA562" i="3"/>
  <c r="AA35" i="34"/>
  <c r="S35" i="34"/>
  <c r="AA34" i="39"/>
  <c r="S34" i="39"/>
  <c r="G551" i="3"/>
  <c r="AZ413" i="3"/>
  <c r="AZ419" i="3"/>
  <c r="BL427" i="3"/>
  <c r="AZ438" i="3"/>
  <c r="AZ445" i="3"/>
  <c r="AZ486" i="3"/>
  <c r="AZ489" i="3"/>
  <c r="AZ492" i="3"/>
  <c r="AZ410" i="3"/>
  <c r="BL423" i="3"/>
  <c r="AZ423" i="3" s="1"/>
  <c r="BA427" i="3"/>
  <c r="AZ427" i="3" s="1"/>
  <c r="AZ462" i="3"/>
  <c r="AZ464" i="3"/>
  <c r="AZ470" i="3"/>
  <c r="BA409" i="3"/>
  <c r="AZ409" i="3" s="1"/>
  <c r="BL411" i="3"/>
  <c r="BL426" i="3"/>
  <c r="AZ426" i="3" s="1"/>
  <c r="BL429" i="3"/>
  <c r="AZ429" i="3" s="1"/>
  <c r="AZ434" i="3"/>
  <c r="BA468" i="3"/>
  <c r="AZ481" i="3"/>
  <c r="BA406" i="3"/>
  <c r="AZ406" i="3" s="1"/>
  <c r="AZ411" i="3"/>
  <c r="BL456" i="3"/>
  <c r="BL477" i="3"/>
  <c r="AZ477" i="3" s="1"/>
  <c r="BL486" i="3"/>
  <c r="BA398" i="3"/>
  <c r="AZ398" i="3" s="1"/>
  <c r="BA401" i="3"/>
  <c r="AZ401" i="3" s="1"/>
  <c r="AZ404" i="3"/>
  <c r="BL413" i="3"/>
  <c r="AZ448" i="3"/>
  <c r="AZ459" i="3"/>
  <c r="AZ461" i="3"/>
  <c r="BL463" i="3"/>
  <c r="BL467" i="3"/>
  <c r="AZ467" i="3" s="1"/>
  <c r="AZ399" i="3"/>
  <c r="BA400" i="3"/>
  <c r="AZ400" i="3" s="1"/>
  <c r="AZ402" i="3"/>
  <c r="BL408" i="3"/>
  <c r="AZ408" i="3" s="1"/>
  <c r="BA425" i="3"/>
  <c r="AZ425" i="3" s="1"/>
  <c r="BA482" i="3"/>
  <c r="M20" i="88"/>
  <c r="F34" i="88"/>
  <c r="F62" i="88" s="1"/>
  <c r="M20" i="85"/>
  <c r="M20" i="84"/>
  <c r="F34" i="83"/>
  <c r="F62" i="83" s="1"/>
  <c r="F34" i="82"/>
  <c r="F62" i="82" s="1"/>
  <c r="F34" i="85"/>
  <c r="F62" i="85" s="1"/>
  <c r="F34" i="84"/>
  <c r="F62" i="84" s="1"/>
  <c r="M20" i="83"/>
  <c r="M20" i="82"/>
  <c r="AZ17" i="3"/>
  <c r="BS5" i="3"/>
  <c r="AZ414" i="3"/>
  <c r="AZ430" i="3"/>
  <c r="AZ447" i="3"/>
  <c r="BA436" i="3"/>
  <c r="AZ436" i="3" s="1"/>
  <c r="BA442" i="3"/>
  <c r="AZ442" i="3" s="1"/>
  <c r="BL460" i="3"/>
  <c r="AZ460" i="3" s="1"/>
  <c r="BA472" i="3"/>
  <c r="AZ472" i="3" s="1"/>
  <c r="BL479" i="3"/>
  <c r="AZ479" i="3" s="1"/>
  <c r="BL490" i="3"/>
  <c r="AZ490" i="3" s="1"/>
  <c r="BA335" i="3"/>
  <c r="AZ335" i="3" s="1"/>
  <c r="BL359" i="3"/>
  <c r="AZ359" i="3" s="1"/>
  <c r="BA388" i="3"/>
  <c r="AZ388" i="3" s="1"/>
  <c r="BA220" i="3"/>
  <c r="AZ220" i="3" s="1"/>
  <c r="BL252" i="3"/>
  <c r="BN5" i="3"/>
  <c r="G430" i="3"/>
  <c r="BL441" i="3"/>
  <c r="AZ441" i="3" s="1"/>
  <c r="G447" i="3"/>
  <c r="BA458" i="3"/>
  <c r="AZ458" i="3" s="1"/>
  <c r="BL465" i="3"/>
  <c r="AZ465" i="3" s="1"/>
  <c r="BL484" i="3"/>
  <c r="AZ484" i="3" s="1"/>
  <c r="BA488" i="3"/>
  <c r="AZ488" i="3" s="1"/>
  <c r="BA315" i="3"/>
  <c r="AZ315" i="3" s="1"/>
  <c r="BA332" i="3"/>
  <c r="BL346" i="3"/>
  <c r="AZ346" i="3" s="1"/>
  <c r="BA353" i="3"/>
  <c r="BA366" i="3"/>
  <c r="AZ366" i="3" s="1"/>
  <c r="BA397" i="3"/>
  <c r="BA208" i="3"/>
  <c r="BA218" i="3"/>
  <c r="BL222" i="3"/>
  <c r="AZ222" i="3" s="1"/>
  <c r="BL223" i="3"/>
  <c r="AZ223" i="3" s="1"/>
  <c r="BL224" i="3"/>
  <c r="AZ224" i="3" s="1"/>
  <c r="G225" i="3"/>
  <c r="BL226" i="3"/>
  <c r="AZ226" i="3" s="1"/>
  <c r="BL227" i="3"/>
  <c r="AZ227" i="3" s="1"/>
  <c r="G228" i="3"/>
  <c r="BL229" i="3"/>
  <c r="AZ229" i="3" s="1"/>
  <c r="BA235" i="3"/>
  <c r="AZ235" i="3" s="1"/>
  <c r="BA240" i="3"/>
  <c r="BA245" i="3"/>
  <c r="AZ245" i="3" s="1"/>
  <c r="BL248" i="3"/>
  <c r="AZ248" i="3" s="1"/>
  <c r="BL275" i="3"/>
  <c r="AZ275" i="3" s="1"/>
  <c r="BL292" i="3"/>
  <c r="AZ292" i="3" s="1"/>
  <c r="G301" i="3"/>
  <c r="BL435" i="3"/>
  <c r="BL446" i="3"/>
  <c r="AZ446" i="3" s="1"/>
  <c r="BA452" i="3"/>
  <c r="AZ452" i="3" s="1"/>
  <c r="BL471" i="3"/>
  <c r="AZ471" i="3" s="1"/>
  <c r="BA483" i="3"/>
  <c r="BL314" i="3"/>
  <c r="AZ314" i="3" s="1"/>
  <c r="BA352" i="3"/>
  <c r="AZ352" i="3" s="1"/>
  <c r="BL365" i="3"/>
  <c r="AZ365" i="3" s="1"/>
  <c r="BL367" i="3"/>
  <c r="AZ367" i="3" s="1"/>
  <c r="BA385" i="3"/>
  <c r="AZ385" i="3" s="1"/>
  <c r="BA395" i="3"/>
  <c r="AZ395" i="3" s="1"/>
  <c r="BL208" i="3"/>
  <c r="BL210" i="3"/>
  <c r="AZ210" i="3" s="1"/>
  <c r="AZ216" i="3"/>
  <c r="BA217" i="3"/>
  <c r="AZ217" i="3" s="1"/>
  <c r="BL219" i="3"/>
  <c r="AZ219" i="3" s="1"/>
  <c r="BA234" i="3"/>
  <c r="AZ234" i="3" s="1"/>
  <c r="BA241" i="3"/>
  <c r="AZ241" i="3" s="1"/>
  <c r="BA244" i="3"/>
  <c r="BL16" i="3"/>
  <c r="AZ16" i="3" s="1"/>
  <c r="BR5" i="3"/>
  <c r="G28" i="6" s="1"/>
  <c r="BL440" i="3"/>
  <c r="AZ440" i="3" s="1"/>
  <c r="BL457" i="3"/>
  <c r="AZ457" i="3" s="1"/>
  <c r="BA463" i="3"/>
  <c r="AZ463" i="3" s="1"/>
  <c r="BA469" i="3"/>
  <c r="AZ469" i="3" s="1"/>
  <c r="G488" i="3"/>
  <c r="BL312" i="3"/>
  <c r="AZ312" i="3" s="1"/>
  <c r="BA331" i="3"/>
  <c r="AZ331" i="3" s="1"/>
  <c r="BL332" i="3"/>
  <c r="BL333" i="3"/>
  <c r="AZ333" i="3" s="1"/>
  <c r="BL353" i="3"/>
  <c r="BL354" i="3"/>
  <c r="AZ354" i="3" s="1"/>
  <c r="BL363" i="3"/>
  <c r="AZ363" i="3" s="1"/>
  <c r="BA374" i="3"/>
  <c r="AZ374" i="3" s="1"/>
  <c r="BA386" i="3"/>
  <c r="G396" i="3"/>
  <c r="BL396" i="3"/>
  <c r="AZ396" i="3" s="1"/>
  <c r="BA215" i="3"/>
  <c r="BL218" i="3"/>
  <c r="BA237" i="3"/>
  <c r="AZ237" i="3" s="1"/>
  <c r="G242" i="3"/>
  <c r="BL243" i="3"/>
  <c r="AZ243" i="3" s="1"/>
  <c r="AZ247" i="3"/>
  <c r="AZ260" i="3"/>
  <c r="BL262" i="3"/>
  <c r="BA270" i="3"/>
  <c r="BL421" i="3"/>
  <c r="AZ421" i="3" s="1"/>
  <c r="BA433" i="3"/>
  <c r="AZ433" i="3" s="1"/>
  <c r="BA439" i="3"/>
  <c r="AZ439" i="3" s="1"/>
  <c r="BL451" i="3"/>
  <c r="AZ451" i="3" s="1"/>
  <c r="BA455" i="3"/>
  <c r="AZ455" i="3" s="1"/>
  <c r="BL476" i="3"/>
  <c r="AZ476" i="3" s="1"/>
  <c r="BL482" i="3"/>
  <c r="BL487" i="3"/>
  <c r="AZ487" i="3" s="1"/>
  <c r="BA307" i="3"/>
  <c r="AZ307" i="3" s="1"/>
  <c r="BL383" i="3"/>
  <c r="AZ383" i="3" s="1"/>
  <c r="BA392" i="3"/>
  <c r="AZ392" i="3" s="1"/>
  <c r="BL397" i="3"/>
  <c r="BA231" i="3"/>
  <c r="AZ231" i="3" s="1"/>
  <c r="BL236" i="3"/>
  <c r="AZ236" i="3" s="1"/>
  <c r="BL237" i="3"/>
  <c r="BL239" i="3"/>
  <c r="AZ239" i="3" s="1"/>
  <c r="BL282" i="3"/>
  <c r="G419" i="3"/>
  <c r="BL432" i="3"/>
  <c r="AZ432" i="3" s="1"/>
  <c r="BA444" i="3"/>
  <c r="AZ444" i="3" s="1"/>
  <c r="BA450" i="3"/>
  <c r="AZ450" i="3" s="1"/>
  <c r="BL462" i="3"/>
  <c r="BL468" i="3"/>
  <c r="BA475" i="3"/>
  <c r="AZ475" i="3" s="1"/>
  <c r="BA480" i="3"/>
  <c r="AZ480" i="3" s="1"/>
  <c r="BL386" i="3"/>
  <c r="BA212" i="3"/>
  <c r="AZ212" i="3" s="1"/>
  <c r="BL215" i="3"/>
  <c r="BL257" i="3"/>
  <c r="AZ257" i="3" s="1"/>
  <c r="BA266" i="3"/>
  <c r="AZ266" i="3" s="1"/>
  <c r="BL270" i="3"/>
  <c r="BA294" i="3"/>
  <c r="AZ294" i="3" s="1"/>
  <c r="BL118" i="3"/>
  <c r="BL122" i="3"/>
  <c r="G123" i="3"/>
  <c r="BL130" i="3"/>
  <c r="AZ130" i="3" s="1"/>
  <c r="BL142" i="3"/>
  <c r="BA150" i="3"/>
  <c r="AZ150" i="3" s="1"/>
  <c r="G155" i="3"/>
  <c r="BL161" i="3"/>
  <c r="BL175" i="3"/>
  <c r="AZ175" i="3" s="1"/>
  <c r="G176" i="3"/>
  <c r="G195" i="3"/>
  <c r="BL202" i="3"/>
  <c r="AZ202" i="3" s="1"/>
  <c r="G204" i="3"/>
  <c r="BL22" i="3"/>
  <c r="AZ22" i="3" s="1"/>
  <c r="BA45" i="3"/>
  <c r="AZ45" i="3" s="1"/>
  <c r="BL247" i="3"/>
  <c r="BL258" i="3"/>
  <c r="AZ258" i="3" s="1"/>
  <c r="BL264" i="3"/>
  <c r="AZ264" i="3" s="1"/>
  <c r="BL271" i="3"/>
  <c r="AZ271" i="3" s="1"/>
  <c r="BL277" i="3"/>
  <c r="AZ277" i="3" s="1"/>
  <c r="BL286" i="3"/>
  <c r="AZ286" i="3" s="1"/>
  <c r="AZ289" i="3"/>
  <c r="BL151" i="3"/>
  <c r="AZ151" i="3" s="1"/>
  <c r="AA27" i="71"/>
  <c r="AA25" i="71"/>
  <c r="AA21" i="71"/>
  <c r="AA10" i="43"/>
  <c r="AA12" i="43"/>
  <c r="X22" i="71"/>
  <c r="X21" i="71"/>
  <c r="X23" i="71"/>
  <c r="G244" i="3"/>
  <c r="BA281" i="3"/>
  <c r="BA282" i="3"/>
  <c r="BL287" i="3"/>
  <c r="AZ287" i="3" s="1"/>
  <c r="G288" i="3"/>
  <c r="BL293" i="3"/>
  <c r="AZ293" i="3" s="1"/>
  <c r="G294" i="3"/>
  <c r="BA297" i="3"/>
  <c r="BA298" i="3"/>
  <c r="AZ298" i="3" s="1"/>
  <c r="BL115" i="3"/>
  <c r="AZ115" i="3" s="1"/>
  <c r="BL121" i="3"/>
  <c r="AZ121" i="3" s="1"/>
  <c r="BA134" i="3"/>
  <c r="AZ141" i="3"/>
  <c r="BA146" i="3"/>
  <c r="AZ146" i="3" s="1"/>
  <c r="BA164" i="3"/>
  <c r="AZ164" i="3" s="1"/>
  <c r="BL191" i="3"/>
  <c r="AZ191" i="3" s="1"/>
  <c r="BL203" i="3"/>
  <c r="AZ203" i="3" s="1"/>
  <c r="BL18" i="3"/>
  <c r="BA20" i="3"/>
  <c r="BA25" i="3"/>
  <c r="AZ25" i="3" s="1"/>
  <c r="BA26" i="3"/>
  <c r="AZ26" i="3" s="1"/>
  <c r="G44" i="3"/>
  <c r="AZ65" i="3"/>
  <c r="AZ73" i="3"/>
  <c r="BL240" i="3"/>
  <c r="BL244" i="3"/>
  <c r="BA262" i="3"/>
  <c r="BA268" i="3"/>
  <c r="BA269" i="3"/>
  <c r="AZ269" i="3" s="1"/>
  <c r="BA300" i="3"/>
  <c r="AZ300" i="3" s="1"/>
  <c r="BA301" i="3"/>
  <c r="AZ301" i="3" s="1"/>
  <c r="BA140" i="3"/>
  <c r="AZ140" i="3" s="1"/>
  <c r="BA145" i="3"/>
  <c r="BL181" i="3"/>
  <c r="AZ181" i="3" s="1"/>
  <c r="BL182" i="3"/>
  <c r="AZ182" i="3" s="1"/>
  <c r="AZ49" i="3"/>
  <c r="G255" i="3"/>
  <c r="BL260" i="3"/>
  <c r="BL281" i="3"/>
  <c r="BL297" i="3"/>
  <c r="BA125" i="3"/>
  <c r="AZ125" i="3" s="1"/>
  <c r="BA126" i="3"/>
  <c r="AZ126" i="3" s="1"/>
  <c r="BA129" i="3"/>
  <c r="AZ129" i="3" s="1"/>
  <c r="BA133" i="3"/>
  <c r="AZ133" i="3" s="1"/>
  <c r="BL134" i="3"/>
  <c r="BA142" i="3"/>
  <c r="AZ142" i="3" s="1"/>
  <c r="BA158" i="3"/>
  <c r="AZ158" i="3" s="1"/>
  <c r="BA161" i="3"/>
  <c r="BA177" i="3"/>
  <c r="AZ177" i="3" s="1"/>
  <c r="BA205" i="3"/>
  <c r="AZ205" i="3" s="1"/>
  <c r="AZ207" i="3"/>
  <c r="BL24" i="3"/>
  <c r="BL30" i="3"/>
  <c r="BL41" i="3"/>
  <c r="AZ52" i="3"/>
  <c r="BL261" i="3"/>
  <c r="AZ261" i="3" s="1"/>
  <c r="G262" i="3"/>
  <c r="BL268" i="3"/>
  <c r="BL274" i="3"/>
  <c r="AZ274" i="3" s="1"/>
  <c r="G275" i="3"/>
  <c r="G281" i="3"/>
  <c r="BA284" i="3"/>
  <c r="AZ284" i="3" s="1"/>
  <c r="BA285" i="3"/>
  <c r="AZ285" i="3" s="1"/>
  <c r="BL295" i="3"/>
  <c r="AZ295" i="3" s="1"/>
  <c r="G297" i="3"/>
  <c r="BL299" i="3"/>
  <c r="AZ299" i="3" s="1"/>
  <c r="BL300" i="3"/>
  <c r="BA113" i="3"/>
  <c r="AZ113" i="3" s="1"/>
  <c r="BA114" i="3"/>
  <c r="AZ114" i="3" s="1"/>
  <c r="BA124" i="3"/>
  <c r="AZ124" i="3" s="1"/>
  <c r="BA132" i="3"/>
  <c r="AZ132" i="3" s="1"/>
  <c r="G134" i="3"/>
  <c r="BL138" i="3"/>
  <c r="AZ138" i="3" s="1"/>
  <c r="BL162" i="3"/>
  <c r="G163" i="3"/>
  <c r="BL171" i="3"/>
  <c r="AZ171" i="3" s="1"/>
  <c r="BL183" i="3"/>
  <c r="AZ183" i="3" s="1"/>
  <c r="BA197" i="3"/>
  <c r="AZ197" i="3" s="1"/>
  <c r="BL197" i="3"/>
  <c r="BA204" i="3"/>
  <c r="AZ204" i="3" s="1"/>
  <c r="BL27" i="3"/>
  <c r="AZ27" i="3" s="1"/>
  <c r="AZ30" i="3"/>
  <c r="BL46" i="3"/>
  <c r="AZ46" i="3" s="1"/>
  <c r="G62" i="3"/>
  <c r="BL250" i="3"/>
  <c r="AZ250" i="3" s="1"/>
  <c r="BA252" i="3"/>
  <c r="G268" i="3"/>
  <c r="BL283" i="3"/>
  <c r="AZ283" i="3" s="1"/>
  <c r="BL290" i="3"/>
  <c r="AZ290" i="3" s="1"/>
  <c r="G291" i="3"/>
  <c r="BA118" i="3"/>
  <c r="AZ118" i="3" s="1"/>
  <c r="BL127" i="3"/>
  <c r="AZ127" i="3" s="1"/>
  <c r="G128" i="3"/>
  <c r="BL131" i="3"/>
  <c r="AZ131" i="3" s="1"/>
  <c r="BL137" i="3"/>
  <c r="AZ137" i="3" s="1"/>
  <c r="G140" i="3"/>
  <c r="BL145" i="3"/>
  <c r="BA154" i="3"/>
  <c r="BL157" i="3"/>
  <c r="BL159" i="3"/>
  <c r="AZ159" i="3" s="1"/>
  <c r="G162" i="3"/>
  <c r="BA196" i="3"/>
  <c r="AZ196" i="3" s="1"/>
  <c r="BA24" i="3"/>
  <c r="BL28" i="3"/>
  <c r="BL35" i="3"/>
  <c r="BL60" i="3"/>
  <c r="AZ60" i="3" s="1"/>
  <c r="BA81" i="3"/>
  <c r="BL143" i="3"/>
  <c r="AZ143" i="3" s="1"/>
  <c r="BL167" i="3"/>
  <c r="AZ167" i="3" s="1"/>
  <c r="G178" i="3"/>
  <c r="BL178" i="3"/>
  <c r="AZ178" i="3" s="1"/>
  <c r="G206" i="3"/>
  <c r="BL20" i="3"/>
  <c r="AZ20" i="3" s="1"/>
  <c r="BL32" i="3"/>
  <c r="AZ32" i="3" s="1"/>
  <c r="BA41" i="3"/>
  <c r="AZ48" i="3"/>
  <c r="BL79" i="3"/>
  <c r="AZ79" i="3" s="1"/>
  <c r="BL81" i="3"/>
  <c r="BL85" i="3"/>
  <c r="AZ85" i="3" s="1"/>
  <c r="BL104" i="3"/>
  <c r="AZ104" i="3" s="1"/>
  <c r="BL110" i="3"/>
  <c r="AZ110" i="3" s="1"/>
  <c r="BL112" i="3"/>
  <c r="AZ112" i="3" s="1"/>
  <c r="J50" i="43"/>
  <c r="D50" i="43"/>
  <c r="E48" i="43" s="1"/>
  <c r="B46" i="43" s="1"/>
  <c r="C24" i="43" s="1"/>
  <c r="BL166" i="3"/>
  <c r="AZ166" i="3" s="1"/>
  <c r="BA174" i="3"/>
  <c r="AZ174" i="3" s="1"/>
  <c r="BA192" i="3"/>
  <c r="AZ192" i="3" s="1"/>
  <c r="BL19" i="3"/>
  <c r="BL21" i="3"/>
  <c r="AZ21" i="3" s="1"/>
  <c r="BA28" i="3"/>
  <c r="BL55" i="3"/>
  <c r="AZ55" i="3" s="1"/>
  <c r="BL56" i="3"/>
  <c r="AZ56" i="3" s="1"/>
  <c r="BL66" i="3"/>
  <c r="AZ66" i="3" s="1"/>
  <c r="BL87" i="3"/>
  <c r="AZ87" i="3" s="1"/>
  <c r="BL89" i="3"/>
  <c r="BL90" i="3"/>
  <c r="AZ90" i="3" s="1"/>
  <c r="BL95" i="3"/>
  <c r="AZ95" i="3" s="1"/>
  <c r="BL96" i="3"/>
  <c r="AZ96" i="3" s="1"/>
  <c r="G138" i="3"/>
  <c r="BA162" i="3"/>
  <c r="G190" i="3"/>
  <c r="BL190" i="3"/>
  <c r="AZ190" i="3" s="1"/>
  <c r="BL201" i="3"/>
  <c r="AZ201" i="3" s="1"/>
  <c r="G202" i="3"/>
  <c r="AC5" i="3"/>
  <c r="G34" i="3"/>
  <c r="BA35" i="3"/>
  <c r="BL40" i="3"/>
  <c r="AZ40" i="3" s="1"/>
  <c r="BL47" i="3"/>
  <c r="AZ47" i="3" s="1"/>
  <c r="BA50" i="3"/>
  <c r="BA51" i="3"/>
  <c r="AZ51" i="3" s="1"/>
  <c r="G66" i="3"/>
  <c r="BA69" i="3"/>
  <c r="AZ69" i="3" s="1"/>
  <c r="BA70" i="3"/>
  <c r="AZ70" i="3" s="1"/>
  <c r="BL91" i="3"/>
  <c r="AZ91" i="3" s="1"/>
  <c r="BL101" i="3"/>
  <c r="AZ101" i="3" s="1"/>
  <c r="B13" i="1"/>
  <c r="E13" i="1" s="1"/>
  <c r="X7" i="71"/>
  <c r="BA157" i="3"/>
  <c r="BL173" i="3"/>
  <c r="AZ173" i="3" s="1"/>
  <c r="G47" i="3"/>
  <c r="G49" i="3"/>
  <c r="BL58" i="3"/>
  <c r="AZ58" i="3" s="1"/>
  <c r="BA61" i="3"/>
  <c r="AZ61" i="3" s="1"/>
  <c r="BA71" i="3"/>
  <c r="BL88" i="3"/>
  <c r="AZ88" i="3" s="1"/>
  <c r="D71" i="71"/>
  <c r="C70" i="71"/>
  <c r="D70" i="71" s="1"/>
  <c r="C56" i="71"/>
  <c r="D55" i="71"/>
  <c r="BL133" i="3"/>
  <c r="BA156" i="3"/>
  <c r="AZ156" i="3" s="1"/>
  <c r="G184" i="3"/>
  <c r="BA186" i="3"/>
  <c r="AZ186" i="3" s="1"/>
  <c r="BA198" i="3"/>
  <c r="AZ198" i="3" s="1"/>
  <c r="G23" i="3"/>
  <c r="G24" i="3"/>
  <c r="G29" i="3"/>
  <c r="BA31" i="3"/>
  <c r="AZ31" i="3" s="1"/>
  <c r="BL42" i="3"/>
  <c r="AZ42" i="3" s="1"/>
  <c r="BL50" i="3"/>
  <c r="G60" i="3"/>
  <c r="BL68" i="3"/>
  <c r="AZ68" i="3" s="1"/>
  <c r="BL69" i="3"/>
  <c r="G70" i="3"/>
  <c r="BA74" i="3"/>
  <c r="AZ74" i="3" s="1"/>
  <c r="BA77" i="3"/>
  <c r="AZ77" i="3" s="1"/>
  <c r="AA19" i="71"/>
  <c r="X17" i="71"/>
  <c r="BL154" i="3"/>
  <c r="BA169" i="3"/>
  <c r="AZ169" i="3" s="1"/>
  <c r="BL195" i="3"/>
  <c r="AZ195" i="3" s="1"/>
  <c r="G196" i="3"/>
  <c r="G36" i="3"/>
  <c r="BA38" i="3"/>
  <c r="AZ38" i="3" s="1"/>
  <c r="G50" i="3"/>
  <c r="BA53" i="3"/>
  <c r="AZ53" i="3" s="1"/>
  <c r="BA54" i="3"/>
  <c r="AZ54" i="3" s="1"/>
  <c r="BA63" i="3"/>
  <c r="AZ63" i="3" s="1"/>
  <c r="BA64" i="3"/>
  <c r="AZ64" i="3" s="1"/>
  <c r="BL71" i="3"/>
  <c r="BA76" i="3"/>
  <c r="AZ76" i="3" s="1"/>
  <c r="BA84" i="3"/>
  <c r="AZ84" i="3" s="1"/>
  <c r="BA94" i="3"/>
  <c r="AZ94" i="3" s="1"/>
  <c r="AZ100" i="3"/>
  <c r="AC18" i="35"/>
  <c r="W18" i="35"/>
  <c r="BA103" i="3"/>
  <c r="AZ103" i="3" s="1"/>
  <c r="W21" i="37"/>
  <c r="U18" i="36"/>
  <c r="AB18" i="36"/>
  <c r="P27" i="6"/>
  <c r="AA24" i="71"/>
  <c r="E24" i="71"/>
  <c r="E28" i="71"/>
  <c r="U28" i="71" s="1"/>
  <c r="AB5" i="71"/>
  <c r="M19" i="43"/>
  <c r="BL102" i="3"/>
  <c r="AZ102" i="3" s="1"/>
  <c r="T60" i="71"/>
  <c r="D60" i="71"/>
  <c r="F26" i="71"/>
  <c r="F27" i="71" s="1"/>
  <c r="F28" i="71" s="1"/>
  <c r="V28" i="71" s="1"/>
  <c r="AB25" i="71"/>
  <c r="Z12" i="43"/>
  <c r="Z10" i="43"/>
  <c r="BA97" i="3"/>
  <c r="AZ97" i="3" s="1"/>
  <c r="J53" i="43"/>
  <c r="E108" i="43"/>
  <c r="AB24" i="71"/>
  <c r="AA31" i="71"/>
  <c r="C40" i="71"/>
  <c r="D39" i="71"/>
  <c r="T64" i="71"/>
  <c r="D64" i="71"/>
  <c r="AH12" i="43"/>
  <c r="AH10" i="43"/>
  <c r="Y18" i="71"/>
  <c r="Z18" i="71" s="1"/>
  <c r="AA14" i="71"/>
  <c r="AB14" i="71"/>
  <c r="Y7" i="71"/>
  <c r="Z7" i="71" s="1"/>
  <c r="BL23" i="3"/>
  <c r="AZ23" i="3" s="1"/>
  <c r="J51" i="43"/>
  <c r="C48" i="71"/>
  <c r="D59" i="71"/>
  <c r="Q61" i="71"/>
  <c r="Y24" i="71"/>
  <c r="Z24" i="71" s="1"/>
  <c r="Y26" i="71"/>
  <c r="Z26" i="71" s="1"/>
  <c r="C51" i="71"/>
  <c r="D50" i="71"/>
  <c r="U64" i="71"/>
  <c r="E63" i="71"/>
  <c r="P64" i="71"/>
  <c r="AA22" i="71"/>
  <c r="B17" i="71"/>
  <c r="B16" i="71" s="1"/>
  <c r="AA20" i="71"/>
  <c r="E20" i="71"/>
  <c r="AA13" i="71"/>
  <c r="AA3" i="71"/>
  <c r="BL108" i="3"/>
  <c r="AZ108" i="3" s="1"/>
  <c r="M100" i="43"/>
  <c r="D100" i="43"/>
  <c r="D108" i="43"/>
  <c r="D79" i="71"/>
  <c r="C78" i="71"/>
  <c r="D78" i="71" s="1"/>
  <c r="Y29" i="71"/>
  <c r="Z29" i="71" s="1"/>
  <c r="AA26" i="71"/>
  <c r="Y28" i="71"/>
  <c r="Z28" i="71" s="1"/>
  <c r="AB29" i="71"/>
  <c r="F30" i="71"/>
  <c r="F31" i="71" s="1"/>
  <c r="F32" i="71" s="1"/>
  <c r="V32" i="71" s="1"/>
  <c r="AB27" i="71"/>
  <c r="F43" i="71"/>
  <c r="F44" i="71" s="1"/>
  <c r="V44" i="71" s="1"/>
  <c r="B55" i="71"/>
  <c r="B56" i="71" s="1"/>
  <c r="S56" i="71" s="1"/>
  <c r="U72" i="71"/>
  <c r="E71" i="71"/>
  <c r="E70" i="71" s="1"/>
  <c r="X20" i="71"/>
  <c r="AB20" i="71"/>
  <c r="C24" i="12"/>
  <c r="X13" i="71"/>
  <c r="X14" i="71"/>
  <c r="AB8" i="71"/>
  <c r="AB7" i="71"/>
  <c r="AA23" i="71"/>
  <c r="D30" i="71"/>
  <c r="C31" i="71"/>
  <c r="AB26" i="71"/>
  <c r="AA29" i="71"/>
  <c r="AA30" i="71"/>
  <c r="AA28" i="71"/>
  <c r="F71" i="71"/>
  <c r="F70" i="71" s="1"/>
  <c r="V72" i="71"/>
  <c r="AD12" i="43"/>
  <c r="AD10" i="43"/>
  <c r="X18" i="71"/>
  <c r="AA17" i="71"/>
  <c r="AA10" i="71"/>
  <c r="BL105" i="3"/>
  <c r="AZ105" i="3" s="1"/>
  <c r="AA18" i="36"/>
  <c r="S18" i="36"/>
  <c r="C62" i="71"/>
  <c r="O63" i="71"/>
  <c r="C26" i="71"/>
  <c r="Y25" i="71"/>
  <c r="Z25" i="71" s="1"/>
  <c r="AA6" i="71"/>
  <c r="AA35" i="71"/>
  <c r="AA5" i="71"/>
  <c r="AA33" i="71"/>
  <c r="E56" i="71"/>
  <c r="U56" i="71" s="1"/>
  <c r="N63" i="71"/>
  <c r="B62" i="71"/>
  <c r="D75" i="71"/>
  <c r="C74" i="71"/>
  <c r="D74" i="71" s="1"/>
  <c r="AE10" i="43"/>
  <c r="AE12" i="43"/>
  <c r="Y13" i="71"/>
  <c r="Z13" i="71" s="1"/>
  <c r="Y9" i="71"/>
  <c r="Z9" i="71" s="1"/>
  <c r="AB22" i="71"/>
  <c r="Y23" i="71"/>
  <c r="Z23" i="71" s="1"/>
  <c r="X32" i="71"/>
  <c r="F67" i="71"/>
  <c r="F66" i="71" s="1"/>
  <c r="K56" i="9"/>
  <c r="C20" i="71"/>
  <c r="AB19" i="71"/>
  <c r="AB13" i="71"/>
  <c r="Y10" i="71"/>
  <c r="Z10" i="71" s="1"/>
  <c r="Y17" i="71"/>
  <c r="Z17" i="71" s="1"/>
  <c r="X11" i="71"/>
  <c r="X8" i="71"/>
  <c r="Y22" i="71"/>
  <c r="Z22" i="71" s="1"/>
  <c r="X5" i="71"/>
  <c r="AF12" i="43"/>
  <c r="Y19" i="71"/>
  <c r="Z19" i="71" s="1"/>
  <c r="Y14" i="71"/>
  <c r="Z14" i="71" s="1"/>
  <c r="X6" i="71"/>
  <c r="Q63" i="71"/>
  <c r="B23" i="71"/>
  <c r="B22" i="71" s="1"/>
  <c r="X28" i="71"/>
  <c r="AA18" i="71"/>
  <c r="AA11" i="71"/>
  <c r="AA9" i="71"/>
  <c r="X9" i="71"/>
  <c r="AB6" i="71"/>
  <c r="Y21" i="71"/>
  <c r="Z21" i="71" s="1"/>
  <c r="X30" i="71"/>
  <c r="AB11" i="71"/>
  <c r="AA7" i="71"/>
  <c r="X10" i="71"/>
  <c r="C24" i="71"/>
  <c r="X27" i="71"/>
  <c r="Y5" i="71"/>
  <c r="Z5" i="71" s="1"/>
  <c r="Y6" i="71"/>
  <c r="Z6" i="71" s="1"/>
  <c r="C5" i="86"/>
  <c r="D5" i="86" s="1"/>
  <c r="C4" i="86"/>
  <c r="D4" i="86" s="1"/>
  <c r="C3" i="86"/>
  <c r="D3" i="86" s="1"/>
  <c r="F20" i="71"/>
  <c r="F19" i="71" s="1"/>
  <c r="F18" i="71" s="1"/>
  <c r="F17" i="71" s="1"/>
  <c r="F16" i="71" s="1"/>
  <c r="F15" i="71" s="1"/>
  <c r="F14" i="71" s="1"/>
  <c r="F13" i="71" s="1"/>
  <c r="AB17" i="71"/>
  <c r="Y8" i="71"/>
  <c r="Z8" i="71" s="1"/>
  <c r="AB9" i="71"/>
  <c r="C40" i="68"/>
  <c r="X24" i="71"/>
  <c r="AA8" i="71"/>
  <c r="AB10" i="71"/>
  <c r="G1" i="68"/>
  <c r="G1" i="88"/>
  <c r="W41" i="33"/>
  <c r="AC41" i="33"/>
  <c r="H41" i="33"/>
  <c r="F41" i="33"/>
  <c r="AA41" i="33" s="1"/>
  <c r="E121" i="33"/>
  <c r="F121" i="33" s="1"/>
  <c r="G121" i="33" s="1"/>
  <c r="H121" i="33" s="1"/>
  <c r="I121" i="33" s="1"/>
  <c r="J121" i="33" s="1"/>
  <c r="K121" i="33" s="1"/>
  <c r="L121" i="33" s="1"/>
  <c r="M121" i="33" s="1"/>
  <c r="F36" i="33"/>
  <c r="H36" i="33"/>
  <c r="H111" i="33"/>
  <c r="I111" i="33" s="1"/>
  <c r="J111" i="33" s="1"/>
  <c r="K111" i="33" s="1"/>
  <c r="L111" i="33" s="1"/>
  <c r="M111" i="33" s="1"/>
  <c r="J36" i="33"/>
  <c r="AC36" i="33" s="1"/>
  <c r="AA35" i="33"/>
  <c r="F101" i="33"/>
  <c r="J32" i="33" s="1"/>
  <c r="F91" i="33"/>
  <c r="G91" i="33" s="1"/>
  <c r="H91" i="33" s="1"/>
  <c r="I91" i="33" s="1"/>
  <c r="J91" i="33" s="1"/>
  <c r="K91" i="33" s="1"/>
  <c r="L91" i="33" s="1"/>
  <c r="M91" i="33" s="1"/>
  <c r="J27" i="33"/>
  <c r="AC27" i="33" s="1"/>
  <c r="F27" i="33"/>
  <c r="AA27" i="33" s="1"/>
  <c r="H27" i="33"/>
  <c r="U27" i="33" s="1"/>
  <c r="F87" i="33"/>
  <c r="G87" i="33" s="1"/>
  <c r="H87" i="33" s="1"/>
  <c r="I87" i="33" s="1"/>
  <c r="J87" i="33" s="1"/>
  <c r="K87" i="33" s="1"/>
  <c r="L87" i="33" s="1"/>
  <c r="M87" i="33" s="1"/>
  <c r="F25" i="33"/>
  <c r="AA25" i="33" s="1"/>
  <c r="J25" i="33"/>
  <c r="W25" i="33" s="1"/>
  <c r="H25" i="33"/>
  <c r="H23" i="33"/>
  <c r="AB23" i="33" s="1"/>
  <c r="J23" i="33"/>
  <c r="H19" i="33"/>
  <c r="J19" i="33"/>
  <c r="F81" i="33"/>
  <c r="G81" i="33" s="1"/>
  <c r="F19" i="33"/>
  <c r="F79" i="33"/>
  <c r="G79" i="33" s="1"/>
  <c r="H17" i="33"/>
  <c r="AB17" i="33" s="1"/>
  <c r="J17" i="33"/>
  <c r="F17" i="33"/>
  <c r="S17" i="33" s="1"/>
  <c r="F15" i="33"/>
  <c r="H15" i="33"/>
  <c r="F77" i="33"/>
  <c r="G77" i="33" s="1"/>
  <c r="J15" i="33"/>
  <c r="AC15" i="33" s="1"/>
  <c r="S43" i="33"/>
  <c r="AA34" i="33"/>
  <c r="W33" i="33"/>
  <c r="AB21" i="33"/>
  <c r="U42" i="33"/>
  <c r="W40" i="33"/>
  <c r="AA23" i="33"/>
  <c r="AC10" i="33"/>
  <c r="S9" i="33"/>
  <c r="S42" i="33"/>
  <c r="S41" i="33"/>
  <c r="U40" i="33"/>
  <c r="S38" i="33"/>
  <c r="W38" i="33"/>
  <c r="AC37" i="33"/>
  <c r="W35" i="33"/>
  <c r="U35" i="33"/>
  <c r="AC28" i="33"/>
  <c r="AB28" i="33"/>
  <c r="S27" i="33"/>
  <c r="AB26" i="33"/>
  <c r="U8" i="33"/>
  <c r="S8" i="33"/>
  <c r="U46" i="33"/>
  <c r="G1" i="69"/>
  <c r="K12" i="1"/>
  <c r="M12" i="1" s="1"/>
  <c r="O12" i="1" s="1"/>
  <c r="P12" i="1" s="1"/>
  <c r="K10" i="1"/>
  <c r="M10" i="1" s="1"/>
  <c r="O10" i="1" s="1"/>
  <c r="P10" i="1" s="1"/>
  <c r="K8" i="1"/>
  <c r="G1" i="84"/>
  <c r="G1" i="83"/>
  <c r="G1" i="85"/>
  <c r="G1" i="82"/>
  <c r="G9" i="1"/>
  <c r="M9" i="1"/>
  <c r="F3" i="35"/>
  <c r="K5" i="4"/>
  <c r="B47" i="48" s="1"/>
  <c r="T13" i="1"/>
  <c r="BM5" i="3"/>
  <c r="F29" i="6" s="1"/>
  <c r="G29" i="6"/>
  <c r="AR11" i="1"/>
  <c r="BL13" i="3"/>
  <c r="AZ13" i="3" s="1"/>
  <c r="G18" i="3"/>
  <c r="AZ19" i="3"/>
  <c r="G14" i="3"/>
  <c r="AZ18" i="3"/>
  <c r="BL15" i="3"/>
  <c r="AZ15" i="3" s="1"/>
  <c r="AZ14" i="3"/>
  <c r="F28" i="6"/>
  <c r="C6" i="43"/>
  <c r="F48" i="43"/>
  <c r="H56" i="43" s="1"/>
  <c r="H71" i="43"/>
  <c r="H88" i="43"/>
  <c r="H81" i="43"/>
  <c r="H82" i="43"/>
  <c r="H87" i="43"/>
  <c r="H86" i="43"/>
  <c r="I21" i="66"/>
  <c r="C28" i="66"/>
  <c r="G6" i="1"/>
  <c r="C10" i="39"/>
  <c r="G41" i="43"/>
  <c r="L27" i="6"/>
  <c r="G1" i="81"/>
  <c r="G1" i="80"/>
  <c r="O7" i="1"/>
  <c r="AA41" i="39"/>
  <c r="S42" i="39"/>
  <c r="AC41" i="39"/>
  <c r="W27" i="39"/>
  <c r="J21" i="39"/>
  <c r="F21" i="39"/>
  <c r="S21" i="39" s="1"/>
  <c r="H21" i="39"/>
  <c r="AB21" i="39" s="1"/>
  <c r="F95" i="39"/>
  <c r="G95" i="39" s="1"/>
  <c r="W19" i="39"/>
  <c r="F19" i="39"/>
  <c r="F91" i="39"/>
  <c r="G91" i="39" s="1"/>
  <c r="H17" i="39"/>
  <c r="F17" i="39"/>
  <c r="J17" i="39"/>
  <c r="U29" i="39"/>
  <c r="AA21" i="39"/>
  <c r="W29" i="39"/>
  <c r="S29" i="39"/>
  <c r="S23" i="39"/>
  <c r="W23" i="39"/>
  <c r="F81" i="39"/>
  <c r="U42" i="39"/>
  <c r="AB41" i="39"/>
  <c r="U40" i="39"/>
  <c r="W39" i="39"/>
  <c r="AC38" i="39"/>
  <c r="S38" i="39"/>
  <c r="AB32" i="39"/>
  <c r="AB8" i="39"/>
  <c r="U37" i="39"/>
  <c r="AC15" i="39"/>
  <c r="M20" i="81"/>
  <c r="M20" i="80"/>
  <c r="F34" i="81"/>
  <c r="F62" i="81" s="1"/>
  <c r="F34" i="80"/>
  <c r="F62" i="80" s="1"/>
  <c r="M20" i="15"/>
  <c r="C92" i="9"/>
  <c r="C94" i="9"/>
  <c r="C5" i="11"/>
  <c r="F28" i="15"/>
  <c r="C28" i="15" s="1"/>
  <c r="F31" i="12"/>
  <c r="D68" i="9"/>
  <c r="M18" i="67"/>
  <c r="F32" i="80"/>
  <c r="F28" i="80"/>
  <c r="C28" i="80" s="1"/>
  <c r="M18" i="80"/>
  <c r="F32" i="81"/>
  <c r="F28" i="81"/>
  <c r="C28" i="81" s="1"/>
  <c r="M18" i="81"/>
  <c r="C31" i="12"/>
  <c r="C48" i="68"/>
  <c r="C30" i="68"/>
  <c r="C77" i="9"/>
  <c r="C74" i="9" s="1"/>
  <c r="C13" i="12"/>
  <c r="C36" i="11"/>
  <c r="F54" i="9"/>
  <c r="M18" i="15"/>
  <c r="F32" i="15"/>
  <c r="F60" i="15" s="1"/>
  <c r="F30" i="69"/>
  <c r="F32" i="67"/>
  <c r="F60" i="67" s="1"/>
  <c r="F52" i="9"/>
  <c r="F28" i="67"/>
  <c r="C28" i="67" s="1"/>
  <c r="F30" i="11"/>
  <c r="F53" i="9"/>
  <c r="F48" i="9"/>
  <c r="O52" i="9" s="1"/>
  <c r="C21" i="69"/>
  <c r="D22" i="67"/>
  <c r="I20" i="43"/>
  <c r="B66" i="43"/>
  <c r="E10" i="43"/>
  <c r="E8" i="43"/>
  <c r="E11" i="43"/>
  <c r="E9" i="43"/>
  <c r="H51" i="43"/>
  <c r="AQ12" i="1"/>
  <c r="C36" i="69"/>
  <c r="T11" i="1"/>
  <c r="AQ13" i="1"/>
  <c r="T12" i="1"/>
  <c r="I4" i="6"/>
  <c r="D9" i="68"/>
  <c r="C9" i="68" s="1"/>
  <c r="D19" i="12"/>
  <c r="C19" i="12" s="1"/>
  <c r="E13" i="6"/>
  <c r="G17" i="43"/>
  <c r="C16" i="43" s="1"/>
  <c r="C5" i="43" s="1"/>
  <c r="O11" i="1"/>
  <c r="P11" i="1" s="1"/>
  <c r="P7" i="1"/>
  <c r="P14" i="1"/>
  <c r="P6" i="1"/>
  <c r="O8" i="1"/>
  <c r="O9" i="1"/>
  <c r="P9" i="1" s="1"/>
  <c r="T35" i="4"/>
  <c r="A19" i="51" s="1"/>
  <c r="B14" i="72" s="1"/>
  <c r="A15" i="62"/>
  <c r="B61" i="72" s="1"/>
  <c r="G11" i="1"/>
  <c r="D12" i="52"/>
  <c r="D127" i="9"/>
  <c r="D13" i="52"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66" i="67"/>
  <c r="B11" i="70"/>
  <c r="L59" i="15"/>
  <c r="N59" i="15"/>
  <c r="L58" i="15"/>
  <c r="M59" i="15"/>
  <c r="Q71" i="67"/>
  <c r="F70" i="67"/>
  <c r="C27" i="67"/>
  <c r="F65" i="15"/>
  <c r="B9" i="70"/>
  <c r="N59" i="67"/>
  <c r="L59" i="67"/>
  <c r="L58" i="67"/>
  <c r="M59" i="67"/>
  <c r="B13" i="70"/>
  <c r="F68" i="67"/>
  <c r="F64" i="67"/>
  <c r="F68" i="15"/>
  <c r="F36" i="15"/>
  <c r="M27" i="81"/>
  <c r="M8" i="84"/>
  <c r="M8" i="85"/>
  <c r="F8" i="84"/>
  <c r="M26" i="84"/>
  <c r="F16" i="85"/>
  <c r="M29" i="85"/>
  <c r="F7" i="82"/>
  <c r="M27" i="15"/>
  <c r="F42" i="84"/>
  <c r="M24" i="80"/>
  <c r="M22" i="15"/>
  <c r="C76" i="80"/>
  <c r="F43" i="81"/>
  <c r="M27" i="83"/>
  <c r="M24" i="81"/>
  <c r="D6" i="73"/>
  <c r="M26" i="81"/>
  <c r="F9" i="15"/>
  <c r="F38" i="85"/>
  <c r="M29" i="84"/>
  <c r="M28" i="85"/>
  <c r="L47" i="88"/>
  <c r="F37" i="80"/>
  <c r="F38" i="88"/>
  <c r="L48" i="85"/>
  <c r="F7" i="81"/>
  <c r="M23" i="80"/>
  <c r="M8" i="15"/>
  <c r="F13" i="85"/>
  <c r="F37" i="83"/>
  <c r="M26" i="85"/>
  <c r="M24" i="15"/>
  <c r="C76" i="84"/>
  <c r="M28" i="80"/>
  <c r="F37" i="81"/>
  <c r="M6" i="81"/>
  <c r="M26" i="80"/>
  <c r="M9" i="88"/>
  <c r="M23" i="83"/>
  <c r="F37" i="84"/>
  <c r="L47" i="80"/>
  <c r="F9" i="81"/>
  <c r="M29" i="81"/>
  <c r="F16" i="83"/>
  <c r="C76" i="85"/>
  <c r="M27" i="84"/>
  <c r="C76" i="88"/>
  <c r="C76" i="81"/>
  <c r="M6" i="84"/>
  <c r="F8" i="80"/>
  <c r="F41" i="85"/>
  <c r="L47" i="85"/>
  <c r="F36" i="81"/>
  <c r="M8" i="88"/>
  <c r="M6" i="88"/>
  <c r="M28" i="81"/>
  <c r="F9" i="88"/>
  <c r="F37" i="85"/>
  <c r="F26" i="80"/>
  <c r="F37" i="88"/>
  <c r="M22" i="88"/>
  <c r="M26" i="88"/>
  <c r="F42" i="88"/>
  <c r="F16" i="84"/>
  <c r="F38" i="15"/>
  <c r="F9" i="84"/>
  <c r="D5" i="73"/>
  <c r="F16" i="15"/>
  <c r="F42" i="15"/>
  <c r="F16" i="88"/>
  <c r="F38" i="80"/>
  <c r="M6" i="83"/>
  <c r="F43" i="83"/>
  <c r="M9" i="80"/>
  <c r="F36" i="84"/>
  <c r="M22" i="85"/>
  <c r="M24" i="88"/>
  <c r="F8" i="83"/>
  <c r="F26" i="88"/>
  <c r="F40" i="85"/>
  <c r="F42" i="81"/>
  <c r="M22" i="81"/>
  <c r="D4" i="73"/>
  <c r="F43" i="85"/>
  <c r="L47" i="84"/>
  <c r="M24" i="85"/>
  <c r="M6" i="15"/>
  <c r="F38" i="81"/>
  <c r="F7" i="85"/>
  <c r="F6" i="81"/>
  <c r="J15" i="88"/>
  <c r="F6" i="85"/>
  <c r="F26" i="15"/>
  <c r="M27" i="85"/>
  <c r="M23" i="88"/>
  <c r="F9" i="85"/>
  <c r="M8" i="81"/>
  <c r="F26" i="81"/>
  <c r="M28" i="88"/>
  <c r="F38" i="84"/>
  <c r="M23" i="84"/>
  <c r="F40" i="84"/>
  <c r="F6" i="88"/>
  <c r="F26" i="85"/>
  <c r="F26" i="84"/>
  <c r="F13" i="81"/>
  <c r="M23" i="15"/>
  <c r="J15" i="84"/>
  <c r="F13" i="84"/>
  <c r="M9" i="84"/>
  <c r="F16" i="80"/>
  <c r="L47" i="81"/>
  <c r="J15" i="85"/>
  <c r="F9" i="80"/>
  <c r="J15" i="15"/>
  <c r="L48" i="81"/>
  <c r="F6" i="84"/>
  <c r="F42" i="80"/>
  <c r="M6" i="85"/>
  <c r="M23" i="85"/>
  <c r="L48" i="88"/>
  <c r="F36" i="88"/>
  <c r="F42" i="83"/>
  <c r="J15" i="81"/>
  <c r="F13" i="83"/>
  <c r="M22" i="84"/>
  <c r="M24" i="84"/>
  <c r="M9" i="81"/>
  <c r="M23" i="81"/>
  <c r="M28" i="84"/>
  <c r="F8" i="88"/>
  <c r="F13" i="15"/>
  <c r="F42" i="85"/>
  <c r="F16" i="81"/>
  <c r="F36" i="83"/>
  <c r="F40" i="81"/>
  <c r="M9" i="85"/>
  <c r="F6" i="83"/>
  <c r="M9" i="83"/>
  <c r="F43" i="84"/>
  <c r="F8" i="81"/>
  <c r="L48" i="84"/>
  <c r="F13" i="88"/>
  <c r="L48" i="80"/>
  <c r="F36" i="85"/>
  <c r="F8" i="85"/>
  <c r="F40" i="88"/>
  <c r="F13" i="67"/>
  <c r="F7" i="84"/>
  <c r="F13" i="82"/>
  <c r="M22" i="83"/>
  <c r="F64" i="15" l="1"/>
  <c r="AZ98" i="3"/>
  <c r="AZ67" i="3"/>
  <c r="AZ418" i="3"/>
  <c r="AZ117" i="3"/>
  <c r="AZ213" i="3"/>
  <c r="AZ368" i="3"/>
  <c r="AZ221" i="3"/>
  <c r="W11" i="36"/>
  <c r="AC11" i="36"/>
  <c r="AA25" i="37"/>
  <c r="S25" i="37"/>
  <c r="W34" i="36"/>
  <c r="AC34" i="36"/>
  <c r="AC37" i="39"/>
  <c r="W37" i="39"/>
  <c r="AB13" i="39"/>
  <c r="U13" i="39"/>
  <c r="AZ41" i="3"/>
  <c r="AZ218" i="3"/>
  <c r="AZ93" i="3"/>
  <c r="AZ255" i="3"/>
  <c r="AZ550" i="3"/>
  <c r="AZ518" i="3"/>
  <c r="U34" i="36"/>
  <c r="AB34" i="36"/>
  <c r="U12" i="21"/>
  <c r="AB12" i="21"/>
  <c r="W13" i="39"/>
  <c r="AC13" i="39"/>
  <c r="D121" i="9"/>
  <c r="D7" i="52" s="1"/>
  <c r="D6" i="52"/>
  <c r="AA23" i="36"/>
  <c r="S23" i="36"/>
  <c r="AA31" i="39"/>
  <c r="S31" i="39"/>
  <c r="AB32" i="40"/>
  <c r="U32" i="40"/>
  <c r="S34" i="35"/>
  <c r="AA34" i="35"/>
  <c r="AC12" i="21"/>
  <c r="W12" i="21"/>
  <c r="AZ494" i="3"/>
  <c r="AC39" i="37"/>
  <c r="W39" i="37"/>
  <c r="G5" i="3"/>
  <c r="B3" i="3" s="1"/>
  <c r="E525" i="3" s="1"/>
  <c r="AZ262" i="3"/>
  <c r="AZ37" i="3"/>
  <c r="AZ153" i="3"/>
  <c r="AZ424" i="3"/>
  <c r="AZ291" i="3"/>
  <c r="AB31" i="39"/>
  <c r="U31" i="39"/>
  <c r="S32" i="40"/>
  <c r="AA32" i="40"/>
  <c r="W34" i="35"/>
  <c r="AC34" i="35"/>
  <c r="S12" i="21"/>
  <c r="AA12" i="21"/>
  <c r="AZ281" i="3"/>
  <c r="AZ386" i="3"/>
  <c r="AZ483" i="3"/>
  <c r="AZ482" i="3"/>
  <c r="AZ505" i="3"/>
  <c r="AZ39" i="3"/>
  <c r="AZ34" i="3"/>
  <c r="AZ107" i="3"/>
  <c r="AZ106" i="3"/>
  <c r="AZ259" i="3"/>
  <c r="AZ449" i="3"/>
  <c r="AZ566" i="3"/>
  <c r="AZ542" i="3"/>
  <c r="AZ493" i="3"/>
  <c r="AC32" i="40"/>
  <c r="W32" i="40"/>
  <c r="AA13" i="34"/>
  <c r="S13" i="34"/>
  <c r="U46" i="21"/>
  <c r="AB46" i="21"/>
  <c r="C19" i="43"/>
  <c r="AZ157" i="3"/>
  <c r="AZ89" i="3"/>
  <c r="AZ24" i="3"/>
  <c r="AZ562" i="3"/>
  <c r="AZ29" i="3"/>
  <c r="AZ230" i="3"/>
  <c r="W13" i="34"/>
  <c r="AC13" i="34"/>
  <c r="AZ533" i="3"/>
  <c r="U12" i="33"/>
  <c r="AB12" i="33"/>
  <c r="T36" i="71"/>
  <c r="D36" i="71"/>
  <c r="S40" i="40"/>
  <c r="AA40" i="40"/>
  <c r="W14" i="21"/>
  <c r="AC14" i="21"/>
  <c r="S14" i="21"/>
  <c r="AA14" i="21"/>
  <c r="W30" i="21"/>
  <c r="AC30" i="21"/>
  <c r="AZ332" i="3"/>
  <c r="AZ495" i="3"/>
  <c r="AZ99" i="3"/>
  <c r="AZ233" i="3"/>
  <c r="AZ454" i="3"/>
  <c r="U25" i="37"/>
  <c r="AB25" i="37"/>
  <c r="U14" i="21"/>
  <c r="AB14" i="21"/>
  <c r="AB9" i="33"/>
  <c r="U9" i="33"/>
  <c r="AA37" i="39"/>
  <c r="S37" i="39"/>
  <c r="AB30" i="21"/>
  <c r="U30" i="21"/>
  <c r="W27" i="33"/>
  <c r="S26" i="33"/>
  <c r="F66" i="15"/>
  <c r="C27" i="15"/>
  <c r="AC32" i="33"/>
  <c r="W32" i="33"/>
  <c r="X6" i="3"/>
  <c r="E583" i="3"/>
  <c r="E223" i="3"/>
  <c r="E587" i="3"/>
  <c r="E319" i="3"/>
  <c r="E153" i="3"/>
  <c r="E143" i="3"/>
  <c r="E533" i="3"/>
  <c r="E561" i="3"/>
  <c r="E128" i="3"/>
  <c r="E545" i="3"/>
  <c r="E350" i="3"/>
  <c r="E543" i="3"/>
  <c r="E486" i="3"/>
  <c r="E422" i="3"/>
  <c r="E445" i="3"/>
  <c r="E509" i="3"/>
  <c r="E431" i="3"/>
  <c r="E148" i="3"/>
  <c r="E586" i="3"/>
  <c r="E165" i="3"/>
  <c r="E236" i="3"/>
  <c r="AN6" i="3"/>
  <c r="E461" i="3"/>
  <c r="E567" i="3"/>
  <c r="E536" i="3"/>
  <c r="E197" i="3"/>
  <c r="E529" i="3"/>
  <c r="E474" i="3"/>
  <c r="E305" i="3"/>
  <c r="E237" i="3"/>
  <c r="E565" i="3"/>
  <c r="O6" i="3"/>
  <c r="E359" i="3"/>
  <c r="E506" i="3"/>
  <c r="E338" i="3"/>
  <c r="E298" i="3"/>
  <c r="E263" i="3"/>
  <c r="AI6" i="3"/>
  <c r="E244" i="3"/>
  <c r="E534" i="3"/>
  <c r="E405" i="3"/>
  <c r="E526" i="3"/>
  <c r="E114" i="3"/>
  <c r="V6" i="3"/>
  <c r="E89" i="3"/>
  <c r="E303" i="3"/>
  <c r="E130" i="3"/>
  <c r="E116" i="3"/>
  <c r="E516" i="3"/>
  <c r="E320" i="3"/>
  <c r="E227" i="3"/>
  <c r="E507" i="3"/>
  <c r="E376" i="3"/>
  <c r="E579" i="3"/>
  <c r="E311" i="3"/>
  <c r="E335" i="3"/>
  <c r="E135" i="3"/>
  <c r="E173" i="3"/>
  <c r="E481" i="3"/>
  <c r="E424" i="3"/>
  <c r="E344" i="3"/>
  <c r="E501" i="3"/>
  <c r="E426" i="3"/>
  <c r="E503" i="3"/>
  <c r="E555" i="3"/>
  <c r="E337" i="3"/>
  <c r="AR6" i="3"/>
  <c r="E538" i="3"/>
  <c r="E157" i="3"/>
  <c r="E99" i="3"/>
  <c r="E382" i="3"/>
  <c r="E352" i="3"/>
  <c r="E161" i="3"/>
  <c r="E427" i="3"/>
  <c r="E440" i="3"/>
  <c r="E125" i="3"/>
  <c r="N6" i="3"/>
  <c r="E535" i="3"/>
  <c r="E247" i="3"/>
  <c r="AB6" i="3"/>
  <c r="E189" i="3"/>
  <c r="E122" i="3"/>
  <c r="E495" i="3"/>
  <c r="E393" i="3"/>
  <c r="T6" i="3"/>
  <c r="E512" i="3"/>
  <c r="E451" i="3"/>
  <c r="E217" i="3"/>
  <c r="E268" i="3"/>
  <c r="E239" i="3"/>
  <c r="E229" i="3"/>
  <c r="E407" i="3"/>
  <c r="E159" i="3"/>
  <c r="E353" i="3"/>
  <c r="E140" i="3"/>
  <c r="E369" i="3"/>
  <c r="E573" i="3"/>
  <c r="E458" i="3"/>
  <c r="E527" i="3"/>
  <c r="E457" i="3"/>
  <c r="E562" i="3"/>
  <c r="E175" i="3"/>
  <c r="E343" i="3"/>
  <c r="E508" i="3"/>
  <c r="E304" i="3"/>
  <c r="E213" i="3"/>
  <c r="E302" i="3"/>
  <c r="E574" i="3"/>
  <c r="E285" i="3"/>
  <c r="E390" i="3"/>
  <c r="E523" i="3"/>
  <c r="E418" i="3"/>
  <c r="E321" i="3"/>
  <c r="E169" i="3"/>
  <c r="E181" i="3"/>
  <c r="E191" i="3"/>
  <c r="E423" i="3"/>
  <c r="E385" i="3"/>
  <c r="E510" i="3"/>
  <c r="E396" i="3"/>
  <c r="E51" i="40"/>
  <c r="E56" i="39"/>
  <c r="H55" i="43"/>
  <c r="W39" i="33"/>
  <c r="N61" i="71"/>
  <c r="N62" i="71"/>
  <c r="C27" i="71"/>
  <c r="D26" i="71"/>
  <c r="AB31" i="21"/>
  <c r="U31" i="21"/>
  <c r="AB12" i="34"/>
  <c r="U12" i="34"/>
  <c r="E15" i="6"/>
  <c r="U39" i="39"/>
  <c r="AB39" i="39"/>
  <c r="AC26" i="33"/>
  <c r="W26" i="33"/>
  <c r="H48" i="43"/>
  <c r="U21" i="39"/>
  <c r="AC25" i="33"/>
  <c r="C23" i="71"/>
  <c r="D24" i="71"/>
  <c r="U24" i="71" s="1"/>
  <c r="T24" i="71"/>
  <c r="D62" i="71"/>
  <c r="O61" i="71"/>
  <c r="O62" i="71"/>
  <c r="E62" i="71"/>
  <c r="P63" i="71"/>
  <c r="T48" i="71"/>
  <c r="D48" i="71"/>
  <c r="AZ50" i="3"/>
  <c r="AZ252" i="3"/>
  <c r="AZ134" i="3"/>
  <c r="AZ208" i="3"/>
  <c r="AC36" i="39"/>
  <c r="W36" i="39"/>
  <c r="AB38" i="37"/>
  <c r="U38" i="37"/>
  <c r="AZ519" i="3"/>
  <c r="S12" i="34"/>
  <c r="AA12" i="34"/>
  <c r="S13" i="36"/>
  <c r="AA13" i="36"/>
  <c r="W45" i="34"/>
  <c r="AC45" i="34"/>
  <c r="U27" i="21"/>
  <c r="AB27" i="21"/>
  <c r="H53" i="43"/>
  <c r="U19" i="39"/>
  <c r="S25" i="33"/>
  <c r="AZ71" i="3"/>
  <c r="AZ282" i="3"/>
  <c r="AZ397" i="3"/>
  <c r="AA40" i="39"/>
  <c r="S40" i="39"/>
  <c r="AB14" i="39"/>
  <c r="U14" i="39"/>
  <c r="AB43" i="39"/>
  <c r="U43" i="39"/>
  <c r="S36" i="39"/>
  <c r="AA36" i="39"/>
  <c r="AC27" i="37"/>
  <c r="W27" i="37"/>
  <c r="U12" i="36"/>
  <c r="AB12" i="36"/>
  <c r="S38" i="37"/>
  <c r="AA38" i="37"/>
  <c r="D70" i="39"/>
  <c r="E68" i="39"/>
  <c r="S38" i="40"/>
  <c r="AA38" i="40"/>
  <c r="J6" i="15"/>
  <c r="J18" i="15" s="1"/>
  <c r="AZ268" i="3"/>
  <c r="BL5" i="3"/>
  <c r="H52" i="43"/>
  <c r="H49" i="43"/>
  <c r="W36" i="33"/>
  <c r="C19" i="71"/>
  <c r="D20" i="71"/>
  <c r="U20" i="71" s="1"/>
  <c r="T20" i="71"/>
  <c r="AZ162" i="3"/>
  <c r="AZ161" i="3"/>
  <c r="AZ145" i="3"/>
  <c r="AZ244" i="3"/>
  <c r="AC40" i="39"/>
  <c r="W40" i="39"/>
  <c r="AA14" i="39"/>
  <c r="S14" i="39"/>
  <c r="AC43" i="39"/>
  <c r="W43" i="39"/>
  <c r="AA45" i="21"/>
  <c r="S45" i="21"/>
  <c r="U27" i="37"/>
  <c r="AB27" i="37"/>
  <c r="W12" i="36"/>
  <c r="AC12" i="36"/>
  <c r="AC12" i="39"/>
  <c r="W12" i="39"/>
  <c r="AC38" i="37"/>
  <c r="W38" i="37"/>
  <c r="B15" i="71"/>
  <c r="B14" i="71" s="1"/>
  <c r="B13" i="71" s="1"/>
  <c r="B12" i="71" s="1"/>
  <c r="S16" i="71"/>
  <c r="T56" i="71"/>
  <c r="D56" i="71"/>
  <c r="E20" i="6"/>
  <c r="K7" i="1" s="1"/>
  <c r="E14" i="6"/>
  <c r="E11" i="6"/>
  <c r="D31" i="71"/>
  <c r="C32" i="71"/>
  <c r="H50" i="43"/>
  <c r="E12" i="6"/>
  <c r="E57" i="40" s="1"/>
  <c r="H54" i="43"/>
  <c r="H32" i="33"/>
  <c r="E19" i="71"/>
  <c r="E18" i="71" s="1"/>
  <c r="E17" i="71" s="1"/>
  <c r="E16" i="71" s="1"/>
  <c r="V20" i="71"/>
  <c r="C52" i="71"/>
  <c r="D51" i="71"/>
  <c r="AZ35" i="3"/>
  <c r="AZ81" i="3"/>
  <c r="AZ270" i="3"/>
  <c r="AZ215" i="3"/>
  <c r="AZ240" i="3"/>
  <c r="AZ353" i="3"/>
  <c r="U29" i="33"/>
  <c r="AB29" i="33"/>
  <c r="U46" i="34"/>
  <c r="AB46" i="34"/>
  <c r="AA27" i="37"/>
  <c r="S27" i="37"/>
  <c r="S27" i="21"/>
  <c r="AA27" i="21"/>
  <c r="S12" i="39"/>
  <c r="AA12" i="39"/>
  <c r="E10" i="6"/>
  <c r="AB38" i="40"/>
  <c r="U38" i="40"/>
  <c r="U23" i="35"/>
  <c r="AB23" i="35"/>
  <c r="BA5" i="3"/>
  <c r="T40" i="71"/>
  <c r="D40" i="71"/>
  <c r="E23" i="71"/>
  <c r="E22" i="71" s="1"/>
  <c r="V24" i="71"/>
  <c r="AZ28" i="3"/>
  <c r="AZ154" i="3"/>
  <c r="AZ297" i="3"/>
  <c r="AZ468" i="3"/>
  <c r="AC29" i="33"/>
  <c r="W29" i="33"/>
  <c r="S12" i="35"/>
  <c r="AA12" i="35"/>
  <c r="AA46" i="34"/>
  <c r="S46" i="34"/>
  <c r="U45" i="34"/>
  <c r="AB45" i="34"/>
  <c r="W27" i="21"/>
  <c r="AC27" i="21"/>
  <c r="AA23" i="35"/>
  <c r="S23" i="35"/>
  <c r="AC38" i="40"/>
  <c r="W38" i="40"/>
  <c r="L57" i="88"/>
  <c r="J57" i="88"/>
  <c r="J55" i="88" s="1"/>
  <c r="J58" i="88" s="1"/>
  <c r="Q50" i="88" s="1"/>
  <c r="J60" i="88"/>
  <c r="Q48" i="88" s="1"/>
  <c r="J59" i="88"/>
  <c r="L56" i="88"/>
  <c r="J53" i="88"/>
  <c r="L60" i="88"/>
  <c r="I54" i="88"/>
  <c r="F68" i="88"/>
  <c r="F51" i="88"/>
  <c r="F64" i="88"/>
  <c r="C27" i="88"/>
  <c r="Q71" i="88"/>
  <c r="L59" i="88"/>
  <c r="M59" i="88"/>
  <c r="N59" i="88"/>
  <c r="L58" i="88"/>
  <c r="F66" i="88"/>
  <c r="F65" i="88"/>
  <c r="W15" i="33"/>
  <c r="U17" i="33"/>
  <c r="AB41" i="33"/>
  <c r="U41" i="33"/>
  <c r="U36" i="33"/>
  <c r="AB36" i="33"/>
  <c r="AA36" i="33"/>
  <c r="S36" i="33"/>
  <c r="G101" i="33"/>
  <c r="H101" i="33" s="1"/>
  <c r="I101" i="33" s="1"/>
  <c r="J101" i="33" s="1"/>
  <c r="K101" i="33" s="1"/>
  <c r="L101" i="33" s="1"/>
  <c r="M101" i="33" s="1"/>
  <c r="F32" i="33"/>
  <c r="AB27" i="33"/>
  <c r="U25" i="33"/>
  <c r="AB25" i="33"/>
  <c r="U23" i="33"/>
  <c r="W23" i="33"/>
  <c r="AC23" i="33"/>
  <c r="S19" i="33"/>
  <c r="AA19" i="33"/>
  <c r="AC19" i="33"/>
  <c r="W19" i="33"/>
  <c r="U19" i="33"/>
  <c r="AB19" i="33"/>
  <c r="AA17" i="33"/>
  <c r="W17" i="33"/>
  <c r="AC17" i="33"/>
  <c r="AB15" i="33"/>
  <c r="U15" i="33"/>
  <c r="AA15" i="33"/>
  <c r="S15" i="33"/>
  <c r="F11" i="88"/>
  <c r="M11" i="88"/>
  <c r="M8" i="1"/>
  <c r="F50" i="82"/>
  <c r="M7" i="82"/>
  <c r="F65" i="83"/>
  <c r="F51" i="83"/>
  <c r="F64" i="83"/>
  <c r="F71" i="83"/>
  <c r="C6" i="85"/>
  <c r="C32" i="85" s="1"/>
  <c r="Q71" i="85"/>
  <c r="F68" i="85"/>
  <c r="F51" i="85"/>
  <c r="F64" i="85"/>
  <c r="C27" i="85"/>
  <c r="F66" i="85"/>
  <c r="F65" i="85"/>
  <c r="J59" i="85"/>
  <c r="L60" i="85"/>
  <c r="Q57" i="85" s="1"/>
  <c r="L56" i="85"/>
  <c r="J60" i="85"/>
  <c r="Q48" i="85" s="1"/>
  <c r="L57" i="85"/>
  <c r="J53" i="85"/>
  <c r="Q52" i="85" s="1"/>
  <c r="I54" i="85"/>
  <c r="J57" i="85"/>
  <c r="J55" i="85" s="1"/>
  <c r="J58" i="85" s="1"/>
  <c r="Q50" i="85" s="1"/>
  <c r="L58" i="85"/>
  <c r="Q60" i="85" s="1"/>
  <c r="M59" i="85"/>
  <c r="N59" i="85"/>
  <c r="L59" i="85"/>
  <c r="Q74" i="85" s="1"/>
  <c r="F50" i="85"/>
  <c r="M7" i="85"/>
  <c r="J6" i="85" s="1"/>
  <c r="J19" i="85" s="1"/>
  <c r="F71" i="85"/>
  <c r="F69" i="85"/>
  <c r="C6" i="84"/>
  <c r="C33" i="84" s="1"/>
  <c r="Q71" i="84"/>
  <c r="F65" i="84"/>
  <c r="C27" i="84"/>
  <c r="F68" i="84"/>
  <c r="F51" i="84"/>
  <c r="F66" i="84"/>
  <c r="F64" i="84"/>
  <c r="J53" i="84"/>
  <c r="F1" i="84" s="1"/>
  <c r="L56" i="84"/>
  <c r="I54" i="84"/>
  <c r="L60" i="84"/>
  <c r="Q66" i="84" s="1"/>
  <c r="L57" i="84"/>
  <c r="J60" i="84"/>
  <c r="Q48" i="84" s="1"/>
  <c r="J57" i="84"/>
  <c r="J55" i="84" s="1"/>
  <c r="J58" i="84" s="1"/>
  <c r="Q50" i="84" s="1"/>
  <c r="J59" i="84"/>
  <c r="L46" i="84"/>
  <c r="L59" i="84"/>
  <c r="Q74" i="84" s="1"/>
  <c r="N59" i="84"/>
  <c r="L58" i="84"/>
  <c r="Q73" i="84" s="1"/>
  <c r="M59" i="84"/>
  <c r="F71" i="84"/>
  <c r="M7" i="84"/>
  <c r="J6" i="84" s="1"/>
  <c r="J18" i="84" s="1"/>
  <c r="F50" i="84"/>
  <c r="L46" i="85"/>
  <c r="F11" i="85"/>
  <c r="M11" i="85"/>
  <c r="F11" i="84"/>
  <c r="M11" i="84"/>
  <c r="F11" i="83"/>
  <c r="M11" i="83"/>
  <c r="F11" i="82"/>
  <c r="M11" i="82"/>
  <c r="D5" i="43"/>
  <c r="G30" i="6"/>
  <c r="G31" i="6" s="1"/>
  <c r="E29" i="6"/>
  <c r="K15" i="1" s="1"/>
  <c r="E185" i="3"/>
  <c r="E453" i="3"/>
  <c r="E568" i="3"/>
  <c r="E336" i="3"/>
  <c r="E28" i="6"/>
  <c r="F30" i="6"/>
  <c r="D1" i="66"/>
  <c r="E10" i="66" s="1"/>
  <c r="C29" i="66"/>
  <c r="C27" i="66" s="1"/>
  <c r="L59" i="80"/>
  <c r="N59" i="80"/>
  <c r="L58" i="80"/>
  <c r="M59" i="80"/>
  <c r="F65" i="80"/>
  <c r="C27" i="80"/>
  <c r="L56" i="80"/>
  <c r="J59" i="80"/>
  <c r="J57" i="80"/>
  <c r="J55" i="80" s="1"/>
  <c r="J58" i="80" s="1"/>
  <c r="Q50" i="80" s="1"/>
  <c r="I54" i="80"/>
  <c r="L57" i="80"/>
  <c r="J53" i="80"/>
  <c r="L60" i="80"/>
  <c r="J60" i="80"/>
  <c r="Q48" i="80" s="1"/>
  <c r="F51" i="80"/>
  <c r="F66" i="80"/>
  <c r="Q71" i="80"/>
  <c r="Q71" i="81"/>
  <c r="C27" i="81"/>
  <c r="F65" i="81"/>
  <c r="F68" i="81"/>
  <c r="L56" i="81"/>
  <c r="J57" i="81"/>
  <c r="J55" i="81" s="1"/>
  <c r="J58" i="81" s="1"/>
  <c r="Q50" i="81" s="1"/>
  <c r="I54" i="81"/>
  <c r="J59" i="81"/>
  <c r="L57" i="81"/>
  <c r="J53" i="81"/>
  <c r="J60" i="81"/>
  <c r="Q48" i="81" s="1"/>
  <c r="L60" i="81"/>
  <c r="L46" i="81"/>
  <c r="F66" i="81"/>
  <c r="F51" i="81"/>
  <c r="C6" i="81"/>
  <c r="C33" i="81" s="1"/>
  <c r="F64" i="81"/>
  <c r="N59" i="81"/>
  <c r="L58" i="81"/>
  <c r="L59" i="81"/>
  <c r="M59" i="81"/>
  <c r="F50" i="81"/>
  <c r="M7" i="81"/>
  <c r="J6" i="81" s="1"/>
  <c r="J18" i="81" s="1"/>
  <c r="F71" i="81"/>
  <c r="AC21" i="39"/>
  <c r="W21" i="39"/>
  <c r="AA19" i="39"/>
  <c r="S19" i="39"/>
  <c r="W17" i="39"/>
  <c r="AC17" i="39"/>
  <c r="AB17" i="39"/>
  <c r="U17" i="39"/>
  <c r="AA17" i="39"/>
  <c r="S17" i="39"/>
  <c r="G81" i="39"/>
  <c r="F60" i="81"/>
  <c r="C30" i="11"/>
  <c r="C48" i="11"/>
  <c r="F48" i="69"/>
  <c r="C48" i="69"/>
  <c r="C30" i="69"/>
  <c r="F60" i="80"/>
  <c r="F11" i="81"/>
  <c r="M11" i="81"/>
  <c r="F11" i="80"/>
  <c r="M11" i="80"/>
  <c r="K6" i="3"/>
  <c r="E519" i="3"/>
  <c r="E330" i="3"/>
  <c r="E313" i="3"/>
  <c r="E133" i="3"/>
  <c r="E193" i="3"/>
  <c r="E177" i="3"/>
  <c r="E224" i="3"/>
  <c r="E277" i="3"/>
  <c r="E45" i="3"/>
  <c r="E120" i="3"/>
  <c r="E117" i="3"/>
  <c r="E290" i="3"/>
  <c r="E61" i="3"/>
  <c r="E196" i="3"/>
  <c r="E368" i="3"/>
  <c r="E549" i="3"/>
  <c r="I6" i="3"/>
  <c r="E397" i="3"/>
  <c r="E246" i="3"/>
  <c r="AA6" i="3"/>
  <c r="E280" i="3"/>
  <c r="E511" i="3"/>
  <c r="AK6" i="3"/>
  <c r="E306" i="3"/>
  <c r="E262" i="3"/>
  <c r="E134" i="3"/>
  <c r="E9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347" i="3"/>
  <c r="E399" i="3"/>
  <c r="E124" i="3"/>
  <c r="E314" i="3"/>
  <c r="E16" i="3"/>
  <c r="E434" i="3"/>
  <c r="E296" i="3"/>
  <c r="E136" i="3"/>
  <c r="E254" i="3"/>
  <c r="E22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46" i="3"/>
  <c r="E168" i="3"/>
  <c r="E203"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178" i="3"/>
  <c r="E198"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87" i="3"/>
  <c r="E127" i="3"/>
  <c r="E232" i="3"/>
  <c r="E289" i="3"/>
  <c r="E251" i="3"/>
  <c r="E340" i="3"/>
  <c r="E370" i="3"/>
  <c r="E364" i="3"/>
  <c r="AF6" i="3"/>
  <c r="E50" i="3"/>
  <c r="E102" i="3"/>
  <c r="E20" i="3"/>
  <c r="E80" i="3"/>
  <c r="E62" i="3"/>
  <c r="E113" i="3"/>
  <c r="E176" i="3"/>
  <c r="E158" i="3"/>
  <c r="E218" i="3"/>
  <c r="E287" i="3"/>
  <c r="E265" i="3"/>
  <c r="E308" i="3"/>
  <c r="E365" i="3"/>
  <c r="E326" i="3"/>
  <c r="E524" i="3"/>
  <c r="E22" i="3"/>
  <c r="E101" i="3"/>
  <c r="E83" i="3"/>
  <c r="E144"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P8" i="1"/>
  <c r="P16" i="1" s="1"/>
  <c r="C11" i="12" s="1"/>
  <c r="F7" i="36"/>
  <c r="AA7" i="36" s="1"/>
  <c r="R36" i="36" s="1"/>
  <c r="J7" i="37"/>
  <c r="W7" i="37" s="1"/>
  <c r="H7" i="36"/>
  <c r="U7" i="36" s="1"/>
  <c r="H7" i="34"/>
  <c r="AB7" i="34" s="1"/>
  <c r="T49" i="34" s="1"/>
  <c r="G49" i="34" s="1"/>
  <c r="F7" i="34"/>
  <c r="AA7" i="34" s="1"/>
  <c r="R49" i="34" s="1"/>
  <c r="F59" i="67"/>
  <c r="H7" i="37"/>
  <c r="AB7" i="37" s="1"/>
  <c r="T42" i="37" s="1"/>
  <c r="G42" i="37" s="1"/>
  <c r="H7" i="33"/>
  <c r="J7" i="33"/>
  <c r="D65" i="40"/>
  <c r="E63" i="40"/>
  <c r="F48" i="35"/>
  <c r="S7" i="36"/>
  <c r="AC7" i="37"/>
  <c r="V42" i="37" s="1"/>
  <c r="I42" i="37" s="1"/>
  <c r="AB7" i="36"/>
  <c r="T36" i="36" s="1"/>
  <c r="G36" i="36" s="1"/>
  <c r="F7" i="33"/>
  <c r="E58" i="21"/>
  <c r="AC7" i="36"/>
  <c r="V36" i="36" s="1"/>
  <c r="I36" i="36" s="1"/>
  <c r="W7" i="36"/>
  <c r="F7" i="37"/>
  <c r="W7" i="34"/>
  <c r="AC7" i="34"/>
  <c r="V49" i="34" s="1"/>
  <c r="I49" i="34" s="1"/>
  <c r="M17" i="67"/>
  <c r="M17" i="15"/>
  <c r="F59" i="15"/>
  <c r="P24" i="43"/>
  <c r="B66" i="40" s="1"/>
  <c r="P21" i="43"/>
  <c r="P25" i="43"/>
  <c r="P23" i="43"/>
  <c r="C49" i="15"/>
  <c r="Q60" i="67"/>
  <c r="Q73" i="67"/>
  <c r="M28" i="43"/>
  <c r="G20" i="43" s="1"/>
  <c r="N28" i="43"/>
  <c r="O28" i="43"/>
  <c r="P28" i="43"/>
  <c r="M11" i="67"/>
  <c r="J10" i="67" s="1"/>
  <c r="F11" i="15"/>
  <c r="M11" i="15"/>
  <c r="F11" i="67"/>
  <c r="F1" i="15"/>
  <c r="Q52" i="15"/>
  <c r="F1" i="67"/>
  <c r="Q52" i="67"/>
  <c r="Q60" i="15"/>
  <c r="Q73" i="15"/>
  <c r="Q61" i="67"/>
  <c r="Q74" i="67"/>
  <c r="Q74" i="15"/>
  <c r="Q61" i="15"/>
  <c r="M8" i="83"/>
  <c r="F13" i="80"/>
  <c r="F36" i="80"/>
  <c r="F9" i="82"/>
  <c r="C76" i="82"/>
  <c r="F8" i="82"/>
  <c r="L48" i="82"/>
  <c r="F37" i="82"/>
  <c r="G1" i="73"/>
  <c r="M28" i="83"/>
  <c r="F42" i="82"/>
  <c r="M24" i="83"/>
  <c r="F36" i="82"/>
  <c r="J15" i="82"/>
  <c r="M29" i="82"/>
  <c r="F7" i="67"/>
  <c r="M8" i="80"/>
  <c r="M29" i="88"/>
  <c r="F7" i="88"/>
  <c r="F43" i="88"/>
  <c r="M6" i="82"/>
  <c r="F9" i="83"/>
  <c r="M29" i="67"/>
  <c r="M9" i="82"/>
  <c r="M8" i="82"/>
  <c r="M24" i="82"/>
  <c r="F16" i="82"/>
  <c r="F43" i="82"/>
  <c r="F6" i="82"/>
  <c r="M22" i="82"/>
  <c r="F41" i="82"/>
  <c r="M27" i="82"/>
  <c r="J15" i="80"/>
  <c r="F38" i="83"/>
  <c r="M28" i="82"/>
  <c r="F38" i="82"/>
  <c r="C16" i="81"/>
  <c r="M23" i="82"/>
  <c r="F40" i="80"/>
  <c r="C76" i="83"/>
  <c r="F26" i="83"/>
  <c r="F40" i="82"/>
  <c r="C16" i="84"/>
  <c r="M29" i="15"/>
  <c r="L47" i="82"/>
  <c r="L47" i="83"/>
  <c r="C16" i="85"/>
  <c r="J15" i="83"/>
  <c r="F7" i="83"/>
  <c r="F40" i="83"/>
  <c r="C16" i="83"/>
  <c r="M26" i="83"/>
  <c r="F26" i="82"/>
  <c r="M22" i="80"/>
  <c r="M26" i="82"/>
  <c r="F43" i="15"/>
  <c r="M29" i="83"/>
  <c r="L48" i="83"/>
  <c r="F43" i="67"/>
  <c r="F71" i="88" l="1"/>
  <c r="M7" i="88"/>
  <c r="J6" i="88" s="1"/>
  <c r="F50" i="88"/>
  <c r="C6" i="88"/>
  <c r="C32" i="88" s="1"/>
  <c r="S7" i="34"/>
  <c r="E216" i="3"/>
  <c r="E183" i="3"/>
  <c r="E437" i="3"/>
  <c r="E172" i="3"/>
  <c r="E322" i="3"/>
  <c r="E151" i="3"/>
  <c r="E329" i="3"/>
  <c r="S6" i="3"/>
  <c r="H6" i="3" s="1"/>
  <c r="E6" i="3" s="1"/>
  <c r="E530" i="3"/>
  <c r="E402" i="3"/>
  <c r="E230" i="3"/>
  <c r="E215" i="3"/>
  <c r="E563" i="3"/>
  <c r="E493" i="3"/>
  <c r="E578" i="3"/>
  <c r="E410" i="3"/>
  <c r="E465" i="3"/>
  <c r="E301" i="3"/>
  <c r="B71" i="39"/>
  <c r="U7" i="34"/>
  <c r="E358" i="3"/>
  <c r="E456" i="3"/>
  <c r="E570" i="3"/>
  <c r="E564" i="3"/>
  <c r="E380" i="3"/>
  <c r="E261" i="3"/>
  <c r="Q6" i="3"/>
  <c r="E553" i="3"/>
  <c r="E469" i="3"/>
  <c r="E395" i="3"/>
  <c r="E205" i="3"/>
  <c r="E97" i="3"/>
  <c r="E438" i="3"/>
  <c r="E294" i="3"/>
  <c r="E559" i="3"/>
  <c r="E387" i="3"/>
  <c r="E69" i="3"/>
  <c r="E238" i="3"/>
  <c r="E245" i="3"/>
  <c r="E388" i="3"/>
  <c r="E406" i="3"/>
  <c r="E288" i="3"/>
  <c r="E551" i="3"/>
  <c r="E550" i="3"/>
  <c r="M6" i="3"/>
  <c r="E282" i="3"/>
  <c r="E293" i="3"/>
  <c r="E228" i="3"/>
  <c r="E361" i="3"/>
  <c r="E472" i="3"/>
  <c r="AZ5" i="3"/>
  <c r="AY6" i="3" s="1"/>
  <c r="M7" i="1"/>
  <c r="E569" i="3"/>
  <c r="E360" i="3"/>
  <c r="E514" i="3"/>
  <c r="E366" i="3"/>
  <c r="E269" i="3"/>
  <c r="E231" i="3"/>
  <c r="E528" i="3"/>
  <c r="E560" i="3"/>
  <c r="E62" i="39"/>
  <c r="AC6" i="3"/>
  <c r="AJ6" i="3"/>
  <c r="E85" i="3"/>
  <c r="E278" i="3"/>
  <c r="E518" i="3"/>
  <c r="E270" i="3"/>
  <c r="E53" i="3"/>
  <c r="E156" i="3"/>
  <c r="E105" i="3"/>
  <c r="E260" i="3"/>
  <c r="E408" i="3"/>
  <c r="E188" i="3"/>
  <c r="E17" i="3"/>
  <c r="E532" i="3"/>
  <c r="E556" i="3"/>
  <c r="E539" i="3"/>
  <c r="E201" i="3"/>
  <c r="E490" i="3"/>
  <c r="E415" i="3"/>
  <c r="E439" i="3"/>
  <c r="E328" i="3"/>
  <c r="B40" i="1"/>
  <c r="F24" i="88" s="1"/>
  <c r="C24" i="88" s="1"/>
  <c r="L46" i="88"/>
  <c r="J10" i="15"/>
  <c r="J5" i="15" s="1"/>
  <c r="J26" i="15" s="1"/>
  <c r="J10" i="85"/>
  <c r="J5" i="85" s="1"/>
  <c r="J24" i="85" s="1"/>
  <c r="J18" i="85"/>
  <c r="C49" i="84"/>
  <c r="C27" i="83"/>
  <c r="F68" i="80"/>
  <c r="F65" i="82"/>
  <c r="N59" i="83"/>
  <c r="L59" i="83"/>
  <c r="M59" i="83"/>
  <c r="L58" i="83"/>
  <c r="F51" i="82"/>
  <c r="C49" i="82" s="1"/>
  <c r="I54" i="83"/>
  <c r="L46" i="83"/>
  <c r="J57" i="83"/>
  <c r="J55" i="83" s="1"/>
  <c r="J58" i="83" s="1"/>
  <c r="Q50" i="83" s="1"/>
  <c r="L60" i="83"/>
  <c r="Q57" i="83" s="1"/>
  <c r="J60" i="83"/>
  <c r="Q48" i="83" s="1"/>
  <c r="J53" i="83"/>
  <c r="F1" i="83" s="1"/>
  <c r="J59" i="83"/>
  <c r="L56" i="83"/>
  <c r="L57" i="83"/>
  <c r="F64" i="80"/>
  <c r="C27" i="82"/>
  <c r="F66" i="83"/>
  <c r="F66" i="82"/>
  <c r="C6" i="82"/>
  <c r="C10" i="82" s="1"/>
  <c r="C5" i="82" s="1"/>
  <c r="Q71" i="83"/>
  <c r="F64" i="82"/>
  <c r="F68" i="82"/>
  <c r="M59" i="82"/>
  <c r="N59" i="82"/>
  <c r="L58" i="82"/>
  <c r="Q73" i="82" s="1"/>
  <c r="L59" i="82"/>
  <c r="Q61" i="82" s="1"/>
  <c r="J57" i="82"/>
  <c r="J55" i="82" s="1"/>
  <c r="J58" i="82" s="1"/>
  <c r="Q50" i="82" s="1"/>
  <c r="L60" i="82"/>
  <c r="Q66" i="82" s="1"/>
  <c r="J60" i="82"/>
  <c r="Q48" i="82" s="1"/>
  <c r="L56" i="82"/>
  <c r="I54" i="82"/>
  <c r="J59" i="82"/>
  <c r="J53" i="82"/>
  <c r="F1" i="82" s="1"/>
  <c r="L46" i="82"/>
  <c r="L57" i="82"/>
  <c r="Q71" i="82"/>
  <c r="F68" i="83"/>
  <c r="F50" i="83"/>
  <c r="C49" i="83" s="1"/>
  <c r="C6" i="83"/>
  <c r="C33" i="83" s="1"/>
  <c r="M7" i="83"/>
  <c r="J6" i="83" s="1"/>
  <c r="J10" i="83" s="1"/>
  <c r="J5" i="83" s="1"/>
  <c r="J24" i="83" s="1"/>
  <c r="E3" i="6"/>
  <c r="L18" i="9" s="1"/>
  <c r="C38" i="43"/>
  <c r="E15" i="71"/>
  <c r="E14" i="71" s="1"/>
  <c r="E13" i="71" s="1"/>
  <c r="E12" i="71" s="1"/>
  <c r="V16" i="71"/>
  <c r="E41" i="43"/>
  <c r="C41" i="43" s="1"/>
  <c r="C39" i="43" s="1"/>
  <c r="C20" i="43"/>
  <c r="E60" i="40"/>
  <c r="E65" i="39"/>
  <c r="P62" i="71"/>
  <c r="P61" i="71"/>
  <c r="E64" i="39"/>
  <c r="E59" i="40"/>
  <c r="E16" i="6"/>
  <c r="AB32" i="33"/>
  <c r="U32" i="33"/>
  <c r="Q66" i="85"/>
  <c r="C18" i="71"/>
  <c r="D19" i="71"/>
  <c r="T32" i="71"/>
  <c r="D32" i="71"/>
  <c r="B11" i="71"/>
  <c r="B10" i="71" s="1"/>
  <c r="B9" i="71" s="1"/>
  <c r="B8" i="71" s="1"/>
  <c r="S12" i="71"/>
  <c r="T52" i="71"/>
  <c r="D52" i="71"/>
  <c r="D27" i="71"/>
  <c r="C28" i="71"/>
  <c r="J6" i="82"/>
  <c r="J19" i="82" s="1"/>
  <c r="E61" i="39"/>
  <c r="E56" i="40"/>
  <c r="F68" i="39"/>
  <c r="E70" i="39"/>
  <c r="C22" i="71"/>
  <c r="D22" i="71" s="1"/>
  <c r="D23" i="71"/>
  <c r="F50" i="67"/>
  <c r="C49" i="67" s="1"/>
  <c r="M7" i="67"/>
  <c r="C6" i="67"/>
  <c r="C32" i="67" s="1"/>
  <c r="J19" i="88"/>
  <c r="J18" i="88"/>
  <c r="J10" i="88"/>
  <c r="J5" i="88" s="1"/>
  <c r="J26" i="88" s="1"/>
  <c r="C33" i="88"/>
  <c r="Q60" i="88"/>
  <c r="Q73" i="88"/>
  <c r="C49" i="88"/>
  <c r="F1" i="88"/>
  <c r="Q52" i="88"/>
  <c r="Q61" i="88"/>
  <c r="Q74" i="88"/>
  <c r="Q66" i="88"/>
  <c r="Q57" i="88"/>
  <c r="AA32" i="33"/>
  <c r="S32" i="33"/>
  <c r="Q52" i="84"/>
  <c r="Q57" i="84"/>
  <c r="C53" i="88"/>
  <c r="C10" i="88"/>
  <c r="C5" i="88" s="1"/>
  <c r="C32" i="84"/>
  <c r="C33" i="85"/>
  <c r="J19" i="84"/>
  <c r="Q73" i="85"/>
  <c r="Q60" i="84"/>
  <c r="Q61" i="84"/>
  <c r="Q61" i="85"/>
  <c r="F1" i="85"/>
  <c r="J10" i="84"/>
  <c r="J5" i="84" s="1"/>
  <c r="J26" i="84" s="1"/>
  <c r="F71" i="67"/>
  <c r="C49" i="85"/>
  <c r="S10" i="1"/>
  <c r="C53" i="85"/>
  <c r="C10" i="85"/>
  <c r="C5" i="85" s="1"/>
  <c r="C53" i="84"/>
  <c r="C10" i="84"/>
  <c r="C5" i="84" s="1"/>
  <c r="C53" i="83"/>
  <c r="F71" i="82"/>
  <c r="F69" i="82"/>
  <c r="C53" i="82"/>
  <c r="D14" i="12"/>
  <c r="C14" i="12" s="1"/>
  <c r="F71" i="15"/>
  <c r="E30" i="6"/>
  <c r="K14" i="1"/>
  <c r="M14" i="1" s="1"/>
  <c r="O14" i="1" s="1"/>
  <c r="L46" i="80"/>
  <c r="C31" i="66"/>
  <c r="C30" i="66"/>
  <c r="C32" i="66"/>
  <c r="C32" i="81"/>
  <c r="Q73" i="81"/>
  <c r="Q60" i="81"/>
  <c r="Q57" i="80"/>
  <c r="Q66" i="80"/>
  <c r="Q73" i="80"/>
  <c r="Q60" i="80"/>
  <c r="Q74" i="80"/>
  <c r="Q61" i="80"/>
  <c r="J10" i="81"/>
  <c r="J5" i="81" s="1"/>
  <c r="J26" i="81" s="1"/>
  <c r="C49" i="81"/>
  <c r="Q74" i="81"/>
  <c r="Q61" i="81"/>
  <c r="Q57" i="81"/>
  <c r="Q66" i="81"/>
  <c r="Q52" i="81"/>
  <c r="F1" i="81"/>
  <c r="Q52" i="80"/>
  <c r="F1" i="80"/>
  <c r="H81" i="39"/>
  <c r="I81" i="39" s="1"/>
  <c r="J81" i="39" s="1"/>
  <c r="K81" i="39" s="1"/>
  <c r="L81" i="39" s="1"/>
  <c r="M81" i="39" s="1"/>
  <c r="C53" i="81"/>
  <c r="C10" i="81"/>
  <c r="C5" i="81" s="1"/>
  <c r="S8" i="1"/>
  <c r="D3" i="33"/>
  <c r="D3" i="37"/>
  <c r="C17" i="4"/>
  <c r="B4" i="52" s="1"/>
  <c r="B43" i="72" s="1"/>
  <c r="C15" i="12"/>
  <c r="C12" i="12"/>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C53" i="67"/>
  <c r="C10" i="67"/>
  <c r="C53" i="15"/>
  <c r="C48" i="15" s="1"/>
  <c r="C10" i="15"/>
  <c r="AE8" i="1"/>
  <c r="C16" i="88"/>
  <c r="C17" i="83"/>
  <c r="C17" i="81"/>
  <c r="F41" i="15"/>
  <c r="AE7" i="1"/>
  <c r="F41" i="88" s="1"/>
  <c r="F41" i="67"/>
  <c r="C17" i="15"/>
  <c r="C16" i="67"/>
  <c r="C17" i="82"/>
  <c r="F41" i="84"/>
  <c r="C16" i="15"/>
  <c r="C16" i="82"/>
  <c r="AE6" i="1"/>
  <c r="F41" i="83"/>
  <c r="F41" i="81"/>
  <c r="F24" i="15" l="1"/>
  <c r="C24" i="15" s="1"/>
  <c r="F22" i="11"/>
  <c r="C44" i="11" s="1"/>
  <c r="D41" i="11" s="1"/>
  <c r="F24" i="67"/>
  <c r="C24" i="67" s="1"/>
  <c r="F24" i="81"/>
  <c r="F24" i="85"/>
  <c r="F24" i="84"/>
  <c r="C24" i="84" s="1"/>
  <c r="F24" i="80"/>
  <c r="C24" i="80" s="1"/>
  <c r="F24" i="83"/>
  <c r="C24" i="83" s="1"/>
  <c r="F25" i="12"/>
  <c r="C26" i="12" s="1"/>
  <c r="D25" i="12" s="1"/>
  <c r="F24" i="82"/>
  <c r="C24" i="82" s="1"/>
  <c r="F22" i="68"/>
  <c r="AY144" i="3"/>
  <c r="AY289" i="3"/>
  <c r="AY350" i="3"/>
  <c r="AY244" i="3"/>
  <c r="AY82" i="3"/>
  <c r="AY236" i="3"/>
  <c r="AY26" i="3"/>
  <c r="AY420" i="3"/>
  <c r="AY61" i="3"/>
  <c r="AY36" i="3"/>
  <c r="AY278" i="3"/>
  <c r="AY183" i="3"/>
  <c r="AY334" i="3"/>
  <c r="AY390" i="3"/>
  <c r="AY191" i="3"/>
  <c r="AY300" i="3"/>
  <c r="AY401" i="3"/>
  <c r="AY76" i="3"/>
  <c r="AY190" i="3"/>
  <c r="AY253" i="3"/>
  <c r="AY53" i="3"/>
  <c r="AY124" i="3"/>
  <c r="AY382" i="3"/>
  <c r="AY207" i="3"/>
  <c r="AY95" i="3"/>
  <c r="AY292" i="3"/>
  <c r="AY486" i="3"/>
  <c r="AY355" i="3"/>
  <c r="AY132" i="3"/>
  <c r="AY366" i="3"/>
  <c r="AY260" i="3"/>
  <c r="AY549" i="3"/>
  <c r="AY44" i="3"/>
  <c r="AY185" i="3"/>
  <c r="AY42" i="3"/>
  <c r="AY75" i="3"/>
  <c r="AY444" i="3"/>
  <c r="AY311" i="3"/>
  <c r="AY31" i="3"/>
  <c r="AY303" i="3"/>
  <c r="AY217" i="3"/>
  <c r="AY544" i="3"/>
  <c r="AY33" i="3"/>
  <c r="AY154" i="3"/>
  <c r="AY87" i="3"/>
  <c r="AY152" i="3"/>
  <c r="AY147" i="3"/>
  <c r="AY425" i="3"/>
  <c r="AY481" i="3"/>
  <c r="AY281" i="3"/>
  <c r="AY473" i="3"/>
  <c r="AY372" i="3"/>
  <c r="AY533" i="3"/>
  <c r="AY165" i="3"/>
  <c r="AY387" i="3"/>
  <c r="AY529" i="3"/>
  <c r="AY283" i="3"/>
  <c r="AY562" i="3"/>
  <c r="AY50" i="3"/>
  <c r="AY404" i="3"/>
  <c r="AY441" i="3"/>
  <c r="AY97" i="3"/>
  <c r="AY160" i="3"/>
  <c r="AY535" i="3"/>
  <c r="AY92" i="3"/>
  <c r="AY51" i="3"/>
  <c r="AY103" i="3"/>
  <c r="AY237" i="3"/>
  <c r="AY526" i="3"/>
  <c r="AY447" i="3"/>
  <c r="AY111" i="3"/>
  <c r="AY460" i="3"/>
  <c r="AY327" i="3"/>
  <c r="BE6" i="3"/>
  <c r="BO6" i="3"/>
  <c r="AY133" i="3"/>
  <c r="AY34" i="3"/>
  <c r="AY220" i="3"/>
  <c r="AY199" i="3"/>
  <c r="AY168" i="3"/>
  <c r="AY310" i="3"/>
  <c r="AY89" i="3"/>
  <c r="AY125" i="3"/>
  <c r="AY269" i="3"/>
  <c r="AY463" i="3"/>
  <c r="T48" i="33"/>
  <c r="G48" i="33" s="1"/>
  <c r="E6" i="6"/>
  <c r="F22" i="69"/>
  <c r="F41" i="69" s="1"/>
  <c r="M18" i="9"/>
  <c r="B118" i="9" s="1"/>
  <c r="B14" i="74" s="1"/>
  <c r="B1" i="74" s="1"/>
  <c r="C8" i="74" s="1"/>
  <c r="E66" i="39"/>
  <c r="J24" i="15"/>
  <c r="J18" i="82"/>
  <c r="J26" i="85"/>
  <c r="J29" i="85" s="1"/>
  <c r="C10" i="83"/>
  <c r="C5" i="83" s="1"/>
  <c r="C38" i="83" s="1"/>
  <c r="C48" i="84"/>
  <c r="C60" i="84" s="1"/>
  <c r="J26" i="83"/>
  <c r="J29" i="83" s="1"/>
  <c r="Q52" i="82"/>
  <c r="Q66" i="83"/>
  <c r="Q74" i="82"/>
  <c r="Q60" i="82"/>
  <c r="Q57" i="82"/>
  <c r="C32" i="83"/>
  <c r="E38" i="43"/>
  <c r="G38" i="43"/>
  <c r="I38" i="43" s="1"/>
  <c r="C32" i="82"/>
  <c r="C33" i="82"/>
  <c r="E11" i="71"/>
  <c r="E10" i="71" s="1"/>
  <c r="E9" i="71" s="1"/>
  <c r="E8" i="71" s="1"/>
  <c r="V12" i="71"/>
  <c r="Q73" i="83"/>
  <c r="Q60" i="83"/>
  <c r="C48" i="82"/>
  <c r="C66" i="82" s="1"/>
  <c r="F70" i="39"/>
  <c r="G68" i="39"/>
  <c r="D3" i="21"/>
  <c r="S3" i="79"/>
  <c r="S4" i="79" s="1"/>
  <c r="D19" i="11"/>
  <c r="C19" i="11" s="1"/>
  <c r="C20" i="11" s="1"/>
  <c r="D3" i="34"/>
  <c r="D37" i="11"/>
  <c r="C37" i="11" s="1"/>
  <c r="Q74" i="83"/>
  <c r="Q61" i="83"/>
  <c r="J10" i="82"/>
  <c r="J5" i="82" s="1"/>
  <c r="J26" i="82" s="1"/>
  <c r="J29" i="82" s="1"/>
  <c r="AY155" i="3"/>
  <c r="AY74" i="3"/>
  <c r="AY319" i="3"/>
  <c r="AY212" i="3"/>
  <c r="AY18" i="3"/>
  <c r="AY225" i="3"/>
  <c r="AY180" i="3"/>
  <c r="AY433" i="3"/>
  <c r="AY45" i="3"/>
  <c r="AY25"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296" i="3"/>
  <c r="AY331" i="3"/>
  <c r="AY405" i="3"/>
  <c r="AY86" i="3"/>
  <c r="AY159" i="3"/>
  <c r="AY213" i="3"/>
  <c r="AY459" i="3"/>
  <c r="AY504" i="3"/>
  <c r="AY347" i="3"/>
  <c r="AY421" i="3"/>
  <c r="AY102" i="3"/>
  <c r="AY175" i="3"/>
  <c r="AY208" i="3"/>
  <c r="AY474" i="3"/>
  <c r="AY583" i="3"/>
  <c r="AY115" i="3"/>
  <c r="AY123" i="3"/>
  <c r="AY489" i="3"/>
  <c r="AY379" i="3"/>
  <c r="AY171" i="3"/>
  <c r="AY371" i="3"/>
  <c r="AY245" i="3"/>
  <c r="AY513" i="3"/>
  <c r="AY60" i="3"/>
  <c r="AY201" i="3"/>
  <c r="AY247" i="3"/>
  <c r="AY397" i="3"/>
  <c r="AY109" i="3"/>
  <c r="AY166" i="3"/>
  <c r="AY242" i="3"/>
  <c r="AY348" i="3"/>
  <c r="AY59" i="3"/>
  <c r="AY261" i="3"/>
  <c r="AY455" i="3"/>
  <c r="AY343" i="3"/>
  <c r="AY90" i="3"/>
  <c r="AY335" i="3"/>
  <c r="AY228" i="3"/>
  <c r="BK6" i="3"/>
  <c r="AY28" i="3"/>
  <c r="AY170" i="3"/>
  <c r="AY231" i="3"/>
  <c r="AY381" i="3"/>
  <c r="AY104" i="3"/>
  <c r="AY177" i="3"/>
  <c r="AY210" i="3"/>
  <c r="AY332" i="3"/>
  <c r="AY446" i="3"/>
  <c r="BM6" i="3"/>
  <c r="AY510" i="3"/>
  <c r="AY519" i="3"/>
  <c r="AY189" i="3"/>
  <c r="AY266" i="3"/>
  <c r="AY313" i="3"/>
  <c r="AY453" i="3"/>
  <c r="AY579" i="3"/>
  <c r="AY509" i="3"/>
  <c r="AY94" i="3"/>
  <c r="AY167" i="3"/>
  <c r="AY573" i="3"/>
  <c r="AY20" i="3"/>
  <c r="AY157" i="3"/>
  <c r="AY271" i="3"/>
  <c r="AY211" i="3"/>
  <c r="BI6" i="3"/>
  <c r="AY186" i="3"/>
  <c r="AY243" i="3"/>
  <c r="AY325" i="3"/>
  <c r="AY464" i="3"/>
  <c r="AY403" i="3"/>
  <c r="AY527" i="3"/>
  <c r="AY556" i="3"/>
  <c r="AY32" i="3"/>
  <c r="AY298" i="3"/>
  <c r="AY352" i="3"/>
  <c r="AY492" i="3"/>
  <c r="AY431" i="3"/>
  <c r="AY575" i="3"/>
  <c r="AY563" i="3"/>
  <c r="AY203" i="3"/>
  <c r="AY233" i="3"/>
  <c r="AY314" i="3"/>
  <c r="AY517" i="3"/>
  <c r="AY70" i="3"/>
  <c r="AY119" i="3"/>
  <c r="AY367" i="3"/>
  <c r="AY416" i="3"/>
  <c r="AY498" i="3"/>
  <c r="AY330" i="3"/>
  <c r="AY13" i="3"/>
  <c r="AY39" i="3"/>
  <c r="AY136" i="3"/>
  <c r="AY375" i="3"/>
  <c r="AY432" i="3"/>
  <c r="AY567" i="3"/>
  <c r="AY23" i="3"/>
  <c r="AY116" i="3"/>
  <c r="AY409" i="3"/>
  <c r="AY85" i="3"/>
  <c r="AY349" i="3"/>
  <c r="AY80" i="3"/>
  <c r="D3" i="6"/>
  <c r="AY254" i="3"/>
  <c r="AY516" i="3"/>
  <c r="AY17" i="3"/>
  <c r="AY179" i="3"/>
  <c r="AY195" i="3"/>
  <c r="AY188" i="3"/>
  <c r="AY204" i="3"/>
  <c r="AY412" i="3"/>
  <c r="AY326" i="3"/>
  <c r="AY163" i="3"/>
  <c r="AY318" i="3"/>
  <c r="AY395" i="3"/>
  <c r="AY569" i="3"/>
  <c r="AY206" i="3"/>
  <c r="AY138" i="3"/>
  <c r="AY262" i="3"/>
  <c r="AY374" i="3"/>
  <c r="AY73" i="3"/>
  <c r="AY145" i="3"/>
  <c r="AY388" i="3"/>
  <c r="AY316" i="3"/>
  <c r="AY430" i="3"/>
  <c r="AY585" i="3"/>
  <c r="BG6" i="3"/>
  <c r="AY101" i="3"/>
  <c r="AY158" i="3"/>
  <c r="AY234" i="3"/>
  <c r="AY344" i="3"/>
  <c r="AY458" i="3"/>
  <c r="AY506" i="3"/>
  <c r="AY542" i="3"/>
  <c r="AY63" i="3"/>
  <c r="AY135" i="3"/>
  <c r="AY540" i="3"/>
  <c r="AY198" i="3"/>
  <c r="AY141" i="3"/>
  <c r="AY255" i="3"/>
  <c r="AY384" i="3"/>
  <c r="BB6" i="3"/>
  <c r="AY181" i="3"/>
  <c r="AY258" i="3"/>
  <c r="AY309" i="3"/>
  <c r="AY449" i="3"/>
  <c r="AY503" i="3"/>
  <c r="AY520" i="3"/>
  <c r="AY496" i="3"/>
  <c r="AY21" i="3"/>
  <c r="AY267" i="3"/>
  <c r="AY337" i="3"/>
  <c r="AY476" i="3"/>
  <c r="AY415" i="3"/>
  <c r="AY515" i="3"/>
  <c r="AY493" i="3"/>
  <c r="AY172" i="3"/>
  <c r="AY232" i="3"/>
  <c r="AY469" i="3"/>
  <c r="AY560" i="3"/>
  <c r="AY38" i="3"/>
  <c r="AY277" i="3"/>
  <c r="AY354" i="3"/>
  <c r="AY429" i="3"/>
  <c r="AY248" i="3"/>
  <c r="AY485" i="3"/>
  <c r="AY547" i="3"/>
  <c r="AY54" i="3"/>
  <c r="AY293" i="3"/>
  <c r="AY351" i="3"/>
  <c r="AY400" i="3"/>
  <c r="AY554" i="3"/>
  <c r="AY83" i="3"/>
  <c r="AY131" i="3"/>
  <c r="AY284" i="3"/>
  <c r="AY497" i="3"/>
  <c r="AY478" i="3"/>
  <c r="AY276" i="3"/>
  <c r="AY470" i="3"/>
  <c r="AY358" i="3"/>
  <c r="AY541" i="3"/>
  <c r="AY574" i="3"/>
  <c r="AY149" i="3"/>
  <c r="AY246" i="3"/>
  <c r="AY357" i="3"/>
  <c r="AY41" i="3"/>
  <c r="AY114" i="3"/>
  <c r="AY377" i="3"/>
  <c r="AY491" i="3"/>
  <c r="AY414" i="3"/>
  <c r="AY561" i="3"/>
  <c r="AY16" i="3"/>
  <c r="AY96" i="3"/>
  <c r="AY169" i="3"/>
  <c r="AY223" i="3"/>
  <c r="AY328" i="3"/>
  <c r="AY442" i="3"/>
  <c r="AY499" i="3"/>
  <c r="BR6" i="3"/>
  <c r="AY78" i="3"/>
  <c r="AY127" i="3"/>
  <c r="AY539" i="3"/>
  <c r="AY182" i="3"/>
  <c r="AY126" i="3"/>
  <c r="AY239" i="3"/>
  <c r="AY389" i="3"/>
  <c r="AY93" i="3"/>
  <c r="AY150" i="3"/>
  <c r="AY226" i="3"/>
  <c r="AY340" i="3"/>
  <c r="AY454" i="3"/>
  <c r="AY525" i="3"/>
  <c r="AY518" i="3"/>
  <c r="AY577" i="3"/>
  <c r="AY205" i="3"/>
  <c r="AY235" i="3"/>
  <c r="AY321" i="3"/>
  <c r="AY461" i="3"/>
  <c r="AY399" i="3"/>
  <c r="AY537" i="3"/>
  <c r="AY110" i="3"/>
  <c r="AY140" i="3"/>
  <c r="AY221" i="3"/>
  <c r="AY466" i="3"/>
  <c r="AY512" i="3"/>
  <c r="AY27" i="3"/>
  <c r="AY273" i="3"/>
  <c r="AY323" i="3"/>
  <c r="AY550" i="3"/>
  <c r="AY216" i="3"/>
  <c r="AY482" i="3"/>
  <c r="AY528" i="3"/>
  <c r="AY22" i="3"/>
  <c r="AY288" i="3"/>
  <c r="AY339" i="3"/>
  <c r="AY413" i="3"/>
  <c r="AY196" i="3"/>
  <c r="AY417" i="3"/>
  <c r="AY465" i="3"/>
  <c r="AY299" i="3"/>
  <c r="AY24" i="3"/>
  <c r="AY488" i="3"/>
  <c r="BF6" i="3"/>
  <c r="AY129" i="3"/>
  <c r="AY487" i="3"/>
  <c r="AY531" i="3"/>
  <c r="AY280" i="3"/>
  <c r="AY178" i="3"/>
  <c r="AY365" i="3"/>
  <c r="AY130" i="3"/>
  <c r="AY308" i="3"/>
  <c r="AY559" i="3"/>
  <c r="AY142" i="3"/>
  <c r="AY336" i="3"/>
  <c r="AY530" i="3"/>
  <c r="AY120" i="3"/>
  <c r="AY424" i="3"/>
  <c r="AY256" i="3"/>
  <c r="BC6" i="3"/>
  <c r="AY440" i="3"/>
  <c r="AY272" i="3"/>
  <c r="AY15" i="3"/>
  <c r="AY66" i="3"/>
  <c r="AY67" i="3"/>
  <c r="AY252" i="3"/>
  <c r="AY43" i="3"/>
  <c r="AY436" i="3"/>
  <c r="AY58" i="3"/>
  <c r="AY428" i="3"/>
  <c r="AY342" i="3"/>
  <c r="AY553" i="3"/>
  <c r="AY555" i="3"/>
  <c r="AY118" i="3"/>
  <c r="AY230" i="3"/>
  <c r="AY360" i="3"/>
  <c r="AY56" i="3"/>
  <c r="AY295" i="3"/>
  <c r="AY353" i="3"/>
  <c r="AY475" i="3"/>
  <c r="AY398" i="3"/>
  <c r="AY534" i="3"/>
  <c r="AY501" i="3"/>
  <c r="AY65" i="3"/>
  <c r="AY137" i="3"/>
  <c r="AY380" i="3"/>
  <c r="AY312" i="3"/>
  <c r="AY426" i="3"/>
  <c r="AY14" i="3"/>
  <c r="AY570" i="3"/>
  <c r="AY46" i="3"/>
  <c r="AY285" i="3"/>
  <c r="AY105" i="3"/>
  <c r="AY193" i="3"/>
  <c r="AY134" i="3"/>
  <c r="AY270" i="3"/>
  <c r="AY373" i="3"/>
  <c r="AY88" i="3"/>
  <c r="AY161" i="3"/>
  <c r="AY215" i="3"/>
  <c r="AY324" i="3"/>
  <c r="AY438" i="3"/>
  <c r="AY580" i="3"/>
  <c r="AY552" i="3"/>
  <c r="AY523" i="3"/>
  <c r="AY174" i="3"/>
  <c r="AY250" i="3"/>
  <c r="AY305" i="3"/>
  <c r="AY445" i="3"/>
  <c r="AY505" i="3"/>
  <c r="AY551" i="3"/>
  <c r="AY79" i="3"/>
  <c r="AY151" i="3"/>
  <c r="AY378" i="3"/>
  <c r="AY456" i="3"/>
  <c r="BL6" i="3"/>
  <c r="AY184" i="3"/>
  <c r="AY241" i="3"/>
  <c r="AY338" i="3"/>
  <c r="BD6" i="3"/>
  <c r="AY394" i="3"/>
  <c r="AY451" i="3"/>
  <c r="AY568" i="3"/>
  <c r="AY200" i="3"/>
  <c r="AY257" i="3"/>
  <c r="AY307" i="3"/>
  <c r="AY521" i="3"/>
  <c r="AY209" i="3"/>
  <c r="AY297" i="3"/>
  <c r="AY108" i="3"/>
  <c r="AY214" i="3"/>
  <c r="AY290" i="3"/>
  <c r="AY427" i="3"/>
  <c r="AY584" i="3"/>
  <c r="AY369" i="3"/>
  <c r="AY410" i="3"/>
  <c r="AY35" i="3"/>
  <c r="AY100" i="3"/>
  <c r="AY117" i="3"/>
  <c r="AY57" i="3"/>
  <c r="AY393" i="3"/>
  <c r="AY422" i="3"/>
  <c r="AY112" i="3"/>
  <c r="AY218" i="3"/>
  <c r="AY450" i="3"/>
  <c r="AY47" i="3"/>
  <c r="AY376" i="3"/>
  <c r="AY587" i="3"/>
  <c r="AY306" i="3"/>
  <c r="AY383" i="3"/>
  <c r="AY576" i="3"/>
  <c r="AY322" i="3"/>
  <c r="AY229" i="3"/>
  <c r="AY219" i="3"/>
  <c r="BQ6" i="3"/>
  <c r="AY251" i="3"/>
  <c r="AY565" i="3"/>
  <c r="AY52" i="3"/>
  <c r="AY507" i="3"/>
  <c r="AY480" i="3"/>
  <c r="AY64" i="3"/>
  <c r="AY402" i="3"/>
  <c r="AY265" i="3"/>
  <c r="AY128" i="3"/>
  <c r="AY315" i="3"/>
  <c r="AY386" i="3"/>
  <c r="AY286" i="3"/>
  <c r="AY98" i="3"/>
  <c r="BH6" i="3"/>
  <c r="AY571" i="3"/>
  <c r="AY364" i="3"/>
  <c r="AY578" i="3"/>
  <c r="AY162" i="3"/>
  <c r="AY72" i="3"/>
  <c r="AY406" i="3"/>
  <c r="AY153" i="3"/>
  <c r="AY538" i="3"/>
  <c r="AY362" i="3"/>
  <c r="AY224" i="3"/>
  <c r="AY408" i="3"/>
  <c r="AY477" i="3"/>
  <c r="AY202" i="3"/>
  <c r="AY495" i="3"/>
  <c r="AY329" i="3"/>
  <c r="AY99" i="3"/>
  <c r="AY173" i="3"/>
  <c r="AY29" i="3"/>
  <c r="AY113" i="3"/>
  <c r="AY522" i="3"/>
  <c r="AY346" i="3"/>
  <c r="AY391" i="3"/>
  <c r="AY500" i="3"/>
  <c r="AY443" i="3"/>
  <c r="AY259" i="3"/>
  <c r="AY471" i="3"/>
  <c r="AY291" i="3"/>
  <c r="AY572" i="3"/>
  <c r="AY545" i="3"/>
  <c r="AY107" i="3"/>
  <c r="AY452" i="3"/>
  <c r="AY468" i="3"/>
  <c r="AY275" i="3"/>
  <c r="AY361" i="3"/>
  <c r="AY558" i="3"/>
  <c r="AY71" i="3"/>
  <c r="AY268" i="3"/>
  <c r="AY419" i="3"/>
  <c r="AY437" i="3"/>
  <c r="AY582" i="3"/>
  <c r="AY176" i="3"/>
  <c r="AY77" i="3"/>
  <c r="AY472" i="3"/>
  <c r="AY48" i="3"/>
  <c r="AY439" i="3"/>
  <c r="AY249" i="3"/>
  <c r="AY238" i="3"/>
  <c r="AY370" i="3"/>
  <c r="AY543" i="3"/>
  <c r="AY320" i="3"/>
  <c r="AY62" i="3"/>
  <c r="AY91" i="3"/>
  <c r="AY511" i="3"/>
  <c r="AY164" i="3"/>
  <c r="AY294" i="3"/>
  <c r="AY148" i="3"/>
  <c r="AY139" i="3"/>
  <c r="AY68" i="3"/>
  <c r="AY462" i="3"/>
  <c r="AY194" i="3"/>
  <c r="AY407" i="3"/>
  <c r="AY557" i="3"/>
  <c r="AY227" i="3"/>
  <c r="AY341" i="3"/>
  <c r="AY532" i="3"/>
  <c r="AY479" i="3"/>
  <c r="AY19" i="3"/>
  <c r="AY55" i="3"/>
  <c r="AY586" i="3"/>
  <c r="AY143" i="3"/>
  <c r="AY363" i="3"/>
  <c r="AY411" i="3"/>
  <c r="AY287" i="3"/>
  <c r="AY524" i="3"/>
  <c r="AY69" i="3"/>
  <c r="AY368" i="3"/>
  <c r="AY483" i="3"/>
  <c r="AY81" i="3"/>
  <c r="AY434" i="3"/>
  <c r="AY301" i="3"/>
  <c r="AY359" i="3"/>
  <c r="AY240" i="3"/>
  <c r="AY106" i="3"/>
  <c r="AY494" i="3"/>
  <c r="AY192" i="3"/>
  <c r="AY121" i="3"/>
  <c r="AY396" i="3"/>
  <c r="AY490" i="3"/>
  <c r="AY566" i="3"/>
  <c r="AY333" i="3"/>
  <c r="AY156" i="3"/>
  <c r="AY536" i="3"/>
  <c r="BP6" i="3"/>
  <c r="AY448" i="3"/>
  <c r="BT6" i="3"/>
  <c r="C17" i="71"/>
  <c r="D18" i="71"/>
  <c r="B7" i="71"/>
  <c r="B6" i="71" s="1"/>
  <c r="B5" i="71" s="1"/>
  <c r="S8" i="71"/>
  <c r="J19" i="83"/>
  <c r="J18" i="83"/>
  <c r="Q52" i="83"/>
  <c r="T12" i="43"/>
  <c r="V12" i="43" s="1"/>
  <c r="T13" i="43"/>
  <c r="V13" i="43" s="1"/>
  <c r="T14" i="43"/>
  <c r="V14" i="43" s="1"/>
  <c r="C37" i="43"/>
  <c r="T11" i="43"/>
  <c r="V11" i="43" s="1"/>
  <c r="C33" i="43"/>
  <c r="T15" i="43"/>
  <c r="V15" i="43" s="1"/>
  <c r="C36" i="43"/>
  <c r="T10" i="43"/>
  <c r="V10" i="43" s="1"/>
  <c r="C34" i="43"/>
  <c r="T16" i="43"/>
  <c r="V16" i="43" s="1"/>
  <c r="T8" i="43"/>
  <c r="V8" i="43" s="1"/>
  <c r="C35" i="43"/>
  <c r="T9" i="43"/>
  <c r="V9" i="43" s="1"/>
  <c r="T28" i="71"/>
  <c r="D28" i="71"/>
  <c r="G39" i="43"/>
  <c r="I39" i="43" s="1"/>
  <c r="E39" i="43"/>
  <c r="C48" i="67"/>
  <c r="C66" i="67" s="1"/>
  <c r="J24" i="88"/>
  <c r="C5" i="67"/>
  <c r="C38" i="67" s="1"/>
  <c r="C48" i="88"/>
  <c r="C60" i="88" s="1"/>
  <c r="F69" i="88"/>
  <c r="J29" i="88"/>
  <c r="C38" i="88"/>
  <c r="C48" i="81"/>
  <c r="C60" i="81" s="1"/>
  <c r="AG6" i="1"/>
  <c r="C48" i="83"/>
  <c r="C60" i="83" s="1"/>
  <c r="J24" i="84"/>
  <c r="C48" i="85"/>
  <c r="C60" i="85" s="1"/>
  <c r="D17" i="12"/>
  <c r="C17" i="12" s="1"/>
  <c r="AQ10" i="1"/>
  <c r="AR10" i="1"/>
  <c r="T10" i="1"/>
  <c r="S9" i="1"/>
  <c r="C38" i="85"/>
  <c r="C24" i="85"/>
  <c r="F69" i="84"/>
  <c r="C38" i="84"/>
  <c r="J29" i="84"/>
  <c r="F69" i="83"/>
  <c r="C38" i="82"/>
  <c r="D10" i="69"/>
  <c r="D19" i="69" s="1"/>
  <c r="O6" i="1"/>
  <c r="O16" i="1" s="1"/>
  <c r="E26" i="66"/>
  <c r="AG7" i="1"/>
  <c r="J24" i="81"/>
  <c r="F69" i="67"/>
  <c r="F69" i="81"/>
  <c r="J29" i="81"/>
  <c r="E8" i="70"/>
  <c r="F69" i="15"/>
  <c r="J29" i="15"/>
  <c r="C24" i="81"/>
  <c r="C38" i="81"/>
  <c r="AQ8" i="1"/>
  <c r="T8" i="1"/>
  <c r="AR8" i="1"/>
  <c r="D10" i="11"/>
  <c r="C10" i="11" s="1"/>
  <c r="C16" i="12"/>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5" i="11"/>
  <c r="C26" i="11"/>
  <c r="D22" i="11" s="1"/>
  <c r="M21" i="81"/>
  <c r="F6" i="15"/>
  <c r="M27" i="80"/>
  <c r="M27" i="67"/>
  <c r="C14" i="82"/>
  <c r="C17" i="84"/>
  <c r="C14" i="83"/>
  <c r="C17" i="85"/>
  <c r="F35" i="81"/>
  <c r="C14" i="81"/>
  <c r="M27" i="88"/>
  <c r="C14" i="15"/>
  <c r="F41" i="80"/>
  <c r="C24" i="11" l="1"/>
  <c r="C23" i="11"/>
  <c r="C22" i="11" s="1"/>
  <c r="D10" i="68"/>
  <c r="D20" i="12"/>
  <c r="C20" i="12" s="1"/>
  <c r="C66" i="84"/>
  <c r="J24" i="82"/>
  <c r="C60" i="82"/>
  <c r="C66" i="81"/>
  <c r="C66" i="88"/>
  <c r="C66" i="83"/>
  <c r="E35" i="43"/>
  <c r="G35" i="43"/>
  <c r="I35" i="43" s="1"/>
  <c r="E37" i="43"/>
  <c r="G37" i="43"/>
  <c r="I37" i="43" s="1"/>
  <c r="E34" i="43"/>
  <c r="G34" i="43"/>
  <c r="I34" i="43" s="1"/>
  <c r="F27" i="6"/>
  <c r="K6" i="66"/>
  <c r="K7" i="66" s="1"/>
  <c r="E19" i="6"/>
  <c r="D19" i="6" s="1"/>
  <c r="E7" i="71"/>
  <c r="E6" i="71" s="1"/>
  <c r="E5" i="71" s="1"/>
  <c r="V8" i="71"/>
  <c r="C66" i="85"/>
  <c r="C16" i="71"/>
  <c r="D17" i="71"/>
  <c r="E36" i="43"/>
  <c r="G36" i="43"/>
  <c r="I36" i="43" s="1"/>
  <c r="D23" i="6"/>
  <c r="D25" i="6"/>
  <c r="D10" i="6"/>
  <c r="D14" i="6"/>
  <c r="D15" i="6"/>
  <c r="L19" i="9"/>
  <c r="D28" i="6"/>
  <c r="D5" i="6"/>
  <c r="D22" i="6"/>
  <c r="D29" i="6"/>
  <c r="M19" i="9"/>
  <c r="C118" i="9" s="1"/>
  <c r="C14" i="74" s="1"/>
  <c r="B2" i="74" s="1"/>
  <c r="D21" i="6"/>
  <c r="D9" i="6"/>
  <c r="D12" i="6"/>
  <c r="C18" i="4"/>
  <c r="D11" i="6"/>
  <c r="D24" i="6"/>
  <c r="D26" i="6"/>
  <c r="D20" i="6"/>
  <c r="D6" i="6"/>
  <c r="D8" i="6"/>
  <c r="E61" i="40"/>
  <c r="D13" i="6"/>
  <c r="G70" i="39"/>
  <c r="H68" i="39"/>
  <c r="B2" i="34"/>
  <c r="B3" i="34" s="1"/>
  <c r="E33" i="43"/>
  <c r="G33" i="43"/>
  <c r="I33" i="43" s="1"/>
  <c r="C60" i="67"/>
  <c r="F69" i="80"/>
  <c r="C10" i="69"/>
  <c r="C8" i="69" s="1"/>
  <c r="C5" i="69" s="1"/>
  <c r="C23" i="69" s="1"/>
  <c r="AR9" i="1"/>
  <c r="AQ9" i="1"/>
  <c r="T9" i="1"/>
  <c r="C18" i="83"/>
  <c r="C15" i="83"/>
  <c r="C18" i="82"/>
  <c r="C15" i="82"/>
  <c r="C6" i="15"/>
  <c r="C32" i="15" s="1"/>
  <c r="C15" i="81"/>
  <c r="C18" i="81"/>
  <c r="C15" i="15"/>
  <c r="C18" i="15"/>
  <c r="J20" i="81"/>
  <c r="F63" i="81"/>
  <c r="C62" i="81" s="1"/>
  <c r="C34" i="81"/>
  <c r="C31" i="81" s="1"/>
  <c r="C19" i="69"/>
  <c r="C24" i="69" s="1"/>
  <c r="D37" i="69"/>
  <c r="C37" i="69" s="1"/>
  <c r="C19" i="68"/>
  <c r="G65" i="40"/>
  <c r="H63" i="40"/>
  <c r="C43" i="37"/>
  <c r="B2" i="37" s="1"/>
  <c r="B3" i="37" s="1"/>
  <c r="C42" i="37"/>
  <c r="I48" i="35"/>
  <c r="C48" i="33"/>
  <c r="C49" i="33"/>
  <c r="H58" i="21"/>
  <c r="E47" i="37"/>
  <c r="F47" i="37" s="1"/>
  <c r="E46" i="37"/>
  <c r="F46" i="37" s="1"/>
  <c r="I47" i="37"/>
  <c r="J47" i="37" s="1"/>
  <c r="E53" i="33"/>
  <c r="F53" i="33" s="1"/>
  <c r="E52" i="33"/>
  <c r="F52" i="33" s="1"/>
  <c r="J59" i="15"/>
  <c r="J60" i="15" s="1"/>
  <c r="F35" i="83"/>
  <c r="F35" i="82"/>
  <c r="C17" i="67"/>
  <c r="M21" i="82"/>
  <c r="M21" i="15"/>
  <c r="C14" i="84"/>
  <c r="M21" i="83"/>
  <c r="C14" i="85"/>
  <c r="C14" i="67"/>
  <c r="F35" i="15"/>
  <c r="D30" i="6" l="1"/>
  <c r="C10" i="68"/>
  <c r="B29" i="1" s="1"/>
  <c r="C8" i="68" s="1"/>
  <c r="D19" i="68"/>
  <c r="D37" i="68" s="1"/>
  <c r="C37" i="68" s="1"/>
  <c r="D27" i="6"/>
  <c r="D31" i="6" s="1"/>
  <c r="D16" i="6"/>
  <c r="C4" i="52"/>
  <c r="B45" i="72" s="1"/>
  <c r="A7" i="51"/>
  <c r="B7" i="72" s="1"/>
  <c r="A10" i="51"/>
  <c r="B9" i="72" s="1"/>
  <c r="C15" i="71"/>
  <c r="D16" i="71"/>
  <c r="U16" i="71" s="1"/>
  <c r="T16" i="71"/>
  <c r="F31" i="6"/>
  <c r="D29" i="43"/>
  <c r="D1" i="43" s="1"/>
  <c r="D8" i="74"/>
  <c r="H70" i="39"/>
  <c r="I68" i="39"/>
  <c r="K6" i="1"/>
  <c r="E27" i="6"/>
  <c r="K19" i="6" s="1"/>
  <c r="C15" i="67"/>
  <c r="C18" i="67"/>
  <c r="B2" i="33"/>
  <c r="B3" i="33" s="1"/>
  <c r="R24" i="31"/>
  <c r="C19" i="82"/>
  <c r="C20" i="82" s="1"/>
  <c r="C26" i="82" s="1"/>
  <c r="C19" i="83"/>
  <c r="C20" i="83" s="1"/>
  <c r="C26" i="83" s="1"/>
  <c r="C18" i="85"/>
  <c r="C15" i="85"/>
  <c r="C15" i="84"/>
  <c r="C18" i="84"/>
  <c r="F63" i="83"/>
  <c r="C62" i="83" s="1"/>
  <c r="C34" i="83"/>
  <c r="C31" i="83" s="1"/>
  <c r="J20" i="83"/>
  <c r="J17" i="83" s="1"/>
  <c r="J20" i="82"/>
  <c r="J17" i="82" s="1"/>
  <c r="F63" i="82"/>
  <c r="C62" i="82" s="1"/>
  <c r="C34" i="82"/>
  <c r="C31" i="82" s="1"/>
  <c r="C5" i="15"/>
  <c r="C38" i="15" s="1"/>
  <c r="C19" i="15"/>
  <c r="C20" i="15" s="1"/>
  <c r="C26" i="15" s="1"/>
  <c r="C19" i="81"/>
  <c r="C20" i="81" s="1"/>
  <c r="C26" i="81" s="1"/>
  <c r="C20" i="69"/>
  <c r="C25" i="69" s="1"/>
  <c r="C22" i="69" s="1"/>
  <c r="F63" i="15"/>
  <c r="C62" i="15" s="1"/>
  <c r="C34" i="15"/>
  <c r="J20" i="15"/>
  <c r="C24" i="68"/>
  <c r="I63" i="40"/>
  <c r="H65" i="40"/>
  <c r="I58" i="21"/>
  <c r="J58" i="21" s="1"/>
  <c r="K58" i="21" s="1"/>
  <c r="L58" i="21" s="1"/>
  <c r="M58" i="21" s="1"/>
  <c r="N58" i="21" s="1"/>
  <c r="O58" i="21" s="1"/>
  <c r="H7" i="21" s="1"/>
  <c r="J7" i="21"/>
  <c r="F7" i="21"/>
  <c r="J48" i="35"/>
  <c r="Q48" i="15"/>
  <c r="M29" i="80"/>
  <c r="F43" i="80"/>
  <c r="F6" i="80"/>
  <c r="M6" i="67"/>
  <c r="F7" i="80"/>
  <c r="I6" i="6" l="1"/>
  <c r="G3" i="43" s="1"/>
  <c r="C18" i="12"/>
  <c r="C21" i="12" s="1"/>
  <c r="C22" i="12" s="1"/>
  <c r="M7" i="80"/>
  <c r="F50" i="80"/>
  <c r="C49" i="80" s="1"/>
  <c r="F71" i="80"/>
  <c r="I70" i="39"/>
  <c r="J68" i="39"/>
  <c r="C14" i="71"/>
  <c r="D15" i="71"/>
  <c r="G16" i="1"/>
  <c r="Q16" i="1"/>
  <c r="H16" i="1"/>
  <c r="M6" i="1"/>
  <c r="K16" i="1"/>
  <c r="C34" i="69"/>
  <c r="S6" i="1"/>
  <c r="M19" i="6"/>
  <c r="K22" i="6"/>
  <c r="M22" i="6" s="1"/>
  <c r="I22" i="6" s="1"/>
  <c r="K21" i="6"/>
  <c r="M21" i="6" s="1"/>
  <c r="I21" i="6" s="1"/>
  <c r="K20" i="6"/>
  <c r="K26" i="6"/>
  <c r="M26" i="6" s="1"/>
  <c r="I26" i="6" s="1"/>
  <c r="K24" i="6"/>
  <c r="M24" i="6" s="1"/>
  <c r="I24" i="6" s="1"/>
  <c r="K23" i="6"/>
  <c r="M23" i="6" s="1"/>
  <c r="I23" i="6" s="1"/>
  <c r="K25" i="6"/>
  <c r="M25" i="6" s="1"/>
  <c r="I25" i="6" s="1"/>
  <c r="E31" i="6"/>
  <c r="I5" i="6" s="1"/>
  <c r="C6" i="80"/>
  <c r="C19" i="67"/>
  <c r="C20" i="67" s="1"/>
  <c r="C26" i="67" s="1"/>
  <c r="J6" i="67"/>
  <c r="S24" i="31"/>
  <c r="R25" i="31"/>
  <c r="S25" i="31" s="1"/>
  <c r="R26" i="31"/>
  <c r="S26" i="31" s="1"/>
  <c r="R27" i="31"/>
  <c r="S27" i="31" s="1"/>
  <c r="R28" i="31"/>
  <c r="S28" i="31" s="1"/>
  <c r="C19" i="85"/>
  <c r="C20" i="85" s="1"/>
  <c r="C26" i="85" s="1"/>
  <c r="C19" i="84"/>
  <c r="C20" i="84" s="1"/>
  <c r="C26" i="84" s="1"/>
  <c r="C23" i="83"/>
  <c r="C29" i="83" s="1"/>
  <c r="C36" i="83" s="1"/>
  <c r="C23" i="82"/>
  <c r="C29" i="82" s="1"/>
  <c r="K101" i="43"/>
  <c r="Z7" i="43"/>
  <c r="B113" i="43"/>
  <c r="Y11" i="43"/>
  <c r="Y13" i="43" s="1"/>
  <c r="F22" i="43"/>
  <c r="AE11" i="43"/>
  <c r="AE13" i="43" s="1"/>
  <c r="H101" i="43"/>
  <c r="AH11" i="43"/>
  <c r="AH13" i="43" s="1"/>
  <c r="N101" i="43"/>
  <c r="AI11" i="43"/>
  <c r="AI13" i="43" s="1"/>
  <c r="AJ11" i="43"/>
  <c r="AJ13" i="43" s="1"/>
  <c r="H22" i="43"/>
  <c r="F101" i="43"/>
  <c r="L101" i="43"/>
  <c r="N104" i="46"/>
  <c r="Z11" i="43"/>
  <c r="Z13" i="43" s="1"/>
  <c r="E101" i="43"/>
  <c r="J101" i="43"/>
  <c r="G22" i="43"/>
  <c r="AF11" i="43"/>
  <c r="AF13" i="43" s="1"/>
  <c r="E22" i="43"/>
  <c r="AG11" i="43"/>
  <c r="AG13" i="43" s="1"/>
  <c r="D101" i="43"/>
  <c r="AA11" i="43"/>
  <c r="AA13" i="43" s="1"/>
  <c r="AB11" i="43"/>
  <c r="AB13" i="43" s="1"/>
  <c r="M101" i="43"/>
  <c r="C101" i="43"/>
  <c r="J22" i="43"/>
  <c r="AC11" i="43"/>
  <c r="AC13" i="43" s="1"/>
  <c r="AD11" i="43"/>
  <c r="AD13" i="43" s="1"/>
  <c r="I101" i="43"/>
  <c r="G101" i="43"/>
  <c r="J11" i="39"/>
  <c r="F11" i="39"/>
  <c r="H11" i="39"/>
  <c r="C23" i="15"/>
  <c r="C29" i="15" s="1"/>
  <c r="C33" i="15" s="1"/>
  <c r="C31" i="15" s="1"/>
  <c r="C23" i="81"/>
  <c r="C29" i="81" s="1"/>
  <c r="U7" i="21"/>
  <c r="AB7" i="21"/>
  <c r="T48" i="21" s="1"/>
  <c r="G48" i="21" s="1"/>
  <c r="S7" i="21"/>
  <c r="AA7" i="21"/>
  <c r="R48" i="21" s="1"/>
  <c r="J63" i="40"/>
  <c r="I65" i="40"/>
  <c r="K48" i="35"/>
  <c r="L48" i="35" s="1"/>
  <c r="M48" i="35" s="1"/>
  <c r="N48" i="35" s="1"/>
  <c r="O48" i="35" s="1"/>
  <c r="H7" i="35" s="1"/>
  <c r="J7" i="35"/>
  <c r="AC7" i="21"/>
  <c r="V48" i="21" s="1"/>
  <c r="I48" i="21" s="1"/>
  <c r="W7" i="21"/>
  <c r="C16" i="80"/>
  <c r="C17" i="80"/>
  <c r="C27" i="12" l="1"/>
  <c r="C25" i="12" s="1"/>
  <c r="C53" i="80"/>
  <c r="C48" i="80" s="1"/>
  <c r="M20" i="6"/>
  <c r="I20" i="6" s="1"/>
  <c r="S7" i="1"/>
  <c r="AQ6" i="1"/>
  <c r="AR6" i="1"/>
  <c r="T6" i="1"/>
  <c r="H24" i="6"/>
  <c r="R24" i="6" s="1"/>
  <c r="S24" i="6"/>
  <c r="S26" i="6"/>
  <c r="H26" i="6"/>
  <c r="R26" i="6" s="1"/>
  <c r="AA23" i="1"/>
  <c r="X23" i="1" s="1"/>
  <c r="AA24" i="1"/>
  <c r="C38" i="69"/>
  <c r="C35" i="69"/>
  <c r="K68" i="39"/>
  <c r="J70" i="39"/>
  <c r="S20" i="6"/>
  <c r="H20" i="6"/>
  <c r="R20" i="6" s="1"/>
  <c r="R7" i="1" s="1"/>
  <c r="M16" i="1"/>
  <c r="E6" i="70"/>
  <c r="S21" i="6"/>
  <c r="H21" i="6"/>
  <c r="R21" i="6" s="1"/>
  <c r="R8" i="1" s="1"/>
  <c r="S22" i="6"/>
  <c r="H22" i="6"/>
  <c r="R22" i="6" s="1"/>
  <c r="F27" i="11"/>
  <c r="F28" i="12"/>
  <c r="F27" i="68"/>
  <c r="F27" i="69"/>
  <c r="K27" i="6"/>
  <c r="F10" i="40"/>
  <c r="F10" i="39"/>
  <c r="H10" i="40"/>
  <c r="H10" i="39"/>
  <c r="J10" i="40"/>
  <c r="J10" i="39"/>
  <c r="S23" i="6"/>
  <c r="H23" i="6"/>
  <c r="R23" i="6" s="1"/>
  <c r="R10" i="1" s="1"/>
  <c r="C13" i="71"/>
  <c r="D14" i="71"/>
  <c r="S25" i="6"/>
  <c r="H25" i="6"/>
  <c r="R25" i="6" s="1"/>
  <c r="I19" i="6"/>
  <c r="M27" i="6"/>
  <c r="C32" i="80"/>
  <c r="C10" i="80"/>
  <c r="C5" i="80" s="1"/>
  <c r="C38" i="80" s="1"/>
  <c r="C33" i="80"/>
  <c r="C23" i="67"/>
  <c r="C29" i="67" s="1"/>
  <c r="J18" i="67"/>
  <c r="J5" i="67"/>
  <c r="S22" i="31"/>
  <c r="R22" i="31" s="1"/>
  <c r="C23" i="84"/>
  <c r="C29" i="84" s="1"/>
  <c r="C57" i="84" s="1"/>
  <c r="C64" i="84" s="1"/>
  <c r="R9" i="1"/>
  <c r="C23" i="85"/>
  <c r="C29" i="85" s="1"/>
  <c r="J14" i="83"/>
  <c r="J13" i="83" s="1"/>
  <c r="J23" i="83" s="1"/>
  <c r="C13" i="83"/>
  <c r="Q70" i="83" s="1"/>
  <c r="Q49" i="83"/>
  <c r="C57" i="83"/>
  <c r="C61" i="83" s="1"/>
  <c r="C59" i="83" s="1"/>
  <c r="C36" i="82"/>
  <c r="C13" i="82"/>
  <c r="C57" i="82"/>
  <c r="J14" i="82"/>
  <c r="Q49" i="82"/>
  <c r="C57" i="15"/>
  <c r="C64" i="15" s="1"/>
  <c r="C36" i="15"/>
  <c r="J19" i="15"/>
  <c r="J17" i="15" s="1"/>
  <c r="Q49" i="15"/>
  <c r="C13" i="15"/>
  <c r="C37" i="15" s="1"/>
  <c r="J14" i="15"/>
  <c r="J22" i="15" s="1"/>
  <c r="D22" i="43"/>
  <c r="C21" i="43" s="1"/>
  <c r="C29" i="43" s="1"/>
  <c r="U11" i="39"/>
  <c r="AB11" i="39"/>
  <c r="W11" i="39"/>
  <c r="AC11" i="39"/>
  <c r="I109" i="43"/>
  <c r="I104" i="43"/>
  <c r="I105" i="43"/>
  <c r="I106" i="43"/>
  <c r="I102" i="43"/>
  <c r="I107" i="43"/>
  <c r="I103" i="43"/>
  <c r="C104" i="43"/>
  <c r="C106" i="43"/>
  <c r="C102" i="43"/>
  <c r="C105" i="43"/>
  <c r="C107" i="43"/>
  <c r="C109" i="43"/>
  <c r="C103" i="43"/>
  <c r="D109" i="43"/>
  <c r="D102" i="43"/>
  <c r="D105" i="43"/>
  <c r="D107" i="43"/>
  <c r="D106" i="43"/>
  <c r="D104" i="43"/>
  <c r="D103" i="43"/>
  <c r="J104" i="43"/>
  <c r="J102" i="43"/>
  <c r="J105" i="43"/>
  <c r="J106" i="43"/>
  <c r="J107" i="43"/>
  <c r="J103" i="43"/>
  <c r="J109" i="43"/>
  <c r="L106" i="43"/>
  <c r="L103" i="43"/>
  <c r="L104" i="43"/>
  <c r="L109" i="43"/>
  <c r="L107" i="43"/>
  <c r="L105" i="43"/>
  <c r="L102" i="43"/>
  <c r="F104" i="43"/>
  <c r="F102" i="43"/>
  <c r="F103" i="43"/>
  <c r="F105" i="43"/>
  <c r="F109" i="43"/>
  <c r="F106" i="43"/>
  <c r="F107" i="43"/>
  <c r="H107" i="43"/>
  <c r="H106" i="43"/>
  <c r="H104" i="43"/>
  <c r="H102" i="43"/>
  <c r="H109" i="43"/>
  <c r="H105" i="43"/>
  <c r="H103" i="43"/>
  <c r="D117" i="43"/>
  <c r="E117" i="43" s="1"/>
  <c r="F117" i="43" s="1"/>
  <c r="G117" i="43" s="1"/>
  <c r="H117" i="43" s="1"/>
  <c r="G118" i="43"/>
  <c r="H118" i="43" s="1"/>
  <c r="I116" i="43"/>
  <c r="J116" i="43" s="1"/>
  <c r="K116" i="43" s="1"/>
  <c r="L116" i="43" s="1"/>
  <c r="M116" i="43" s="1"/>
  <c r="I118" i="43"/>
  <c r="J118" i="43" s="1"/>
  <c r="K118" i="43" s="1"/>
  <c r="L118" i="43" s="1"/>
  <c r="M118" i="43" s="1"/>
  <c r="B116" i="43"/>
  <c r="C116" i="43" s="1"/>
  <c r="B117" i="43"/>
  <c r="C117" i="43" s="1"/>
  <c r="B115" i="43"/>
  <c r="C115" i="43" s="1"/>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AA11" i="39"/>
  <c r="S11" i="39"/>
  <c r="G105" i="43"/>
  <c r="G103" i="43"/>
  <c r="G104" i="43"/>
  <c r="G106" i="43"/>
  <c r="G102" i="43"/>
  <c r="G109" i="43"/>
  <c r="G107" i="43"/>
  <c r="M104" i="43"/>
  <c r="M103" i="43"/>
  <c r="M102" i="43"/>
  <c r="M106" i="43"/>
  <c r="M107" i="43"/>
  <c r="M109" i="43"/>
  <c r="M105" i="43"/>
  <c r="E107" i="43"/>
  <c r="E104" i="43"/>
  <c r="E102" i="43"/>
  <c r="E105" i="43"/>
  <c r="E106" i="43"/>
  <c r="E103" i="43"/>
  <c r="E109" i="43"/>
  <c r="N102" i="43"/>
  <c r="N105" i="43"/>
  <c r="N106" i="43"/>
  <c r="N109" i="43"/>
  <c r="N103" i="43"/>
  <c r="N107" i="43"/>
  <c r="N104" i="43"/>
  <c r="K102" i="43"/>
  <c r="K109" i="43"/>
  <c r="K104" i="43"/>
  <c r="K103" i="43"/>
  <c r="K105" i="43"/>
  <c r="K107" i="43"/>
  <c r="K106" i="43"/>
  <c r="C36" i="81"/>
  <c r="C57" i="81"/>
  <c r="C13" i="81"/>
  <c r="J14" i="81"/>
  <c r="J19" i="81"/>
  <c r="J17" i="81" s="1"/>
  <c r="Q49" i="81"/>
  <c r="W7" i="35"/>
  <c r="AC7" i="35"/>
  <c r="V38" i="35" s="1"/>
  <c r="I38" i="35" s="1"/>
  <c r="J65" i="40"/>
  <c r="K63" i="40"/>
  <c r="I52" i="21"/>
  <c r="J52" i="21" s="1"/>
  <c r="U7" i="35"/>
  <c r="AB7" i="35"/>
  <c r="T38" i="35" s="1"/>
  <c r="G38" i="35" s="1"/>
  <c r="R49" i="21"/>
  <c r="E48" i="21"/>
  <c r="G52" i="21"/>
  <c r="H52" i="21" s="1"/>
  <c r="G53" i="21"/>
  <c r="H53" i="21" s="1"/>
  <c r="F7" i="35"/>
  <c r="L57" i="15"/>
  <c r="L60" i="15" s="1"/>
  <c r="L46" i="15" s="1"/>
  <c r="M21" i="85"/>
  <c r="F35" i="85"/>
  <c r="C17" i="88"/>
  <c r="F35" i="67"/>
  <c r="M21" i="84"/>
  <c r="M21" i="67"/>
  <c r="F35" i="84"/>
  <c r="C14" i="80"/>
  <c r="M21" i="88"/>
  <c r="F35" i="88"/>
  <c r="X24" i="1" l="1"/>
  <c r="X25" i="1" s="1"/>
  <c r="Z6" i="1" s="1"/>
  <c r="S16" i="1"/>
  <c r="C66" i="80"/>
  <c r="C60" i="80"/>
  <c r="J20" i="88"/>
  <c r="J17" i="88" s="1"/>
  <c r="C34" i="88"/>
  <c r="C31" i="88" s="1"/>
  <c r="F63" i="88"/>
  <c r="C62" i="88" s="1"/>
  <c r="E7" i="70"/>
  <c r="E2" i="70" s="1"/>
  <c r="AR7" i="1"/>
  <c r="T7" i="1"/>
  <c r="AQ7" i="1"/>
  <c r="J20" i="67"/>
  <c r="C34" i="67"/>
  <c r="F63" i="67"/>
  <c r="C62" i="67" s="1"/>
  <c r="AC24" i="1"/>
  <c r="C61" i="15"/>
  <c r="C59" i="15" s="1"/>
  <c r="C33" i="69"/>
  <c r="C39" i="69" s="1"/>
  <c r="C43" i="69" s="1"/>
  <c r="C15" i="80"/>
  <c r="C18" i="80"/>
  <c r="AA10" i="39"/>
  <c r="S10" i="39"/>
  <c r="AA10" i="40"/>
  <c r="S10" i="40"/>
  <c r="K70" i="39"/>
  <c r="L68" i="39"/>
  <c r="U10" i="40"/>
  <c r="AB10" i="40"/>
  <c r="H19" i="6"/>
  <c r="S19" i="6"/>
  <c r="S27" i="6" s="1"/>
  <c r="I27" i="6"/>
  <c r="F45" i="69"/>
  <c r="C47" i="69"/>
  <c r="D45" i="69" s="1"/>
  <c r="C29" i="69"/>
  <c r="D27" i="69" s="1"/>
  <c r="C28" i="69"/>
  <c r="C27" i="69" s="1"/>
  <c r="T16" i="1"/>
  <c r="J22" i="83"/>
  <c r="J16" i="83" s="1"/>
  <c r="J25" i="83" s="1"/>
  <c r="AC10" i="39"/>
  <c r="W10" i="39"/>
  <c r="F45" i="68"/>
  <c r="C29" i="68"/>
  <c r="D27" i="68" s="1"/>
  <c r="C47" i="68"/>
  <c r="D45" i="68" s="1"/>
  <c r="C12" i="71"/>
  <c r="D13" i="71"/>
  <c r="W10" i="40"/>
  <c r="AC10" i="40"/>
  <c r="C29" i="12"/>
  <c r="D28" i="12" s="1"/>
  <c r="C30" i="12"/>
  <c r="C28" i="12" s="1"/>
  <c r="C34" i="68"/>
  <c r="C34" i="11"/>
  <c r="L16" i="1"/>
  <c r="N16" i="1"/>
  <c r="U10" i="39"/>
  <c r="AB10" i="39"/>
  <c r="C28" i="11"/>
  <c r="C27" i="11" s="1"/>
  <c r="C47" i="11"/>
  <c r="D45" i="11" s="1"/>
  <c r="C29" i="11"/>
  <c r="D27" i="11" s="1"/>
  <c r="J59" i="67"/>
  <c r="J60" i="67" s="1"/>
  <c r="Q48" i="67" s="1"/>
  <c r="J14" i="67"/>
  <c r="C13" i="67"/>
  <c r="C36" i="67"/>
  <c r="J19" i="67"/>
  <c r="C33" i="67"/>
  <c r="C57" i="67"/>
  <c r="Q49" i="67"/>
  <c r="J24" i="67"/>
  <c r="J26" i="67"/>
  <c r="J29" i="67" s="1"/>
  <c r="B20" i="31"/>
  <c r="B21" i="31" s="1"/>
  <c r="C56" i="83"/>
  <c r="C65" i="83" s="1"/>
  <c r="C13" i="84"/>
  <c r="C75" i="84" s="1"/>
  <c r="C61" i="84"/>
  <c r="J14" i="84"/>
  <c r="J13" i="84" s="1"/>
  <c r="J23" i="84" s="1"/>
  <c r="Q49" i="84"/>
  <c r="C36" i="84"/>
  <c r="C34" i="85"/>
  <c r="C31" i="85" s="1"/>
  <c r="F63" i="85"/>
  <c r="C62" i="85" s="1"/>
  <c r="J20" i="85"/>
  <c r="J17" i="85" s="1"/>
  <c r="J20" i="84"/>
  <c r="J17" i="84" s="1"/>
  <c r="C34" i="84"/>
  <c r="C31" i="84" s="1"/>
  <c r="F63" i="84"/>
  <c r="C62" i="84" s="1"/>
  <c r="C57" i="85"/>
  <c r="J14" i="85"/>
  <c r="Q49" i="85"/>
  <c r="C36" i="85"/>
  <c r="C13" i="85"/>
  <c r="C64" i="83"/>
  <c r="C37" i="83"/>
  <c r="C30" i="83" s="1"/>
  <c r="C39" i="83" s="1"/>
  <c r="Q69" i="83" s="1"/>
  <c r="Q68" i="83" s="1"/>
  <c r="C75" i="83"/>
  <c r="J13" i="82"/>
  <c r="J23" i="82" s="1"/>
  <c r="J22" i="82"/>
  <c r="C75" i="82"/>
  <c r="C37" i="82"/>
  <c r="C30" i="82" s="1"/>
  <c r="C39" i="82" s="1"/>
  <c r="Q70" i="82"/>
  <c r="C56" i="82"/>
  <c r="C65" i="82" s="1"/>
  <c r="C64" i="82"/>
  <c r="C61" i="82"/>
  <c r="C59" i="82" s="1"/>
  <c r="C56" i="15"/>
  <c r="C65" i="15" s="1"/>
  <c r="C30" i="15"/>
  <c r="C39" i="15" s="1"/>
  <c r="C40" i="15" s="1"/>
  <c r="S4" i="43"/>
  <c r="T4" i="43" s="1"/>
  <c r="V4" i="43" s="1"/>
  <c r="S5" i="43"/>
  <c r="T5" i="43" s="1"/>
  <c r="V5" i="43" s="1"/>
  <c r="S7" i="43"/>
  <c r="T7" i="43" s="1"/>
  <c r="V7" i="43" s="1"/>
  <c r="S6" i="43"/>
  <c r="T6" i="43" s="1"/>
  <c r="V6" i="43" s="1"/>
  <c r="S3" i="43"/>
  <c r="T3" i="43" s="1"/>
  <c r="V3" i="43" s="1"/>
  <c r="C23" i="43"/>
  <c r="S2" i="43"/>
  <c r="T2" i="43" s="1"/>
  <c r="V2" i="43" s="1"/>
  <c r="Q70" i="15"/>
  <c r="C75" i="15"/>
  <c r="J13" i="15"/>
  <c r="J23" i="15" s="1"/>
  <c r="J16" i="15" s="1"/>
  <c r="J25" i="15" s="1"/>
  <c r="D113" i="43"/>
  <c r="E29" i="43"/>
  <c r="C26" i="43" s="1"/>
  <c r="C30" i="43"/>
  <c r="E30" i="43" s="1"/>
  <c r="C27" i="43" s="1"/>
  <c r="J13" i="81"/>
  <c r="J23" i="81" s="1"/>
  <c r="J22" i="81"/>
  <c r="C64" i="81"/>
  <c r="C61" i="81"/>
  <c r="C59" i="81" s="1"/>
  <c r="C75" i="81"/>
  <c r="Q70" i="81"/>
  <c r="C56" i="81"/>
  <c r="C65" i="81" s="1"/>
  <c r="C37" i="81"/>
  <c r="C30" i="81" s="1"/>
  <c r="C39" i="8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E6" i="76"/>
  <c r="C14" i="88"/>
  <c r="L51" i="82"/>
  <c r="L51" i="81"/>
  <c r="L51" i="83"/>
  <c r="M6" i="80"/>
  <c r="J6" i="80" l="1"/>
  <c r="C15" i="88"/>
  <c r="C18" i="88"/>
  <c r="J17" i="67"/>
  <c r="C31" i="67"/>
  <c r="C58" i="15"/>
  <c r="C67" i="15" s="1"/>
  <c r="C68" i="15" s="1"/>
  <c r="C71" i="15" s="1"/>
  <c r="C19" i="80"/>
  <c r="C20" i="80" s="1"/>
  <c r="C26" i="80" s="1"/>
  <c r="C42" i="69"/>
  <c r="C41" i="69" s="1"/>
  <c r="C32" i="12"/>
  <c r="B2" i="12" s="1"/>
  <c r="B3" i="12" s="1"/>
  <c r="C46" i="69"/>
  <c r="C45" i="69" s="1"/>
  <c r="C31" i="69"/>
  <c r="F50" i="11"/>
  <c r="F50" i="69"/>
  <c r="F50" i="68"/>
  <c r="C38" i="11"/>
  <c r="C35" i="11"/>
  <c r="M68" i="39"/>
  <c r="L70" i="39"/>
  <c r="C35" i="68"/>
  <c r="C38" i="68"/>
  <c r="C31" i="11"/>
  <c r="C11" i="71"/>
  <c r="T12" i="71"/>
  <c r="D12" i="71"/>
  <c r="U12" i="71" s="1"/>
  <c r="C58" i="83"/>
  <c r="C67" i="83" s="1"/>
  <c r="C68" i="83" s="1"/>
  <c r="C71" i="83" s="1"/>
  <c r="R19" i="6"/>
  <c r="H27" i="6"/>
  <c r="C61" i="67"/>
  <c r="C59" i="67" s="1"/>
  <c r="C64" i="67"/>
  <c r="Q70" i="67"/>
  <c r="C37" i="67"/>
  <c r="C56" i="67"/>
  <c r="C65" i="67" s="1"/>
  <c r="C75" i="67"/>
  <c r="J22" i="67"/>
  <c r="J13" i="67"/>
  <c r="J23" i="67" s="1"/>
  <c r="C80" i="83"/>
  <c r="C79" i="83" s="1"/>
  <c r="Q70" i="84"/>
  <c r="C37" i="84"/>
  <c r="C30" i="84" s="1"/>
  <c r="C39" i="84" s="1"/>
  <c r="Q69" i="84" s="1"/>
  <c r="C56" i="84"/>
  <c r="C65" i="84" s="1"/>
  <c r="C59" i="84"/>
  <c r="J22" i="84"/>
  <c r="J16" i="84" s="1"/>
  <c r="J25" i="84" s="1"/>
  <c r="J22" i="85"/>
  <c r="J13" i="85"/>
  <c r="J23" i="85" s="1"/>
  <c r="Q70" i="85"/>
  <c r="C56" i="85"/>
  <c r="C65" i="85" s="1"/>
  <c r="C75" i="85"/>
  <c r="C37" i="85"/>
  <c r="C30" i="85" s="1"/>
  <c r="C39" i="85" s="1"/>
  <c r="C61" i="85"/>
  <c r="C59" i="85" s="1"/>
  <c r="C64" i="85"/>
  <c r="Q67" i="83"/>
  <c r="C40" i="83"/>
  <c r="C58" i="82"/>
  <c r="C67" i="82" s="1"/>
  <c r="C68" i="82" s="1"/>
  <c r="C71" i="82" s="1"/>
  <c r="Q67" i="82"/>
  <c r="J16" i="82"/>
  <c r="J25" i="82" s="1"/>
  <c r="C80" i="82"/>
  <c r="C79" i="82" s="1"/>
  <c r="Q69" i="82"/>
  <c r="Q68" i="82" s="1"/>
  <c r="C40" i="82"/>
  <c r="C80" i="15"/>
  <c r="C79" i="15" s="1"/>
  <c r="Q69" i="15"/>
  <c r="Q68" i="15" s="1"/>
  <c r="E2" i="76"/>
  <c r="B2" i="43"/>
  <c r="C58" i="81"/>
  <c r="C67" i="81" s="1"/>
  <c r="C68" i="81" s="1"/>
  <c r="C71" i="81" s="1"/>
  <c r="C80" i="81"/>
  <c r="C79" i="81" s="1"/>
  <c r="J16" i="81"/>
  <c r="J25" i="81" s="1"/>
  <c r="Q67" i="81"/>
  <c r="Q65" i="15"/>
  <c r="Q75" i="15" s="1"/>
  <c r="Q56" i="15"/>
  <c r="Q62" i="15" s="1"/>
  <c r="C43" i="15"/>
  <c r="C83" i="15"/>
  <c r="C82" i="15" s="1"/>
  <c r="Q47" i="15"/>
  <c r="Q53" i="15" s="1"/>
  <c r="Q69" i="81"/>
  <c r="Q68" i="81" s="1"/>
  <c r="C40" i="81"/>
  <c r="B2" i="15"/>
  <c r="R39" i="35"/>
  <c r="E38" i="35"/>
  <c r="M63" i="40"/>
  <c r="L65" i="40"/>
  <c r="L51" i="15"/>
  <c r="B6" i="76"/>
  <c r="L51" i="84"/>
  <c r="L51" i="85"/>
  <c r="C19" i="88" l="1"/>
  <c r="C20" i="88" s="1"/>
  <c r="C26" i="88" s="1"/>
  <c r="J18" i="80"/>
  <c r="J10" i="80"/>
  <c r="J5" i="80" s="1"/>
  <c r="J24" i="80" s="1"/>
  <c r="J19" i="80"/>
  <c r="C33" i="11"/>
  <c r="C30" i="67"/>
  <c r="C39" i="67" s="1"/>
  <c r="Q69" i="67" s="1"/>
  <c r="Q68" i="67" s="1"/>
  <c r="C46" i="15"/>
  <c r="C33" i="68"/>
  <c r="C42" i="68" s="1"/>
  <c r="C23" i="80"/>
  <c r="C29" i="80" s="1"/>
  <c r="C57" i="80" s="1"/>
  <c r="C49" i="69"/>
  <c r="C51" i="69" s="1"/>
  <c r="C52" i="69" s="1"/>
  <c r="B2" i="69" s="1"/>
  <c r="B3" i="69" s="1"/>
  <c r="Q67" i="15"/>
  <c r="C42" i="11"/>
  <c r="C39" i="11"/>
  <c r="C43" i="11" s="1"/>
  <c r="M70" i="39"/>
  <c r="N68" i="39"/>
  <c r="R6" i="1"/>
  <c r="R27" i="6"/>
  <c r="D11" i="71"/>
  <c r="C10" i="71"/>
  <c r="J16" i="67"/>
  <c r="J25" i="67" s="1"/>
  <c r="C58" i="67"/>
  <c r="C67" i="67" s="1"/>
  <c r="C68" i="67" s="1"/>
  <c r="Q68" i="84"/>
  <c r="C58" i="84"/>
  <c r="C67" i="84" s="1"/>
  <c r="C68" i="84" s="1"/>
  <c r="C71" i="84" s="1"/>
  <c r="C40" i="84"/>
  <c r="B2" i="84" s="1"/>
  <c r="B3" i="84" s="1"/>
  <c r="Q67" i="84"/>
  <c r="C80" i="84"/>
  <c r="C79" i="84" s="1"/>
  <c r="C58" i="85"/>
  <c r="C67" i="85" s="1"/>
  <c r="C68" i="85" s="1"/>
  <c r="C71" i="85" s="1"/>
  <c r="C80" i="85"/>
  <c r="C79" i="85" s="1"/>
  <c r="J16" i="85"/>
  <c r="J25" i="85" s="1"/>
  <c r="Q67" i="85"/>
  <c r="Q69" i="85"/>
  <c r="Q68" i="85" s="1"/>
  <c r="C40" i="85"/>
  <c r="Q47" i="83"/>
  <c r="Q53" i="83" s="1"/>
  <c r="C46" i="83"/>
  <c r="Q56" i="83"/>
  <c r="Q62" i="83" s="1"/>
  <c r="C43" i="83"/>
  <c r="C83" i="83"/>
  <c r="C82" i="83" s="1"/>
  <c r="B2" i="83"/>
  <c r="B3" i="83" s="1"/>
  <c r="Q65" i="83"/>
  <c r="Q75" i="83" s="1"/>
  <c r="Q47" i="82"/>
  <c r="Q53" i="82" s="1"/>
  <c r="C43" i="82"/>
  <c r="Q56" i="82"/>
  <c r="Q62" i="82" s="1"/>
  <c r="B2" i="82"/>
  <c r="B3" i="82" s="1"/>
  <c r="Q65" i="82"/>
  <c r="Q75" i="82" s="1"/>
  <c r="C83" i="82"/>
  <c r="C82" i="82" s="1"/>
  <c r="C46" i="82"/>
  <c r="B2" i="76"/>
  <c r="B3" i="76" s="1"/>
  <c r="B3" i="43"/>
  <c r="B3" i="15"/>
  <c r="Q47" i="81"/>
  <c r="Q53" i="81" s="1"/>
  <c r="Q56" i="81"/>
  <c r="Q62" i="81" s="1"/>
  <c r="C43" i="81"/>
  <c r="C83" i="81"/>
  <c r="C82" i="81" s="1"/>
  <c r="Q65" i="81"/>
  <c r="Q75" i="81" s="1"/>
  <c r="B2" i="81"/>
  <c r="C46" i="81"/>
  <c r="C39" i="35"/>
  <c r="B2" i="35" s="1"/>
  <c r="B3" i="35" s="1"/>
  <c r="C38" i="35"/>
  <c r="N63" i="40"/>
  <c r="M65" i="40"/>
  <c r="E43" i="35"/>
  <c r="F43" i="35" s="1"/>
  <c r="E42" i="35"/>
  <c r="F42" i="35" s="1"/>
  <c r="I43" i="35"/>
  <c r="J43" i="35" s="1"/>
  <c r="AO8" i="1"/>
  <c r="M21" i="80"/>
  <c r="L51" i="67"/>
  <c r="F35" i="80"/>
  <c r="C23" i="88" l="1"/>
  <c r="C29" i="88" s="1"/>
  <c r="Q49" i="88" s="1"/>
  <c r="C40" i="67"/>
  <c r="C43" i="67" s="1"/>
  <c r="C80" i="67"/>
  <c r="C79" i="67" s="1"/>
  <c r="L57" i="67"/>
  <c r="L60" i="67" s="1"/>
  <c r="Q57" i="67" s="1"/>
  <c r="Q67" i="67"/>
  <c r="C46" i="11"/>
  <c r="C45" i="11" s="1"/>
  <c r="C39" i="68"/>
  <c r="C43" i="68" s="1"/>
  <c r="C41" i="68" s="1"/>
  <c r="C36" i="80"/>
  <c r="Q49" i="80"/>
  <c r="C13" i="80"/>
  <c r="C56" i="80" s="1"/>
  <c r="C65" i="80" s="1"/>
  <c r="J14" i="80"/>
  <c r="J13" i="80" s="1"/>
  <c r="J23" i="80" s="1"/>
  <c r="C57" i="69"/>
  <c r="C56" i="69" s="1"/>
  <c r="C41" i="11"/>
  <c r="C34" i="80"/>
  <c r="C31" i="80" s="1"/>
  <c r="F63" i="80"/>
  <c r="C62" i="80" s="1"/>
  <c r="J20" i="80"/>
  <c r="J17" i="80" s="1"/>
  <c r="J7" i="39"/>
  <c r="H7" i="39"/>
  <c r="D10" i="71"/>
  <c r="C9" i="71"/>
  <c r="C61" i="80"/>
  <c r="C64" i="80"/>
  <c r="O68" i="39"/>
  <c r="O70" i="39" s="1"/>
  <c r="N70" i="39"/>
  <c r="F7" i="39" s="1"/>
  <c r="R16" i="1"/>
  <c r="L46" i="67"/>
  <c r="C71" i="67"/>
  <c r="C83" i="84"/>
  <c r="C82" i="84" s="1"/>
  <c r="Q56" i="84"/>
  <c r="Q62" i="84" s="1"/>
  <c r="Q47" i="84"/>
  <c r="Q53" i="84" s="1"/>
  <c r="Q65" i="84"/>
  <c r="Q75" i="84" s="1"/>
  <c r="C43" i="84"/>
  <c r="C46" i="84"/>
  <c r="C46" i="85"/>
  <c r="Q47" i="85"/>
  <c r="Q53" i="85" s="1"/>
  <c r="Q56" i="85"/>
  <c r="Q62" i="85" s="1"/>
  <c r="Q65" i="85"/>
  <c r="Q75" i="85" s="1"/>
  <c r="B2" i="85"/>
  <c r="B3" i="85" s="1"/>
  <c r="C43" i="85"/>
  <c r="C83" i="85"/>
  <c r="C82" i="85" s="1"/>
  <c r="B8" i="70"/>
  <c r="B3" i="81"/>
  <c r="O63" i="40"/>
  <c r="O65" i="40" s="1"/>
  <c r="N65" i="40"/>
  <c r="C36" i="88" l="1"/>
  <c r="C57" i="88"/>
  <c r="C64" i="88" s="1"/>
  <c r="C13" i="88"/>
  <c r="Q70" i="88" s="1"/>
  <c r="J14" i="88"/>
  <c r="J22" i="88" s="1"/>
  <c r="C61" i="88"/>
  <c r="C59" i="88" s="1"/>
  <c r="Q47" i="67"/>
  <c r="Q53" i="67" s="1"/>
  <c r="D2" i="67"/>
  <c r="B2" i="67" s="1"/>
  <c r="C49" i="11"/>
  <c r="C51" i="11" s="1"/>
  <c r="C52" i="11" s="1"/>
  <c r="B2" i="11" s="1"/>
  <c r="B3" i="11" s="1"/>
  <c r="Q56" i="67"/>
  <c r="Q62" i="67" s="1"/>
  <c r="Q65" i="67"/>
  <c r="C83" i="67"/>
  <c r="C82" i="67" s="1"/>
  <c r="C45" i="67"/>
  <c r="C46" i="67" s="1"/>
  <c r="Q66" i="67"/>
  <c r="C46" i="68"/>
  <c r="C45" i="68" s="1"/>
  <c r="C49" i="68" s="1"/>
  <c r="C51" i="68" s="1"/>
  <c r="C75" i="80"/>
  <c r="Q70" i="80"/>
  <c r="C37" i="80"/>
  <c r="C30" i="80" s="1"/>
  <c r="C39" i="80" s="1"/>
  <c r="C40" i="80" s="1"/>
  <c r="J22" i="80"/>
  <c r="J16" i="80" s="1"/>
  <c r="J25" i="80" s="1"/>
  <c r="J26" i="80" s="1"/>
  <c r="J29" i="80" s="1"/>
  <c r="C59" i="80"/>
  <c r="C58" i="80" s="1"/>
  <c r="C67" i="80" s="1"/>
  <c r="C68" i="80" s="1"/>
  <c r="C71" i="80" s="1"/>
  <c r="W7" i="39"/>
  <c r="AC7" i="39"/>
  <c r="V47" i="39" s="1"/>
  <c r="I47" i="39" s="1"/>
  <c r="U7" i="39"/>
  <c r="AB7" i="39"/>
  <c r="T47" i="39" s="1"/>
  <c r="G47" i="39" s="1"/>
  <c r="D9" i="71"/>
  <c r="C8" i="71"/>
  <c r="AA7" i="39"/>
  <c r="R47" i="39" s="1"/>
  <c r="S7" i="39"/>
  <c r="J7" i="40"/>
  <c r="F7" i="40"/>
  <c r="H7" i="40"/>
  <c r="L51" i="80"/>
  <c r="C75" i="88" l="1"/>
  <c r="C56" i="88"/>
  <c r="C65" i="88" s="1"/>
  <c r="C58" i="88" s="1"/>
  <c r="C67" i="88" s="1"/>
  <c r="C68" i="88" s="1"/>
  <c r="C71" i="88" s="1"/>
  <c r="C37" i="88"/>
  <c r="C30" i="88" s="1"/>
  <c r="C39" i="88" s="1"/>
  <c r="Q69" i="88" s="1"/>
  <c r="Q68" i="88" s="1"/>
  <c r="J13" i="88"/>
  <c r="J23" i="88" s="1"/>
  <c r="J16" i="88" s="1"/>
  <c r="J25" i="88" s="1"/>
  <c r="B3" i="67"/>
  <c r="Q75" i="67"/>
  <c r="Q69" i="80"/>
  <c r="Q68" i="80" s="1"/>
  <c r="C46" i="80"/>
  <c r="C80" i="80"/>
  <c r="C79" i="80" s="1"/>
  <c r="C56" i="11"/>
  <c r="C57" i="11" s="1"/>
  <c r="Q67" i="80"/>
  <c r="C7" i="71"/>
  <c r="T8" i="71"/>
  <c r="D8" i="71"/>
  <c r="U8" i="71" s="1"/>
  <c r="E47" i="39"/>
  <c r="R48" i="39"/>
  <c r="G51" i="39"/>
  <c r="H51" i="39" s="1"/>
  <c r="G52" i="39"/>
  <c r="H52" i="39" s="1"/>
  <c r="I51" i="39"/>
  <c r="J51" i="39" s="1"/>
  <c r="B2" i="80"/>
  <c r="C43" i="80"/>
  <c r="Q56" i="80"/>
  <c r="Q62" i="80" s="1"/>
  <c r="C83" i="80"/>
  <c r="C82" i="80" s="1"/>
  <c r="Q65" i="80"/>
  <c r="Q75" i="80" s="1"/>
  <c r="Q47" i="80"/>
  <c r="Q53" i="80" s="1"/>
  <c r="U7" i="40"/>
  <c r="AB7" i="40"/>
  <c r="T42" i="40" s="1"/>
  <c r="G42" i="40" s="1"/>
  <c r="AA7" i="40"/>
  <c r="R42" i="40" s="1"/>
  <c r="S7" i="40"/>
  <c r="AC7" i="40"/>
  <c r="V42" i="40" s="1"/>
  <c r="I42" i="40" s="1"/>
  <c r="W7" i="40"/>
  <c r="L51" i="88"/>
  <c r="AO6" i="1"/>
  <c r="C80" i="88" l="1"/>
  <c r="C79" i="88" s="1"/>
  <c r="C40" i="88"/>
  <c r="C46" i="88" s="1"/>
  <c r="Q67" i="88"/>
  <c r="B6" i="70"/>
  <c r="C48" i="39"/>
  <c r="C47" i="39"/>
  <c r="E51" i="39"/>
  <c r="F51" i="39" s="1"/>
  <c r="E52" i="39"/>
  <c r="F52" i="39" s="1"/>
  <c r="B3" i="80"/>
  <c r="I52" i="39"/>
  <c r="J52" i="39" s="1"/>
  <c r="D7" i="71"/>
  <c r="C6" i="71"/>
  <c r="I46" i="40"/>
  <c r="J46" i="40" s="1"/>
  <c r="R43" i="40"/>
  <c r="E42" i="40"/>
  <c r="G47" i="40"/>
  <c r="H47" i="40" s="1"/>
  <c r="G46" i="40"/>
  <c r="H46" i="40" s="1"/>
  <c r="C83" i="88" l="1"/>
  <c r="C82" i="88" s="1"/>
  <c r="B2" i="88"/>
  <c r="B3" i="88" s="1"/>
  <c r="Q56" i="88"/>
  <c r="Q62" i="88" s="1"/>
  <c r="Q47" i="88"/>
  <c r="Q53" i="88" s="1"/>
  <c r="C43" i="88"/>
  <c r="Q65" i="88"/>
  <c r="Q75" i="88" s="1"/>
  <c r="B57" i="39"/>
  <c r="F57" i="39" s="1"/>
  <c r="B62" i="39"/>
  <c r="F62" i="39" s="1"/>
  <c r="B64" i="39"/>
  <c r="F64" i="39" s="1"/>
  <c r="B63" i="39"/>
  <c r="F63" i="39" s="1"/>
  <c r="B56" i="39"/>
  <c r="F56" i="39" s="1"/>
  <c r="B60" i="39"/>
  <c r="F60" i="39" s="1"/>
  <c r="B58" i="39"/>
  <c r="F58" i="39" s="1"/>
  <c r="B65" i="39"/>
  <c r="F65" i="39" s="1"/>
  <c r="B61" i="39"/>
  <c r="F61" i="39" s="1"/>
  <c r="B59" i="39"/>
  <c r="F59" i="39" s="1"/>
  <c r="D6" i="71"/>
  <c r="C5" i="71"/>
  <c r="C42" i="40"/>
  <c r="C43" i="40"/>
  <c r="E47" i="40"/>
  <c r="F47" i="40" s="1"/>
  <c r="E46" i="40"/>
  <c r="F46" i="40" s="1"/>
  <c r="I47" i="40"/>
  <c r="J47" i="40" s="1"/>
  <c r="AO7" i="1"/>
  <c r="B7" i="70" l="1"/>
  <c r="B2" i="70" s="1"/>
  <c r="F66" i="39"/>
  <c r="B2" i="39"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B3" i="70"/>
  <c r="B3" i="39"/>
  <c r="C6" i="68"/>
  <c r="C7" i="68" s="1"/>
  <c r="C5" i="68" s="1"/>
  <c r="D20" i="9"/>
  <c r="D103" i="9" l="1"/>
  <c r="C23" i="68"/>
  <c r="C20" i="68"/>
  <c r="C25" i="68" s="1"/>
  <c r="C19" i="9"/>
  <c r="C22" i="68" l="1"/>
  <c r="C28" i="68"/>
  <c r="C27" i="68" s="1"/>
  <c r="C102" i="9"/>
  <c r="D22" i="9"/>
  <c r="C21" i="9"/>
  <c r="G19" i="9"/>
  <c r="C20" i="9"/>
  <c r="C31" i="68" l="1"/>
  <c r="C52" i="68" s="1"/>
  <c r="B2" i="68" s="1"/>
  <c r="G21" i="9"/>
  <c r="U22" i="31"/>
  <c r="C103" i="9"/>
  <c r="G20" i="9"/>
  <c r="G24" i="9" s="1"/>
  <c r="C57" i="68" l="1"/>
  <c r="C56" i="68" s="1"/>
  <c r="B3" i="68"/>
  <c r="U26" i="31"/>
  <c r="V26" i="31" s="1"/>
  <c r="U27" i="31"/>
  <c r="V27" i="31" s="1"/>
  <c r="U24" i="31"/>
  <c r="V24" i="31" s="1"/>
  <c r="U25" i="31"/>
  <c r="V25" i="31" s="1"/>
  <c r="C32" i="9"/>
  <c r="D35" i="9"/>
  <c r="D34" i="9"/>
  <c r="U28" i="31" l="1"/>
  <c r="V28" i="31" s="1"/>
  <c r="C35" i="9"/>
  <c r="C34" i="9" s="1"/>
  <c r="D118" i="9" s="1"/>
  <c r="D4" i="52" s="1"/>
  <c r="B47" i="72" s="1"/>
  <c r="H118" i="9"/>
  <c r="C104" i="9" s="1"/>
  <c r="F118" i="9" l="1"/>
  <c r="F4" i="52" s="1"/>
  <c r="B51" i="72" s="1"/>
  <c r="D119" i="9"/>
  <c r="D5" i="52" s="1"/>
  <c r="B49" i="72" s="1"/>
  <c r="H101" i="9"/>
  <c r="H4" i="52"/>
  <c r="H119" i="9"/>
  <c r="H5" i="52" s="1"/>
  <c r="I118" i="9"/>
  <c r="C105" i="9" s="1"/>
  <c r="D14" i="74"/>
  <c r="F14" i="74" s="1"/>
  <c r="M48" i="9" l="1"/>
  <c r="H109" i="9"/>
  <c r="G118" i="9"/>
  <c r="G4" i="52" s="1"/>
  <c r="B52" i="72" s="1"/>
  <c r="D45" i="9"/>
  <c r="D53" i="9" s="1"/>
  <c r="F119" i="9"/>
  <c r="F5" i="52" s="1"/>
  <c r="B53" i="72" s="1"/>
  <c r="I4" i="52"/>
  <c r="D5" i="53"/>
  <c r="D6" i="53" s="1"/>
  <c r="B22" i="72" s="1"/>
  <c r="B5" i="74"/>
  <c r="D5" i="74" s="1"/>
  <c r="H107" i="9"/>
  <c r="E14" i="74"/>
  <c r="H102" i="9"/>
  <c r="D7" i="53" s="1"/>
  <c r="B21" i="72" s="1"/>
  <c r="M49" i="9" l="1"/>
  <c r="L68" i="9" s="1"/>
  <c r="M68" i="9" s="1"/>
  <c r="H110" i="9"/>
  <c r="D18" i="53" s="1"/>
  <c r="B35" i="72" s="1"/>
  <c r="D16" i="53"/>
  <c r="D124" i="9"/>
  <c r="B20" i="72"/>
  <c r="C93" i="9"/>
  <c r="C86" i="9" s="1"/>
  <c r="C5" i="74"/>
  <c r="E118" i="9"/>
  <c r="E4" i="52" s="1"/>
  <c r="B48" i="72" s="1"/>
  <c r="D52" i="9"/>
  <c r="C64" i="9"/>
  <c r="C63" i="9" s="1"/>
  <c r="C67" i="9" s="1"/>
  <c r="C68" i="9" s="1"/>
  <c r="D54" i="9" s="1"/>
  <c r="C85" i="9"/>
  <c r="C72" i="9"/>
  <c r="D55" i="9"/>
  <c r="M53" i="9" s="1"/>
  <c r="C78" i="9"/>
  <c r="C73" i="9" s="1"/>
  <c r="D13" i="53"/>
  <c r="D14" i="53" s="1"/>
  <c r="B32" i="72" s="1"/>
  <c r="H108" i="9"/>
  <c r="D15" i="53" s="1"/>
  <c r="B31" i="72" s="1"/>
  <c r="D122" i="9"/>
  <c r="D123" i="9" s="1"/>
  <c r="D9" i="52" s="1"/>
  <c r="L64" i="9" l="1"/>
  <c r="M64" i="9" s="1"/>
  <c r="L65" i="9"/>
  <c r="M65" i="9" s="1"/>
  <c r="L63" i="9"/>
  <c r="M63" i="9" s="1"/>
  <c r="L67" i="9"/>
  <c r="M67" i="9" s="1"/>
  <c r="L66" i="9"/>
  <c r="M66" i="9" s="1"/>
  <c r="H14" i="74"/>
  <c r="B7" i="74" s="1"/>
  <c r="D10" i="52"/>
  <c r="D125" i="9"/>
  <c r="D11" i="52" s="1"/>
  <c r="B34" i="72"/>
  <c r="D17" i="53"/>
  <c r="B36" i="72" s="1"/>
  <c r="C79" i="9"/>
  <c r="C80" i="9" s="1"/>
  <c r="E80" i="9" s="1"/>
  <c r="E81" i="9" s="1"/>
  <c r="C95" i="9"/>
  <c r="C96" i="9" s="1"/>
  <c r="E96" i="9" s="1"/>
  <c r="E97" i="9" s="1"/>
  <c r="D59" i="9"/>
  <c r="M55" i="9" s="1"/>
  <c r="B30" i="72"/>
  <c r="D8" i="52"/>
  <c r="G14" i="74"/>
  <c r="B6" i="74" s="1"/>
  <c r="C6" i="74" s="1"/>
  <c r="M69" i="9" l="1"/>
  <c r="N69" i="9" s="1"/>
  <c r="C7" i="74"/>
  <c r="D7" i="74"/>
  <c r="D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<sst xmlns="http://schemas.openxmlformats.org/spreadsheetml/2006/main" count="10850" uniqueCount="3462">
  <si>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</si>
  <si>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</si>
  <si>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</si>
  <si>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</si>
  <si>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</si>
  <si>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</si>
  <si>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</si>
  <si>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</si>
  <si>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</si>
  <si>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</si>
  <si>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</si>
  <si>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</si>
  <si>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</si>
  <si>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</si>
  <si>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</si>
  <si>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</si>
  <si>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</si>
  <si>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</si>
  <si>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</si>
  <si>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</si>
  <si>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</si>
  <si>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</si>
  <si>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</si>
  <si>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</si>
  <si>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</si>
  <si>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</si>
  <si>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</si>
  <si>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</si>
  <si>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</si>
  <si>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</si>
  <si>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</si>
  <si>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</si>
  <si>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</si>
  <si>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</si>
  <si>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</si>
  <si>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</si>
  <si>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</si>
  <si>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</si>
  <si>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</si>
  <si>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</si>
  <si>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</si>
  <si>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</si>
  <si>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</si>
  <si>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</si>
  <si>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</si>
  <si>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</si>
  <si>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</si>
  <si>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</si>
  <si>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</si>
  <si>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</si>
  <si>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</si>
  <si>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</si>
  <si>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</si>
  <si>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</si>
  <si>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</si>
  <si>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</si>
  <si>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</si>
  <si>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</si>
  <si>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</si>
  <si>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</si>
  <si>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</si>
  <si>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</si>
  <si>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</si>
  <si>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</si>
  <si>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</si>
  <si>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</si>
  <si>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</si>
  <si>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</si>
  <si>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</si>
  <si>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</si>
  <si>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</si>
  <si>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</si>
  <si>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</si>
  <si>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</si>
  <si>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</si>
  <si>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</si>
  <si>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</si>
  <si>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</si>
  <si>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</si>
  <si>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</si>
  <si>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</si>
  <si>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</si>
  <si>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</si>
  <si>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</si>
  <si>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</si>
  <si>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</si>
  <si>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</si>
  <si>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</si>
  <si>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</si>
  <si>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</si>
  <si>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</si>
  <si>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</si>
  <si>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</si>
  <si>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</si>
  <si>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</si>
  <si>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</si>
  <si>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</si>
  <si>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</si>
  <si>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</si>
  <si>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</si>
  <si>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</si>
  <si>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</si>
  <si>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</si>
  <si>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</si>
  <si>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</si>
  <si>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</si>
  <si>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</si>
  <si>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</si>
  <si>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</si>
  <si>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</si>
  <si>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</si>
  <si>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</si>
  <si>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</si>
  <si>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</si>
  <si>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</si>
  <si>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</si>
  <si>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</si>
  <si>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</si>
  <si>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</si>
  <si>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</si>
  <si>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</si>
  <si>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</si>
  <si>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</si>
  <si>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</si>
  <si>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</si>
  <si>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</si>
  <si>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</si>
  <si>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</si>
  <si>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</si>
  <si>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</si>
  <si>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</si>
  <si>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</si>
  <si>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</si>
  <si>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</si>
  <si>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</si>
  <si>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</si>
  <si>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</si>
  <si>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</si>
  <si>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</si>
  <si>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</si>
  <si>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</si>
  <si>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</si>
  <si>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</si>
  <si>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</si>
  <si>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</si>
  <si>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</si>
  <si>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</si>
  <si>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</si>
  <si>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</si>
  <si>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</si>
  <si>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</si>
  <si>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</si>
  <si>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</si>
  <si>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</si>
  <si>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</si>
  <si>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</si>
  <si>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</si>
  <si>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</si>
  <si>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</si>
  <si>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</si>
  <si>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</si>
  <si>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</si>
  <si>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</si>
  <si>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</si>
  <si>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</si>
  <si>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</si>
  <si>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</si>
  <si>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</si>
  <si>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</si>
  <si>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</si>
  <si>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</si>
  <si>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</si>
  <si>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</si>
  <si>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</si>
  <si>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</si>
  <si>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</si>
  <si>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</si>
  <si>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</si>
  <si>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</si>
  <si>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</si>
  <si>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</si>
  <si>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</si>
  <si>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</si>
  <si>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</si>
  <si>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</si>
  <si>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</si>
  <si>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</si>
  <si>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</si>
  <si>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</si>
  <si>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</si>
  <si>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</si>
  <si>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</si>
  <si>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</si>
  <si>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</si>
  <si>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</si>
  <si>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</si>
  <si>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</si>
  <si>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</si>
  <si>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</si>
  <si>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</si>
  <si>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</si>
  <si>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</si>
  <si>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</si>
  <si>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</si>
  <si>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</si>
  <si>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</si>
  <si>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</si>
  <si>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</si>
  <si>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</si>
  <si>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</si>
  <si>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</si>
  <si>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</si>
  <si>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</si>
  <si>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</si>
  <si>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</si>
  <si>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</si>
  <si>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</si>
  <si>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</si>
  <si>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</si>
  <si>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</si>
  <si>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</si>
  <si>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</si>
  <si>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</si>
  <si>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</si>
  <si>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</si>
  <si>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</si>
  <si>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</si>
  <si>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</si>
  <si>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</si>
  <si>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</si>
  <si>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</si>
  <si>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</si>
  <si>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</si>
  <si>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</si>
  <si>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</si>
  <si>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</si>
  <si>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</si>
  <si>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</si>
  <si>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</si>
  <si>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</si>
  <si>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</si>
  <si>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</si>
  <si>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</si>
  <si>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</si>
  <si>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</si>
  <si>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</si>
  <si>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</si>
  <si>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</si>
  <si>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</si>
  <si>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</si>
  <si>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</si>
  <si>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</si>
  <si>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</si>
  <si>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</si>
  <si>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</si>
  <si>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</si>
  <si>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</si>
  <si>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</si>
  <si>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</si>
  <si>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</si>
  <si>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</si>
  <si>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</si>
  <si>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</si>
  <si>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</si>
  <si>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</si>
  <si>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</si>
  <si>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</si>
  <si>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</si>
  <si>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</si>
  <si>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</si>
  <si>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</si>
  <si>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</si>
  <si>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</si>
  <si>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</si>
  <si>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</si>
  <si>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</si>
  <si>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</si>
  <si>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</si>
  <si>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</si>
  <si>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</si>
  <si>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</si>
  <si>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</si>
  <si>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</si>
  <si>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</si>
  <si>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</si>
  <si>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</si>
  <si>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</si>
  <si>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</si>
  <si>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</si>
  <si>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</si>
  <si>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</si>
  <si>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</si>
  <si>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</si>
  <si>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</si>
  <si>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</si>
  <si>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</si>
  <si>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</si>
  <si>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</si>
  <si>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</si>
  <si>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</si>
  <si>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</si>
  <si>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</si>
  <si>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</si>
  <si>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</si>
  <si>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</si>
  <si>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</si>
  <si>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</si>
  <si>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</si>
  <si>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</si>
  <si>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</si>
  <si>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</si>
  <si>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</si>
  <si>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</si>
  <si>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</si>
  <si>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</si>
  <si>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</si>
  <si>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</si>
  <si>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</si>
  <si>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</si>
  <si>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</si>
  <si>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</si>
  <si>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</si>
  <si>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</si>
  <si>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</si>
  <si>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</si>
  <si>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</si>
  <si>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</si>
  <si>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</si>
  <si>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</si>
  <si>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</si>
  <si>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</si>
  <si>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</si>
  <si>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</si>
  <si>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</si>
  <si>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</si>
  <si>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</si>
  <si>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</si>
  <si>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</si>
  <si>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</si>
  <si>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</si>
  <si>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</si>
  <si>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</si>
  <si>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</si>
  <si>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</si>
  <si>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</si>
  <si>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</si>
  <si>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</si>
  <si>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</si>
  <si>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</si>
  <si>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</si>
  <si>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</si>
  <si>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</si>
  <si>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</si>
  <si>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</si>
  <si>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</si>
  <si>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</si>
  <si>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</si>
  <si>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</si>
  <si>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</si>
  <si>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</si>
  <si>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</si>
  <si>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</si>
  <si>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</si>
  <si>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</si>
  <si>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</si>
  <si>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</si>
  <si>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</si>
  <si>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</si>
  <si>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</si>
  <si>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</si>
  <si>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</si>
  <si>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</si>
  <si>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</si>
  <si>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</si>
  <si>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</si>
  <si>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</si>
  <si>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</si>
  <si>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</si>
  <si>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</si>
  <si>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</si>
  <si>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</si>
  <si>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</si>
  <si>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</si>
  <si>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</si>
  <si>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</si>
  <si>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</si>
  <si>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</si>
  <si>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</si>
  <si>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</si>
  <si>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</si>
  <si>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</si>
  <si>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</si>
  <si>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</si>
  <si>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</si>
  <si>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</si>
  <si>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</si>
  <si>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</si>
  <si>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</si>
  <si>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</si>
  <si>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</si>
  <si>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</si>
  <si>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</si>
  <si>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</si>
  <si>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</si>
  <si>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</si>
  <si>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</si>
  <si>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</si>
  <si>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</si>
  <si>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</si>
  <si>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</si>
  <si>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</si>
  <si>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</si>
  <si>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</si>
  <si>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</si>
  <si>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</si>
  <si>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</si>
  <si>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</si>
  <si>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</si>
  <si>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</si>
  <si>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</si>
  <si>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</si>
  <si>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</si>
  <si>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</si>
  <si>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</si>
  <si>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</si>
  <si>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</si>
  <si>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</si>
  <si>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</si>
  <si>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</si>
  <si>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</si>
  <si>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</si>
  <si>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</si>
  <si>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</si>
  <si>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</si>
  <si>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</si>
  <si>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</si>
  <si>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</si>
  <si>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</si>
  <si>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</si>
  <si>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</si>
  <si>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</si>
  <si>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</si>
  <si>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</si>
  <si>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</si>
  <si>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</si>
  <si>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</si>
  <si>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</si>
  <si>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</si>
  <si>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</si>
  <si>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</si>
  <si>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</si>
  <si>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</si>
  <si>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</si>
  <si>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</si>
  <si>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</si>
  <si>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</si>
  <si>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</si>
  <si>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</si>
  <si>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</si>
  <si>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</si>
  <si>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</si>
  <si>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</si>
  <si>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</si>
  <si>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</si>
  <si>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</si>
  <si>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</si>
  <si>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</si>
  <si>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</si>
  <si>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</si>
  <si>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</si>
  <si>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</si>
  <si>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</si>
  <si>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</si>
  <si>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</si>
  <si>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</si>
  <si>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</si>
  <si>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</si>
  <si>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</si>
  <si>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</si>
  <si>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</si>
  <si>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</si>
  <si>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</si>
  <si>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</si>
  <si>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</si>
  <si>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</si>
  <si>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</si>
  <si>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</si>
  <si>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</si>
  <si>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</si>
  <si>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</si>
  <si>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</si>
  <si>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</si>
  <si>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</si>
  <si>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</si>
  <si>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</si>
  <si>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</si>
  <si>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</si>
  <si>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</si>
  <si>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</si>
  <si>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</si>
  <si>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</si>
  <si>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</si>
  <si>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</si>
  <si>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</si>
  <si>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</si>
  <si>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</si>
  <si>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</si>
  <si>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</si>
  <si>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</si>
  <si>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</si>
  <si>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</si>
  <si>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</si>
  <si>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</si>
  <si>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</si>
  <si>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</si>
  <si>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</si>
  <si>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</si>
  <si>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</si>
  <si>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</si>
  <si>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</si>
  <si>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</si>
  <si>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</si>
  <si>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</si>
  <si>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</si>
  <si>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</si>
  <si>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</si>
  <si>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</si>
  <si>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</si>
  <si>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</si>
  <si>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</si>
  <si>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</si>
  <si>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</si>
  <si>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</si>
  <si>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</si>
  <si>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</si>
  <si>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</si>
  <si>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</si>
  <si>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</si>
  <si>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</si>
  <si>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</si>
  <si>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</si>
  <si>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</si>
  <si>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</si>
  <si>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</si>
  <si>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</si>
  <si>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</si>
  <si>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</si>
  <si>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</si>
  <si>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</si>
  <si>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</si>
  <si>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</si>
  <si>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</si>
  <si>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</si>
  <si>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</si>
  <si>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</si>
  <si>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</si>
  <si>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</si>
  <si>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</si>
  <si>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</si>
  <si>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</si>
  <si>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</si>
  <si>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</si>
  <si>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</si>
  <si>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</si>
  <si>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</si>
  <si>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</si>
  <si>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</si>
  <si>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</si>
  <si>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</si>
  <si>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</si>
  <si>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</si>
  <si>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</si>
  <si>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</si>
  <si>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</si>
  <si>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</si>
  <si>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</si>
  <si>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</si>
  <si>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</si>
  <si>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</si>
  <si>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</si>
  <si>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</si>
  <si>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</si>
  <si>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</si>
  <si>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</si>
  <si>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</si>
  <si>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</si>
  <si>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</si>
  <si>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</si>
  <si>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</si>
  <si>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</si>
  <si>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</si>
  <si>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</si>
  <si>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</si>
  <si>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</si>
  <si>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</si>
  <si>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</si>
  <si>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</si>
  <si>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</si>
  <si>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</si>
  <si>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</si>
  <si>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</si>
  <si>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</si>
  <si>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</si>
  <si>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</si>
  <si>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</si>
  <si>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</si>
  <si>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</si>
  <si>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</si>
  <si>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</si>
  <si>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</si>
  <si>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</si>
  <si>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</si>
  <si>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</si>
  <si>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</si>
  <si>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</si>
  <si>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</si>
  <si>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</si>
  <si>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</si>
  <si>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</si>
  <si>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</si>
  <si>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</si>
  <si>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</si>
  <si>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</si>
  <si>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</si>
  <si>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</si>
  <si>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</si>
  <si>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</si>
  <si>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</si>
  <si>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</si>
  <si>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</si>
  <si>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</si>
  <si>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</si>
  <si>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</si>
  <si>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</si>
  <si>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</si>
  <si>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</si>
  <si>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</si>
  <si>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</si>
  <si>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</si>
  <si>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</si>
  <si>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</si>
  <si>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</si>
  <si>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</si>
  <si>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</si>
  <si>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</si>
  <si>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</si>
  <si>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</si>
  <si>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</si>
  <si>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</si>
  <si>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</si>
  <si>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</si>
  <si>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</si>
  <si>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</si>
  <si>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</si>
  <si>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</si>
  <si>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</si>
  <si>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</si>
  <si>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</si>
  <si>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</si>
  <si>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</si>
  <si>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</si>
  <si>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</si>
  <si>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</si>
  <si>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</si>
  <si>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</si>
  <si>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</si>
  <si>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</si>
  <si>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</si>
  <si>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</si>
  <si>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</si>
  <si>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</si>
  <si>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</si>
  <si>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</si>
  <si>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</si>
  <si>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</si>
  <si>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</si>
  <si>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</si>
  <si>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</si>
  <si>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</si>
  <si>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</si>
  <si>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</si>
  <si>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</si>
  <si>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</si>
  <si>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</si>
  <si>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</si>
  <si>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</si>
  <si>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</si>
  <si>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</si>
  <si>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</si>
  <si>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</si>
  <si>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</si>
  <si>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</si>
  <si>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</si>
  <si>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</si>
  <si>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</si>
  <si>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</si>
  <si>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</si>
  <si>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</si>
  <si>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</si>
  <si>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</si>
  <si>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</si>
  <si>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</si>
  <si>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</si>
  <si>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</si>
  <si>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</si>
  <si>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</si>
  <si>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</si>
  <si>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</si>
  <si>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</si>
  <si>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</si>
  <si>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</si>
  <si>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</si>
  <si>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</si>
  <si>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</si>
  <si>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</si>
  <si>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</si>
  <si>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</si>
  <si>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</si>
  <si>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</si>
  <si>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</si>
  <si>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</si>
  <si>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</si>
  <si>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</si>
  <si>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</si>
  <si>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</si>
  <si>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</si>
  <si>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</si>
  <si>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</si>
  <si>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</si>
  <si>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</si>
  <si>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</si>
  <si>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</si>
  <si>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</si>
  <si>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</si>
  <si>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</si>
  <si>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</si>
  <si>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</si>
  <si>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</si>
  <si>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</si>
  <si>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</si>
  <si>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</si>
  <si>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</si>
  <si>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</si>
  <si>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</si>
  <si>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</si>
  <si>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</si>
  <si>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</si>
  <si>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</si>
  <si>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</si>
  <si>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</si>
  <si>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</si>
  <si>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</si>
  <si>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</si>
  <si>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</si>
  <si>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</si>
  <si>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</si>
  <si>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</si>
  <si>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</si>
  <si>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</si>
  <si>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</si>
  <si>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</si>
  <si>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</si>
  <si>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</si>
  <si>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</si>
  <si>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</si>
  <si>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</si>
  <si>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</si>
  <si>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</si>
  <si>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</si>
  <si>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</si>
  <si>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</si>
  <si>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</si>
  <si>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</si>
  <si>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</si>
  <si>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</si>
  <si>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</si>
  <si>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</si>
  <si>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</si>
  <si>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</si>
  <si>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</si>
  <si>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</si>
  <si>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</si>
  <si>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</si>
  <si>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</si>
  <si>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</si>
  <si>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</si>
  <si>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</si>
  <si>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</si>
  <si>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</si>
  <si>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</si>
  <si>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</si>
  <si>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</si>
  <si>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</si>
  <si>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</si>
  <si>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</si>
  <si>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</si>
  <si>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</si>
  <si>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</si>
  <si>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</si>
  <si>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</si>
  <si>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</si>
  <si>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</si>
  <si>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</si>
  <si>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</si>
  <si>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</si>
  <si>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</si>
  <si>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</si>
  <si>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</si>
  <si>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</si>
  <si>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</si>
  <si>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</si>
  <si>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</si>
  <si>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</si>
  <si>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</si>
  <si>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</si>
  <si>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</si>
  <si>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</si>
  <si>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</si>
  <si>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</si>
  <si>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</si>
  <si>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</si>
  <si>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</si>
  <si>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</si>
  <si>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</si>
  <si>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</si>
  <si>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</si>
  <si>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</si>
  <si>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</si>
  <si>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</si>
  <si>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</si>
  <si>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</si>
  <si>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</si>
  <si>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</si>
  <si>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</si>
  <si>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</si>
  <si>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</si>
  <si>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</si>
  <si>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</si>
  <si>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</si>
  <si>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</si>
  <si>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</si>
  <si>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</si>
  <si>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</si>
  <si>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</si>
  <si>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</si>
  <si>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</si>
  <si>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</si>
  <si>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</si>
  <si>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</si>
  <si>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</si>
  <si>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</si>
  <si>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</si>
  <si>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</si>
  <si>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</si>
  <si>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</si>
  <si>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</si>
  <si>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</si>
  <si>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</si>
  <si>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</si>
  <si>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</si>
  <si>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</si>
  <si>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</si>
  <si>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</si>
  <si>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</si>
  <si>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</si>
  <si>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</si>
  <si>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</si>
  <si>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</si>
  <si>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</si>
  <si>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</si>
  <si>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</si>
  <si>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</si>
  <si>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</si>
  <si>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</si>
  <si>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</si>
  <si>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</si>
  <si>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</si>
  <si>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</si>
  <si>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</si>
  <si>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</si>
  <si>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</si>
  <si>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</si>
  <si>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</si>
  <si>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</si>
  <si>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</si>
  <si>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</si>
  <si>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</si>
  <si>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</si>
  <si>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</si>
  <si>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</si>
  <si>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</si>
  <si>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</si>
  <si>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</si>
  <si>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</si>
  <si>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</si>
  <si>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</si>
  <si>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</si>
  <si>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</si>
  <si>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</si>
  <si>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</si>
  <si>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</si>
  <si>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</si>
  <si>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</si>
  <si>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</si>
  <si>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</si>
  <si>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</si>
  <si>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</si>
  <si>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</si>
  <si>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</si>
  <si>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</si>
  <si>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</si>
  <si>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</si>
  <si>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</si>
  <si>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</si>
  <si>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</si>
  <si>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</si>
  <si>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</si>
  <si>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</si>
  <si>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</si>
  <si>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</si>
  <si>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</si>
  <si>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</si>
  <si>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</si>
  <si>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</si>
  <si>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</si>
  <si>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</si>
  <si>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</si>
  <si>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</si>
  <si>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</si>
  <si>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</si>
  <si>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</si>
  <si>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</si>
  <si>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</si>
  <si>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</si>
  <si>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</si>
  <si>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</si>
  <si>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</si>
  <si>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</si>
  <si>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</si>
  <si>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</si>
  <si>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</si>
  <si>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</si>
  <si>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</si>
  <si>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</si>
  <si>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</si>
  <si>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</si>
  <si>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</si>
  <si>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</si>
  <si>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</si>
  <si>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</si>
  <si>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</si>
  <si>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</si>
  <si>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</si>
  <si>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</si>
  <si>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</si>
  <si>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</si>
  <si>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</si>
  <si>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</si>
  <si>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</si>
  <si>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</si>
  <si>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</si>
  <si>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</si>
  <si>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</si>
  <si>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</si>
  <si>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</si>
  <si>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</si>
  <si>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</si>
  <si>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</si>
  <si>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</si>
  <si>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</si>
  <si>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</si>
  <si>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</si>
  <si>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</si>
  <si>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</si>
  <si>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</si>
  <si>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</si>
  <si>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</si>
  <si>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</si>
  <si>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</si>
  <si>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</si>
  <si>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</si>
  <si>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</si>
  <si>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</si>
  <si>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</si>
  <si>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</si>
  <si>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</si>
  <si>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</si>
  <si>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</si>
  <si>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</si>
  <si>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</si>
  <si>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</si>
  <si>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</si>
  <si>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</si>
  <si>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</si>
  <si>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</si>
  <si>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</si>
  <si>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</si>
  <si>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</si>
  <si>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</si>
  <si>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</si>
  <si>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</si>
  <si>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</si>
  <si>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</si>
  <si>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</si>
  <si>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</si>
  <si>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</si>
  <si>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</si>
  <si>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</si>
  <si>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</si>
  <si>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</si>
  <si>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</si>
  <si>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</si>
  <si>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</si>
  <si>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</si>
  <si>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</si>
  <si>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</si>
  <si>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</si>
  <si>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</si>
  <si>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</si>
  <si>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</si>
  <si>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</si>
  <si>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</si>
  <si>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</si>
  <si>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</si>
  <si>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</si>
  <si>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</si>
  <si>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</si>
  <si>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</si>
  <si>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</si>
  <si>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</si>
  <si>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</si>
  <si>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</si>
  <si>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</si>
  <si>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</si>
  <si>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</si>
  <si>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</si>
  <si>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</si>
  <si>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</si>
  <si>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</si>
  <si>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</si>
  <si>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</si>
  <si>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</si>
  <si>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</si>
  <si>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</si>
  <si>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</si>
  <si>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</si>
  <si>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</si>
  <si>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</si>
  <si>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</si>
  <si>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</si>
  <si>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</si>
  <si>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</si>
  <si>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</si>
  <si>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</si>
  <si>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</si>
  <si>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</si>
  <si>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</si>
  <si>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</si>
  <si>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</si>
  <si>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</si>
  <si>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</si>
  <si>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</si>
  <si>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</si>
  <si>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</si>
  <si>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</si>
  <si>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</si>
  <si>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</si>
  <si>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</si>
  <si>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</si>
  <si>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</si>
  <si>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</si>
  <si>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</si>
  <si>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</si>
  <si>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</si>
  <si>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</si>
  <si>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</si>
  <si>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</si>
  <si>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</si>
  <si>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</si>
  <si>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</si>
  <si>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</si>
  <si>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</si>
  <si>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</si>
  <si>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</si>
  <si>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</si>
  <si>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</si>
  <si>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</si>
  <si>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</si>
  <si>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</si>
  <si>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</si>
  <si>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</si>
  <si>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</si>
  <si>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</si>
  <si>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</si>
  <si>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</si>
  <si>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</si>
  <si>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</si>
  <si>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</si>
  <si>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</si>
  <si>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</si>
  <si>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</si>
  <si>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</si>
  <si>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</si>
  <si>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</si>
  <si>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</si>
  <si>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</si>
  <si>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</si>
  <si>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</si>
  <si>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</si>
  <si>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</si>
  <si>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</si>
  <si>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</si>
  <si>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</si>
  <si>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</si>
  <si>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</si>
  <si>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</si>
  <si>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</si>
  <si>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</si>
  <si>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</si>
  <si>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</si>
  <si>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</si>
  <si>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</si>
  <si>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</si>
  <si>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</si>
  <si>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</si>
  <si>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</si>
  <si>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</si>
  <si>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</si>
  <si>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</si>
  <si>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</si>
  <si>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</si>
  <si>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</si>
  <si>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</si>
  <si>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</si>
  <si>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</si>
  <si>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</si>
  <si>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</si>
  <si>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</si>
  <si>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</si>
  <si>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</si>
  <si>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</si>
  <si>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</si>
  <si>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</si>
  <si>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</si>
  <si>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</si>
  <si>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</si>
  <si>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</si>
  <si>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</si>
  <si>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</si>
  <si>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</si>
  <si>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</si>
  <si>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</si>
  <si>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</si>
  <si>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</si>
  <si>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</si>
  <si>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</si>
  <si>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</si>
  <si>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</si>
  <si>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</si>
  <si>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</si>
  <si>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</si>
  <si>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</si>
  <si>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</si>
  <si>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</si>
  <si>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</si>
  <si>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</si>
  <si>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</si>
  <si>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</si>
  <si>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</si>
  <si>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</si>
  <si>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</si>
  <si>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</si>
  <si>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</si>
  <si>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</si>
  <si>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</si>
  <si>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</si>
  <si>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</si>
  <si>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</si>
  <si>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</si>
  <si>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</si>
  <si>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</si>
  <si>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</si>
  <si>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</si>
  <si>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</si>
  <si>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</si>
  <si>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</si>
  <si>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</si>
  <si>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</si>
  <si>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</si>
  <si>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</si>
  <si>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</si>
  <si>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</si>
  <si>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</si>
  <si>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</si>
  <si>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</si>
  <si>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</si>
  <si>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</si>
  <si>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</si>
  <si>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</si>
  <si>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</si>
  <si>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</si>
  <si>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</si>
  <si>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</si>
  <si>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</si>
  <si>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</si>
  <si>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</si>
  <si>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</si>
  <si>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</si>
  <si>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</si>
  <si>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</si>
  <si>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</si>
  <si>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</si>
  <si>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</si>
  <si>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</si>
  <si>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</si>
  <si>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</si>
  <si>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</si>
  <si>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</si>
  <si>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</si>
  <si>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</si>
  <si>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</si>
  <si>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</si>
  <si>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</si>
  <si>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</si>
  <si>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</si>
  <si>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</si>
  <si>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</si>
  <si>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</si>
  <si>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</si>
  <si>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</si>
  <si>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</si>
  <si>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</si>
  <si>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</si>
  <si>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</si>
  <si>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</si>
  <si>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</si>
  <si>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</si>
  <si>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</si>
  <si>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</si>
  <si>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</si>
  <si>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</si>
  <si>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</si>
  <si>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</si>
  <si>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</si>
  <si>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</si>
  <si>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</si>
  <si>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</si>
  <si>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</si>
  <si>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</si>
  <si>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</si>
  <si>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</si>
  <si>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</si>
  <si>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</si>
  <si>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</si>
  <si>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</si>
  <si>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</si>
  <si>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</si>
  <si>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</si>
  <si>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</si>
  <si>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</si>
  <si>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</si>
  <si>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</si>
  <si>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</si>
  <si>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</si>
  <si>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</si>
  <si>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</si>
  <si>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</si>
  <si>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</si>
  <si>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</si>
  <si>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</si>
  <si>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</si>
  <si>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</si>
  <si>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</si>
  <si>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</si>
  <si>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</si>
  <si>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</si>
  <si>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</si>
  <si>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</si>
  <si>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</si>
  <si>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</si>
  <si>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</si>
  <si>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</si>
  <si>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</si>
  <si>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</si>
  <si>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</si>
  <si>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</si>
  <si>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</si>
  <si>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</si>
  <si>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</si>
  <si>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</si>
  <si>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</si>
  <si>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</si>
  <si>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</si>
  <si>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</si>
  <si>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</si>
  <si>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</si>
  <si>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</si>
  <si>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</si>
  <si>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</si>
  <si>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</si>
  <si>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</si>
  <si>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</si>
  <si>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</si>
  <si>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</si>
  <si>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</si>
  <si>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</si>
  <si>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</si>
  <si>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</si>
  <si>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</si>
  <si>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</si>
  <si>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</si>
  <si>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</si>
  <si>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</si>
  <si>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</si>
  <si>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</si>
  <si>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</si>
  <si>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</si>
  <si>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</si>
  <si>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</si>
  <si>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</si>
  <si>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</si>
  <si>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</si>
  <si>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</si>
  <si>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</si>
  <si>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</si>
  <si>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</si>
  <si>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</si>
  <si>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</si>
  <si>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</si>
  <si>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</si>
  <si>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</si>
  <si>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</si>
  <si>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</si>
  <si>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</si>
  <si>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</si>
  <si>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</si>
  <si>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</si>
  <si>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</si>
  <si>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</si>
  <si>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</si>
  <si>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</si>
  <si>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</si>
  <si>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</si>
  <si>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</si>
  <si>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</si>
  <si>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</si>
  <si>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</si>
  <si>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</si>
  <si>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</si>
  <si>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</si>
  <si>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</si>
  <si>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</si>
  <si>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</si>
  <si>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</si>
  <si>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</si>
  <si>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</si>
  <si>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</si>
  <si>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</si>
  <si>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</si>
  <si>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</si>
  <si>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</si>
  <si>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</si>
  <si>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</si>
  <si>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</si>
  <si>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</si>
  <si>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</si>
  <si>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</si>
  <si>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</si>
  <si>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</si>
  <si>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</si>
  <si>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</si>
  <si>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</si>
  <si>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</si>
  <si>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</si>
  <si>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</si>
  <si>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</si>
  <si>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</si>
  <si>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</si>
  <si>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</si>
  <si>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</si>
  <si>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</si>
  <si>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</si>
  <si>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</si>
  <si>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</si>
  <si>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</si>
  <si>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</si>
  <si>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</si>
  <si>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</si>
  <si>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</si>
  <si>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</si>
  <si>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</si>
  <si>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</si>
  <si>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</si>
  <si>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</si>
  <si>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</si>
  <si>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</si>
  <si>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</si>
  <si>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</si>
  <si>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</si>
  <si>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</si>
  <si>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</si>
  <si>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</si>
  <si>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</si>
  <si>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</si>
  <si>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</si>
  <si>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</si>
  <si>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</si>
  <si>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</si>
  <si>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</si>
  <si>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</si>
  <si>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</si>
  <si>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</si>
  <si>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</si>
  <si>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</si>
  <si>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</si>
  <si>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</si>
  <si>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</si>
  <si>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</si>
  <si>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</si>
  <si>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</si>
  <si>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</si>
  <si>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</si>
  <si>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</si>
  <si>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</si>
  <si>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</si>
  <si>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</si>
  <si>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</si>
  <si>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</si>
  <si>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</si>
  <si>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</si>
  <si>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</si>
  <si>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</si>
  <si>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</si>
  <si>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</si>
  <si>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</si>
  <si>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</si>
  <si>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</si>
  <si>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</si>
  <si>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</si>
  <si>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</si>
  <si>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</si>
  <si>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</si>
  <si>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</si>
  <si>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</si>
  <si>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</si>
  <si>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</si>
  <si>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</si>
  <si>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</si>
  <si>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</si>
  <si>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</si>
  <si>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</si>
  <si>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</si>
  <si>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</si>
  <si>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</si>
  <si>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</si>
  <si>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</si>
  <si>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</si>
  <si>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</si>
  <si>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</si>
  <si>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</si>
  <si>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</si>
  <si>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</si>
  <si>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</si>
  <si>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</si>
  <si>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</si>
  <si>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</si>
  <si>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</si>
  <si>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</si>
  <si>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</si>
  <si>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</si>
  <si>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</si>
  <si>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</si>
  <si>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</si>
  <si>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</si>
  <si>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</si>
  <si>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</si>
  <si>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</si>
  <si>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</si>
  <si>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</si>
  <si>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</si>
  <si>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</si>
  <si>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</si>
  <si>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</si>
  <si>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</si>
  <si>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</si>
  <si>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</si>
  <si>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</si>
  <si>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</si>
  <si>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</si>
  <si>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</si>
  <si>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</si>
  <si>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</si>
  <si>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</si>
  <si>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</si>
  <si>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</si>
  <si>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</si>
  <si>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</si>
  <si>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</si>
  <si>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</si>
  <si>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</si>
  <si>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</si>
  <si>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</si>
  <si>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</si>
  <si>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</si>
  <si>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</si>
  <si>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</si>
  <si>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</si>
  <si>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</si>
  <si>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</si>
  <si>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</si>
  <si>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</si>
  <si>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</si>
  <si>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</si>
  <si>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</si>
  <si>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</si>
  <si>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</si>
  <si>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</si>
  <si>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</si>
  <si>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</si>
  <si>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</si>
  <si>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</si>
  <si>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</si>
  <si>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</si>
  <si>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</si>
  <si>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</si>
  <si>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</si>
  <si>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</si>
  <si>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</si>
  <si>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</si>
  <si>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</si>
  <si>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</si>
  <si>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</si>
  <si>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</si>
  <si>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</si>
  <si>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</si>
  <si>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</si>
  <si>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</si>
  <si>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</si>
  <si>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</si>
  <si>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</si>
  <si>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</si>
  <si>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</si>
  <si>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</si>
  <si>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</si>
  <si>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</si>
  <si>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</si>
  <si>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</si>
  <si>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</si>
  <si>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</si>
  <si>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</si>
  <si>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</si>
  <si>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</si>
  <si>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</si>
  <si>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</si>
  <si>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</si>
  <si>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</si>
  <si>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</si>
  <si>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</si>
  <si>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</si>
  <si>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</si>
  <si>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</si>
  <si>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</si>
  <si>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</si>
  <si>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</si>
  <si>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</si>
  <si>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</si>
  <si>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</si>
  <si>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</si>
  <si>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</si>
  <si>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</si>
  <si>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</si>
  <si>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</si>
  <si>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</si>
  <si>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</si>
  <si>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</si>
  <si>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</si>
  <si>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</si>
  <si>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</si>
  <si>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</si>
  <si>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</si>
  <si>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</si>
  <si>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</si>
  <si>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</si>
  <si>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</si>
  <si>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</si>
  <si>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</si>
  <si>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</si>
  <si>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</si>
  <si>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</si>
  <si>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</si>
  <si>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</si>
  <si>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</si>
  <si>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</si>
  <si>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</si>
  <si>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</si>
  <si>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</si>
  <si>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</si>
  <si>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</si>
  <si>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</si>
  <si>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</si>
  <si>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</si>
  <si>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</si>
  <si>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</si>
  <si>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</si>
  <si>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</si>
  <si>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</si>
  <si>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</si>
  <si>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</si>
  <si>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</si>
  <si>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</si>
  <si>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</si>
  <si>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</si>
  <si>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</si>
  <si>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</si>
  <si>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</si>
  <si>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</si>
  <si>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</si>
  <si>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</si>
  <si>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</si>
  <si>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</si>
  <si>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</si>
  <si>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</si>
  <si>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</si>
  <si>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</si>
  <si>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</si>
  <si>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</si>
  <si>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</si>
  <si>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</si>
  <si>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</si>
  <si>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</si>
  <si>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</si>
  <si>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</si>
  <si>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</si>
  <si>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</si>
  <si>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</si>
  <si>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</si>
  <si>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</si>
  <si>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</si>
  <si>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</si>
  <si>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</si>
  <si>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</si>
  <si>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</si>
  <si>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</si>
  <si>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</si>
  <si>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</si>
  <si>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</si>
  <si>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</si>
  <si>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</si>
  <si>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</si>
  <si>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</si>
  <si>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</si>
  <si>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</si>
  <si>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</si>
  <si>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</si>
  <si>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</si>
  <si>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</si>
  <si>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</si>
  <si>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</si>
  <si>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</si>
  <si>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</si>
  <si>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</si>
  <si>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</si>
  <si>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</si>
  <si>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</si>
  <si>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</si>
  <si>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</si>
  <si>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</si>
  <si>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</si>
  <si>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</si>
  <si>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</si>
  <si>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</si>
  <si>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</si>
  <si>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</si>
  <si>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</si>
  <si>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</si>
  <si>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</si>
  <si>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</si>
  <si>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</si>
  <si>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</si>
  <si>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</si>
  <si>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</si>
  <si>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</si>
  <si>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</si>
  <si>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</si>
  <si>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</si>
  <si>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</si>
  <si>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</si>
  <si>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</si>
  <si>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</si>
  <si>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</si>
  <si>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</si>
  <si>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</si>
  <si>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</si>
  <si>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</si>
  <si>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</si>
  <si>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</si>
  <si>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</si>
  <si>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</si>
  <si>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</si>
  <si>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</si>
  <si>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</si>
  <si>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</si>
  <si>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</si>
  <si>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</si>
  <si>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</si>
  <si>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</si>
  <si>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</si>
  <si>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</si>
  <si>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</si>
  <si>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</si>
  <si>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</si>
  <si>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</si>
  <si>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</si>
  <si>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</si>
  <si>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</si>
  <si>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</si>
  <si>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</si>
  <si>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</si>
  <si>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</si>
  <si>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</si>
  <si>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</si>
  <si>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</si>
  <si>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</si>
  <si>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</si>
  <si>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</si>
  <si>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</si>
  <si>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</si>
  <si>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</si>
  <si>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</si>
  <si>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</si>
  <si>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</si>
  <si>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</si>
  <si>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</si>
  <si>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</si>
  <si>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</si>
  <si>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</si>
  <si>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</si>
  <si>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</si>
  <si>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</si>
  <si>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</si>
  <si>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</si>
  <si>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</si>
  <si>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</si>
  <si>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</si>
  <si>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</si>
  <si>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</si>
  <si>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</si>
  <si>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</si>
  <si>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</si>
  <si>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</si>
  <si>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</si>
  <si>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</si>
  <si>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</si>
  <si>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</si>
  <si>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</si>
  <si>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</si>
  <si>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</si>
  <si>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</si>
  <si>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</si>
  <si>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</si>
  <si>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</si>
  <si>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</si>
  <si>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</si>
  <si>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</si>
  <si>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</si>
  <si>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</si>
  <si>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</si>
  <si>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</si>
  <si>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</si>
  <si>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</si>
  <si>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</si>
  <si>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</si>
  <si>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</si>
  <si>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</si>
  <si>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</si>
  <si>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</si>
  <si>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</si>
  <si>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</si>
  <si>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</si>
  <si>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</si>
  <si>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</si>
  <si>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</si>
  <si>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</si>
  <si>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</si>
  <si>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</si>
  <si>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</si>
  <si>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</si>
  <si>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</si>
  <si>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</si>
  <si>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</si>
  <si>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</si>
  <si>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</si>
  <si>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</si>
  <si>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</si>
  <si>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</si>
  <si>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</si>
  <si>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</si>
  <si>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</si>
  <si>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</si>
  <si>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</si>
  <si>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</si>
  <si>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</si>
  <si>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</si>
  <si>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</si>
  <si>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</si>
  <si>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</si>
  <si>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</si>
  <si>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</si>
  <si>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</si>
  <si>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</si>
  <si>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</si>
  <si>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</si>
  <si>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</si>
  <si>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</si>
  <si>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</si>
  <si>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</si>
  <si>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</si>
  <si>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</si>
  <si>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</si>
  <si>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</si>
  <si>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</si>
  <si>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</si>
  <si>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</si>
  <si>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</si>
  <si>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</si>
  <si>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</si>
  <si>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</si>
  <si>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</si>
  <si>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</si>
  <si>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</si>
  <si>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</si>
  <si>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</si>
  <si>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</si>
  <si>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</si>
  <si>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</si>
  <si>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</si>
  <si>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</si>
  <si>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</si>
  <si>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</si>
  <si>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</si>
  <si>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</si>
  <si>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</si>
  <si>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</si>
  <si>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</si>
  <si>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</si>
  <si>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</si>
  <si>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</si>
  <si>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</si>
  <si>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</si>
  <si>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</si>
  <si>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</si>
  <si>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</si>
  <si>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</si>
  <si>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</si>
  <si>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</si>
  <si>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</si>
  <si>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</si>
  <si>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</si>
  <si>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</si>
  <si>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</si>
  <si>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</si>
  <si>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</si>
  <si>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</si>
  <si>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</si>
  <si>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</si>
  <si>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</si>
  <si>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</si>
  <si>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</si>
  <si>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</si>
  <si>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</si>
  <si>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</si>
  <si>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</si>
  <si>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</si>
  <si>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</si>
  <si>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</si>
  <si>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</si>
  <si>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</si>
  <si>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</si>
  <si>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</si>
  <si>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</si>
  <si>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</si>
  <si>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</si>
  <si>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</si>
  <si>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</si>
  <si>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</si>
  <si>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</si>
  <si>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</si>
  <si>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</si>
  <si>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</si>
  <si>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</si>
  <si>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</si>
  <si>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</si>
  <si>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</si>
  <si>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</si>
  <si>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</si>
  <si>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</si>
  <si>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</si>
  <si>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</si>
  <si>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</si>
  <si>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</si>
  <si>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</si>
  <si>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</si>
  <si>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</si>
  <si>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</si>
  <si>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</si>
  <si>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</si>
  <si>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</si>
  <si>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</si>
  <si>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</si>
  <si>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</si>
  <si>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</si>
  <si>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</si>
  <si>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</si>
  <si>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</si>
  <si>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</si>
  <si>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</si>
  <si>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</si>
  <si>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</si>
  <si>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</si>
  <si>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</si>
  <si>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</si>
  <si>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</si>
  <si>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</si>
  <si>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</si>
  <si>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</si>
  <si>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</si>
  <si>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</si>
  <si>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</si>
  <si>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</si>
  <si>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</si>
  <si>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</si>
  <si>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</si>
  <si>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</si>
  <si>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</si>
  <si>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</si>
  <si>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</si>
  <si>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</si>
  <si>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</si>
  <si>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</si>
  <si>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</si>
  <si>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</si>
  <si>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</si>
  <si>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</si>
  <si>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</si>
  <si>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</si>
  <si>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</si>
  <si>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</si>
  <si>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</si>
  <si>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</si>
  <si>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</si>
  <si>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</si>
  <si>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</si>
  <si>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</si>
  <si>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</si>
  <si>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</si>
  <si>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</si>
  <si>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</si>
  <si>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</si>
  <si>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</si>
  <si>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</si>
  <si>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</si>
  <si>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</si>
  <si>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</si>
  <si>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</si>
  <si>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</si>
  <si>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</si>
  <si>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</si>
  <si>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</si>
  <si>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</si>
  <si>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</si>
  <si>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</si>
  <si>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</si>
  <si>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</si>
  <si>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</si>
  <si>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</si>
  <si>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</si>
  <si>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</si>
  <si>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</si>
  <si>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</si>
  <si>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</si>
  <si>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</si>
  <si>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</si>
  <si>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</si>
  <si>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</si>
  <si>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</si>
  <si>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</si>
  <si>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</si>
  <si>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</si>
  <si>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</si>
  <si>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</si>
  <si>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</si>
  <si>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</si>
  <si>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</si>
  <si>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</si>
  <si>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</si>
  <si>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</si>
  <si>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</si>
  <si>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</si>
  <si>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</si>
  <si>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</si>
  <si>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</si>
  <si>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</si>
  <si>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</si>
  <si>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</si>
  <si>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</si>
  <si>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</si>
  <si>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</si>
  <si>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</si>
  <si>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</si>
  <si>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</si>
  <si>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</si>
  <si>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</si>
  <si>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</si>
  <si>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</si>
  <si>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</si>
  <si>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</si>
  <si>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</si>
  <si>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</si>
  <si>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</si>
  <si>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</si>
  <si>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</si>
  <si>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</si>
  <si>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</si>
  <si>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</si>
  <si>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</si>
  <si>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</si>
  <si>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</si>
  <si>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</si>
  <si>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</si>
  <si>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</si>
  <si>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</si>
  <si>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</si>
  <si>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</si>
  <si>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</si>
  <si>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</si>
  <si>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</si>
  <si>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</si>
  <si>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</si>
  <si>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</si>
  <si>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</si>
  <si>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</si>
  <si>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</si>
  <si>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</si>
  <si>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</si>
  <si>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</si>
  <si>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</si>
  <si>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</si>
  <si>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</si>
  <si>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</si>
  <si>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</si>
  <si>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</si>
  <si>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</si>
  <si>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</si>
  <si>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</si>
  <si>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</si>
  <si>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</si>
  <si>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</si>
  <si>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</si>
  <si>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</si>
  <si>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</si>
  <si>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</si>
  <si>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</si>
  <si>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</si>
  <si>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</si>
  <si>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</si>
  <si>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</si>
  <si>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</si>
  <si>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</si>
  <si>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</si>
  <si>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</si>
  <si>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</si>
  <si>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</si>
  <si>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</si>
  <si>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</si>
  <si>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</si>
  <si>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</si>
  <si>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</si>
  <si>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</si>
  <si>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</si>
  <si>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</si>
  <si>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</si>
  <si>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</si>
  <si>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</si>
  <si>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</si>
  <si>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</si>
  <si>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</si>
  <si>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</si>
  <si>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</si>
  <si>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</si>
  <si>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</si>
  <si>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</si>
  <si>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</si>
  <si>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</si>
  <si>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</si>
  <si>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</si>
  <si>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</si>
  <si>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</si>
  <si>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</si>
  <si>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</si>
  <si>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</si>
  <si>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</si>
  <si>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</si>
  <si>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</si>
  <si>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</si>
  <si>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</si>
  <si>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</si>
  <si>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</si>
  <si>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</si>
  <si>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</si>
  <si>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</si>
  <si>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</si>
  <si>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</si>
  <si>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</si>
  <si>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</si>
  <si>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</si>
  <si>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</si>
  <si>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</si>
  <si>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</si>
  <si>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</si>
  <si>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</si>
  <si>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</si>
  <si>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</si>
  <si>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</si>
  <si>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</si>
  <si>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</si>
  <si>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</si>
  <si>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</si>
  <si>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</si>
  <si>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</si>
  <si>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</si>
  <si>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</si>
  <si>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</si>
  <si>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</si>
  <si>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</si>
  <si>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</si>
  <si>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</si>
  <si>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</si>
  <si>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</si>
  <si>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</si>
  <si>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</si>
  <si>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</si>
  <si>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</si>
  <si>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</si>
  <si>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</si>
  <si>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</si>
  <si>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</si>
  <si>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</si>
  <si>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</si>
  <si>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</si>
  <si>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</si>
  <si>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</si>
  <si>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</si>
  <si>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</si>
  <si>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</si>
  <si>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</si>
  <si>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</si>
  <si>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</si>
  <si>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</si>
  <si>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</si>
  <si>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</si>
  <si>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</si>
  <si>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</si>
  <si>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</si>
  <si>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</si>
  <si>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</si>
  <si>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</si>
  <si>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</si>
  <si>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</si>
  <si>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</si>
  <si>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</si>
  <si>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</si>
  <si>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</si>
  <si>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</si>
  <si>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</si>
  <si>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</si>
  <si>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</si>
  <si>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</si>
  <si>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</si>
  <si>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</si>
  <si>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</si>
  <si>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</si>
  <si>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</si>
  <si>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</si>
  <si>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</si>
  <si>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</si>
  <si>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</si>
  <si>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</si>
  <si>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</si>
  <si>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</si>
  <si>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</si>
  <si>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</si>
  <si>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</si>
  <si>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</si>
  <si>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</si>
  <si>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</si>
  <si>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</si>
  <si>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</si>
  <si>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</si>
  <si>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</si>
  <si>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</si>
  <si>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</si>
  <si>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</si>
  <si>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</si>
  <si>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</si>
  <si>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</si>
  <si>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</si>
  <si>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</si>
  <si>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</si>
  <si>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</si>
  <si>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</si>
  <si>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</si>
  <si>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</si>
  <si>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</si>
  <si>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</si>
  <si>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</si>
  <si>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</si>
  <si>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</si>
  <si>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</si>
  <si>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</si>
  <si>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</si>
  <si>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</si>
  <si>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</si>
  <si>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</si>
  <si>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</si>
  <si>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</si>
  <si>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</si>
  <si>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</si>
  <si>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</si>
  <si>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</si>
  <si>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</si>
  <si>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</si>
  <si>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</si>
  <si>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</si>
  <si>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</si>
  <si>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</si>
  <si>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</si>
  <si>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</si>
  <si>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</si>
  <si>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</si>
  <si>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</si>
  <si>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</si>
  <si>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</si>
  <si>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</si>
  <si>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</si>
  <si>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</si>
  <si>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</si>
  <si>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</si>
  <si>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</si>
  <si>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</si>
  <si>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</si>
  <si>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</si>
  <si>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</si>
  <si>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</si>
  <si>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</si>
  <si>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</si>
  <si>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</si>
  <si>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</si>
  <si>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</si>
  <si>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</si>
  <si>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</si>
  <si>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</si>
  <si>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</si>
  <si>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</si>
  <si>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</si>
  <si>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</si>
  <si>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</si>
  <si>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</si>
  <si>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</si>
  <si>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</si>
  <si>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</si>
  <si>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</si>
  <si>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</si>
  <si>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</si>
  <si>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</si>
  <si>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</si>
  <si>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</si>
  <si>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</si>
  <si>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</si>
  <si>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</si>
  <si>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</si>
  <si>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</si>
  <si>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</si>
  <si>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</si>
  <si>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</si>
  <si>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</si>
  <si>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</si>
  <si>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</si>
  <si>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</si>
  <si>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</si>
  <si>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</si>
  <si>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</si>
  <si>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</si>
  <si>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</si>
  <si>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</si>
  <si>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</si>
  <si>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</si>
  <si>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</si>
  <si>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</si>
  <si>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</si>
  <si>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</si>
  <si>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</si>
  <si>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</si>
  <si>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</si>
  <si>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</si>
  <si>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</si>
  <si>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</si>
  <si>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</si>
  <si>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</si>
  <si>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</si>
  <si>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</si>
  <si>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</si>
  <si>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</si>
  <si>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</si>
  <si>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</si>
  <si>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</si>
  <si>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</si>
  <si>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</si>
  <si>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</si>
  <si>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</si>
  <si>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</si>
  <si>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</si>
  <si>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</si>
  <si>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</si>
  <si>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</si>
  <si>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</si>
  <si>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</si>
  <si>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</si>
  <si>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</si>
  <si>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</si>
  <si>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</si>
  <si>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</si>
  <si>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</si>
  <si>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</si>
  <si>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</si>
  <si>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</si>
  <si>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</si>
  <si>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</si>
  <si>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</si>
  <si>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</si>
  <si>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</si>
  <si>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</si>
  <si>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</si>
  <si>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</si>
  <si>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</si>
  <si>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</si>
  <si>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</si>
  <si>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</si>
  <si>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</si>
  <si>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</si>
  <si>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</si>
  <si>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</si>
  <si>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</si>
  <si>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</si>
  <si>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</si>
  <si>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</si>
  <si>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</si>
  <si>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</si>
  <si>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</si>
  <si>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</si>
  <si>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</si>
  <si>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</si>
  <si>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</si>
  <si>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</si>
  <si>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</si>
  <si>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</si>
  <si>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</si>
  <si>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</si>
  <si>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</si>
  <si>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</si>
  <si>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</si>
  <si>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</si>
  <si>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</si>
  <si>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</si>
  <si>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</si>
  <si>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</si>
  <si>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</si>
  <si>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</si>
  <si>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</si>
  <si>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</si>
  <si>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</si>
  <si>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</si>
  <si>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</si>
  <si>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</si>
  <si>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</si>
  <si>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</si>
  <si>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</si>
  <si>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</si>
  <si>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</si>
  <si>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</si>
  <si>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</si>
  <si>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</si>
  <si>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</si>
  <si>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</si>
  <si>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</si>
  <si>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</si>
  <si>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</si>
  <si>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</si>
  <si>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</si>
  <si>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</si>
  <si>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</si>
  <si>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</si>
  <si>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</si>
  <si>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</si>
  <si>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</si>
  <si>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</si>
  <si>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</si>
  <si>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</si>
  <si>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</si>
  <si>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</si>
  <si>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</si>
  <si>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</si>
  <si>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</si>
  <si>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</si>
  <si>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</si>
  <si>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</si>
  <si>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</si>
  <si>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</si>
  <si>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</si>
  <si>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</si>
  <si>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</si>
  <si>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</si>
  <si>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</si>
  <si>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</si>
  <si>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</si>
  <si>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</si>
  <si>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</si>
  <si>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</si>
  <si>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</si>
  <si>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</si>
  <si>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</si>
  <si>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</si>
  <si>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</si>
  <si>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</si>
  <si>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</si>
  <si>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</si>
  <si>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</si>
  <si>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</si>
  <si>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</si>
  <si>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</si>
  <si>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</si>
  <si>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</si>
  <si>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</si>
  <si>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</si>
  <si>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</si>
  <si>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</si>
  <si>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</si>
  <si>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</si>
  <si>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</si>
  <si>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</si>
  <si>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</si>
  <si>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</si>
  <si>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</si>
  <si>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</si>
  <si>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</si>
  <si>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</si>
  <si>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</si>
  <si>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</si>
  <si>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</si>
  <si>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</si>
  <si>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</si>
  <si>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</si>
  <si>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</si>
  <si>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</si>
  <si>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</si>
  <si>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</si>
  <si>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</si>
  <si>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</si>
  <si>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</si>
  <si>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</si>
  <si>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</si>
  <si>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</si>
  <si>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</si>
  <si>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</si>
  <si>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</si>
  <si>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</si>
  <si>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</si>
  <si>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</si>
  <si>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</si>
  <si>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</si>
  <si>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</si>
  <si>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</si>
  <si>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</si>
  <si>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</si>
  <si>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</si>
  <si>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</si>
  <si>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</si>
  <si>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</si>
  <si>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</si>
  <si>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</si>
  <si>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</si>
  <si>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</si>
  <si>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</si>
  <si>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</si>
  <si>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</si>
  <si>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</si>
  <si>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</si>
  <si>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</si>
  <si>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</si>
  <si>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</si>
  <si>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</si>
  <si>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</si>
  <si>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</si>
  <si>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</si>
  <si>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</si>
  <si>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</si>
  <si>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</si>
  <si>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</si>
  <si>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</si>
  <si>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</si>
  <si>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</si>
  <si>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</si>
  <si>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</si>
  <si>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</si>
  <si>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</si>
  <si>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</si>
  <si>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</si>
  <si>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</si>
  <si>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</si>
  <si>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</si>
  <si>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</si>
  <si>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</si>
  <si>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</si>
  <si>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</si>
  <si>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</si>
  <si>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</si>
  <si>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</si>
  <si>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</si>
  <si>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</si>
  <si>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</si>
  <si>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</si>
  <si>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</si>
  <si>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</si>
  <si>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</si>
  <si>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</si>
  <si>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</si>
  <si>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</si>
  <si>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</si>
  <si>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</si>
  <si>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</si>
  <si>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</si>
  <si>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</si>
  <si>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</si>
  <si>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</si>
  <si>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</si>
  <si>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</si>
  <si>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</si>
  <si>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</si>
  <si>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</si>
  <si>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</si>
  <si>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</si>
  <si>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</si>
  <si>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</si>
  <si>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</si>
  <si>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</si>
  <si>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</si>
  <si>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</si>
  <si>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</si>
  <si>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</si>
  <si>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</si>
  <si>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</si>
  <si>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</si>
  <si>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</si>
  <si>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</si>
  <si>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</si>
  <si>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</si>
  <si>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</si>
  <si>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</si>
  <si>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</si>
  <si>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</si>
  <si>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</si>
  <si>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</si>
  <si>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</si>
  <si>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</si>
  <si>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</si>
  <si>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</si>
  <si>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</si>
  <si>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</si>
  <si>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</si>
  <si>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</si>
  <si>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</si>
  <si>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</si>
  <si>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</si>
  <si>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</si>
  <si>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</si>
  <si>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</si>
  <si>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</si>
  <si>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</si>
  <si>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</si>
  <si>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</si>
  <si>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</si>
  <si>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</si>
  <si>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</si>
  <si>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</si>
  <si>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</si>
  <si>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</si>
  <si>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</si>
  <si>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</si>
  <si>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</si>
  <si>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</si>
  <si>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</si>
  <si>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</si>
  <si>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</si>
  <si>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</si>
  <si>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</si>
  <si>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</si>
  <si>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</si>
  <si>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</si>
  <si>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</si>
  <si>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</si>
  <si>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</si>
  <si>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</si>
  <si>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</si>
  <si>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</si>
  <si>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</si>
  <si>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</si>
  <si>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</si>
  <si>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</si>
  <si>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</si>
  <si>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</si>
  <si>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</si>
  <si>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</si>
  <si>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</si>
  <si>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</si>
  <si>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</si>
  <si>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</si>
  <si>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</si>
  <si>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</si>
  <si>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</si>
  <si>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</si>
  <si>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</si>
  <si>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</si>
  <si>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</si>
  <si>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</si>
  <si>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</si>
  <si>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</si>
  <si>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</si>
  <si>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</si>
  <si>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</si>
  <si>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</si>
  <si>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</si>
  <si>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</si>
  <si>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</si>
  <si>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</si>
  <si>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</si>
  <si>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</si>
  <si>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</si>
  <si>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</si>
  <si>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</si>
  <si>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</si>
  <si>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</si>
  <si>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</si>
  <si>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</si>
  <si>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</si>
  <si>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</si>
  <si>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</si>
  <si>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</si>
  <si>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</si>
  <si>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</si>
  <si>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</si>
  <si>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</si>
  <si>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</si>
  <si>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</si>
  <si>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</si>
  <si>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</si>
  <si>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</si>
  <si>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</si>
  <si>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</si>
  <si>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</si>
  <si>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</si>
  <si>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</si>
  <si>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</si>
  <si>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</si>
  <si>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</si>
  <si>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</si>
  <si>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</si>
  <si>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</si>
  <si>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</si>
  <si>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</si>
  <si>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</si>
  <si>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</si>
  <si>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</si>
  <si>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</si>
  <si>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</si>
  <si>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</si>
  <si>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</si>
  <si>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</si>
  <si>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</si>
  <si>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</si>
  <si>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</si>
  <si>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</si>
  <si>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</si>
  <si>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</si>
  <si>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</si>
  <si>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</si>
  <si>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</si>
  <si>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</si>
  <si>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</si>
  <si>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</si>
  <si>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</si>
  <si>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</si>
  <si>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</si>
  <si>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</si>
  <si>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</si>
  <si>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</si>
  <si>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</si>
  <si>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</si>
  <si>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</si>
  <si>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</si>
  <si>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</si>
  <si>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</si>
  <si>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</si>
  <si>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</si>
  <si>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</si>
  <si>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</si>
  <si>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</si>
  <si>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</si>
  <si>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</si>
  <si>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</si>
  <si>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</si>
  <si>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</si>
  <si>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</si>
  <si>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</si>
  <si>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</si>
  <si>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</si>
  <si>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</si>
  <si>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</si>
  <si>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</si>
  <si>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</si>
  <si>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</si>
  <si>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</si>
  <si>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</si>
  <si>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</si>
  <si>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</si>
  <si>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</si>
  <si>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</si>
  <si>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</si>
  <si>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</si>
  <si>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</si>
  <si>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</si>
  <si>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</si>
  <si>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</si>
  <si>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</si>
  <si>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</si>
  <si>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</si>
  <si>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</si>
  <si>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</si>
  <si>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</si>
  <si>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</si>
  <si>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</si>
  <si>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</si>
  <si>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</si>
  <si>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</si>
  <si>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</si>
  <si>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</si>
  <si>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</si>
  <si>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</si>
  <si>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</si>
  <si>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</si>
  <si>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</si>
  <si>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</si>
  <si>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</si>
  <si>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</si>
  <si>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</si>
  <si>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</si>
  <si>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</si>
  <si>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</si>
  <si>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</si>
  <si>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</si>
  <si>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</si>
  <si>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</si>
  <si>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</si>
  <si>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</si>
  <si>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</si>
  <si>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</si>
  <si>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</si>
  <si>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</si>
  <si>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</si>
  <si>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</si>
  <si>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</si>
  <si>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</si>
  <si>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</si>
  <si>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</si>
  <si>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</si>
  <si>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</si>
  <si>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</si>
  <si>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</si>
  <si>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</si>
  <si>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</si>
  <si>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</si>
  <si>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</si>
  <si>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</si>
  <si>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</si>
  <si>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</si>
  <si>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</si>
  <si>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</si>
  <si>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</si>
  <si>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</si>
  <si>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</si>
  <si>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</si>
  <si>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</si>
  <si>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</si>
  <si>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</si>
  <si>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</si>
  <si>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</si>
  <si>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</si>
  <si>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</si>
  <si>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</si>
  <si>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</si>
  <si>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</si>
  <si>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</si>
  <si>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</si>
  <si>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</si>
  <si>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</si>
  <si>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</si>
  <si>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</si>
  <si>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</si>
  <si>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</si>
  <si>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</si>
  <si>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</si>
  <si>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</si>
  <si>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</si>
  <si>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</si>
  <si>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</si>
  <si>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</si>
  <si>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</si>
  <si>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</si>
  <si>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</si>
  <si>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</si>
  <si>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</si>
  <si>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</si>
  <si>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</si>
  <si>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</si>
  <si>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</si>
  <si>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</si>
  <si>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</si>
  <si>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</si>
  <si>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</si>
  <si>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</si>
  <si>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</si>
  <si>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</si>
  <si>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</si>
  <si>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</si>
  <si>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</si>
  <si>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</si>
  <si>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</si>
  <si>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</si>
  <si>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</si>
  <si>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</si>
  <si>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</si>
  <si>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</si>
  <si>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</si>
  <si>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</si>
  <si>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</si>
  <si>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</si>
  <si>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</si>
  <si>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</si>
  <si>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</si>
  <si>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</si>
  <si>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</si>
  <si>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</si>
  <si>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</si>
  <si>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</si>
  <si>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</si>
  <si>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</si>
  <si>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</si>
  <si>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</si>
  <si>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</si>
  <si>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</si>
  <si>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</si>
  <si>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</si>
  <si>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</si>
  <si>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</si>
  <si>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</si>
  <si>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</si>
  <si>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</si>
  <si>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</si>
  <si>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</si>
  <si>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</si>
  <si>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</si>
  <si>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</si>
  <si>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</si>
  <si>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</si>
  <si>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</si>
  <si>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</si>
  <si>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</si>
  <si>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</si>
  <si>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</si>
  <si>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</si>
  <si>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</si>
  <si>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</si>
  <si>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</si>
  <si>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</si>
  <si>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</si>
  <si>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</si>
  <si>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</si>
  <si>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</si>
  <si>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</si>
  <si>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</si>
  <si>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</si>
  <si>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</si>
  <si>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</si>
  <si>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</si>
  <si>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</si>
  <si>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</si>
  <si>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</si>
  <si>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</si>
  <si>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</si>
  <si>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</si>
  <si>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</si>
  <si>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</si>
  <si>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</si>
  <si>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</si>
  <si>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</si>
  <si>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</si>
  <si>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</si>
  <si>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</si>
  <si>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</si>
  <si>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</si>
  <si>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</si>
  <si>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</si>
  <si>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</si>
  <si>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</si>
  <si>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</si>
  <si>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</si>
  <si>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</si>
  <si>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</si>
  <si>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</si>
  <si>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</si>
  <si>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</si>
  <si>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</si>
  <si>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</si>
  <si>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</si>
  <si>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</si>
  <si>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</si>
  <si>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</si>
  <si>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</si>
  <si>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</si>
  <si>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</si>
  <si>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</si>
  <si>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</si>
  <si>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</si>
  <si>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</si>
  <si>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</si>
  <si>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</si>
  <si>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</si>
  <si>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</si>
  <si>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</si>
  <si>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</si>
  <si>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</si>
  <si>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</si>
  <si>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</si>
  <si>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</si>
  <si>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</si>
  <si>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</si>
  <si>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</si>
  <si>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</si>
  <si>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</si>
  <si>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</si>
  <si>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</si>
  <si>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</si>
  <si>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</si>
  <si>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</si>
  <si>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</si>
  <si>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</si>
  <si>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</si>
  <si>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</si>
  <si>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</si>
  <si>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</si>
  <si>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</si>
  <si>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</si>
  <si>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</si>
  <si>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</si>
  <si>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</si>
  <si>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</si>
  <si>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</si>
  <si>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</si>
  <si>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</si>
  <si>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</si>
  <si>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</si>
  <si>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</si>
  <si>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</si>
  <si>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</si>
  <si>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</si>
  <si>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</si>
  <si>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</si>
  <si>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</si>
  <si>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</si>
  <si>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</si>
  <si>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</si>
  <si>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</si>
  <si>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</si>
  <si>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</si>
  <si>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</si>
  <si>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</si>
  <si>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</si>
  <si>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</si>
  <si>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</si>
  <si>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</si>
  <si>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</si>
  <si>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</si>
  <si>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</si>
  <si>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</si>
  <si>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</si>
  <si>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</si>
  <si>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</si>
  <si>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</si>
  <si>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</si>
  <si>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</si>
  <si>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</si>
  <si>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</si>
  <si>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</si>
  <si>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</si>
  <si>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</si>
  <si>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</si>
  <si>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</si>
  <si>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</si>
  <si>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</si>
  <si>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</si>
  <si>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</si>
  <si>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</si>
  <si>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</si>
  <si>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</si>
  <si>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</si>
  <si>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</si>
  <si>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</si>
  <si>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</si>
  <si>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</si>
  <si>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</si>
  <si>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</si>
  <si>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</si>
  <si>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</si>
  <si>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</si>
  <si>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</si>
  <si>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</si>
  <si>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</si>
  <si>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</si>
  <si>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</si>
  <si>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</si>
  <si>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</si>
  <si>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</si>
  <si>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</si>
  <si>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</si>
  <si>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</si>
  <si>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</si>
  <si>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</si>
  <si>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</si>
  <si>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</si>
  <si>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</si>
  <si>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</si>
  <si>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</si>
  <si>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</si>
  <si>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</si>
  <si>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</si>
  <si>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</si>
  <si>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</si>
  <si>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</si>
  <si>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</si>
  <si>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</si>
  <si>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</si>
  <si>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</si>
  <si>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</si>
  <si>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</si>
  <si>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</si>
  <si>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</si>
  <si>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</si>
  <si>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</si>
  <si>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</si>
  <si>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</si>
  <si>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</si>
  <si>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</si>
  <si>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</si>
  <si>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</si>
  <si>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</si>
  <si>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</si>
  <si>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</si>
  <si>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</si>
  <si>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</si>
  <si>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</si>
  <si>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</si>
  <si>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</si>
  <si>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</si>
  <si>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</si>
  <si>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</si>
  <si>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</si>
  <si>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</si>
  <si>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</si>
  <si>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</si>
  <si>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</si>
  <si>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</si>
  <si>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</si>
  <si>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</si>
  <si>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</si>
  <si>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</si>
  <si>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</si>
  <si>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</si>
  <si>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</si>
  <si>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</si>
  <si>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</si>
  <si>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</si>
  <si>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</si>
  <si>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</si>
  <si>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</si>
  <si>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</si>
  <si>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</si>
  <si>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</si>
  <si>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</si>
  <si>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</si>
  <si>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</si>
  <si>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</si>
  <si>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</si>
  <si>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</si>
  <si>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</si>
  <si>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</si>
  <si>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</si>
  <si>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</si>
  <si>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</si>
  <si>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</si>
  <si>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</si>
  <si>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</si>
  <si>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</si>
  <si>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</si>
  <si>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</si>
  <si>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</si>
  <si>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</si>
  <si>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</si>
  <si>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</si>
  <si>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</si>
  <si>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</si>
  <si>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</si>
  <si>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</si>
  <si>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</si>
  <si>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</si>
  <si>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</si>
  <si>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</si>
  <si>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</si>
  <si>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</si>
  <si>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</si>
  <si>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</si>
  <si>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</si>
  <si>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</si>
  <si>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</si>
  <si>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</si>
  <si>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</si>
  <si>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</si>
  <si>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</si>
  <si>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</si>
  <si>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</si>
  <si>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</si>
  <si>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</si>
  <si>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</si>
  <si>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</si>
  <si>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</si>
  <si>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</si>
  <si>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</si>
  <si>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</si>
  <si>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</si>
  <si>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</si>
  <si>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</si>
  <si>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</si>
  <si>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</si>
  <si>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</si>
  <si>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</si>
  <si>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</si>
  <si>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</si>
  <si>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</si>
  <si>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</si>
  <si>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出让</t>
  </si>
  <si>
    <t>复印件</t>
  </si>
  <si>
    <t>无</t>
  </si>
  <si>
    <t>否</t>
  </si>
  <si>
    <t>现房</t>
  </si>
  <si>
    <t>通路</t>
  </si>
  <si>
    <t>通电</t>
  </si>
  <si>
    <t>通讯</t>
  </si>
  <si>
    <t>通上水</t>
  </si>
  <si>
    <t>通下水</t>
  </si>
  <si>
    <t>通热</t>
  </si>
  <si>
    <t>燃气</t>
  </si>
  <si>
    <t>测绘报告</t>
    <phoneticPr fontId="140" type="noConversion"/>
  </si>
  <si>
    <t>是</t>
  </si>
  <si>
    <t>地上</t>
  </si>
  <si>
    <t>酒店</t>
  </si>
  <si>
    <t>办公楼</t>
  </si>
  <si>
    <t>独立商业</t>
  </si>
  <si>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</si>
  <si>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</si>
  <si>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</si>
  <si>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</si>
  <si>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</si>
  <si>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</si>
  <si>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</si>
  <si>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</si>
  <si>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</si>
  <si>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</si>
  <si>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</si>
  <si>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</si>
  <si>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</si>
  <si>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</si>
  <si>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</si>
  <si>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</si>
  <si>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</si>
  <si>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</si>
  <si>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</si>
  <si>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</si>
  <si>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</si>
  <si>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</si>
  <si>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</si>
  <si>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</si>
  <si>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</si>
  <si>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</si>
  <si>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</si>
  <si>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</si>
  <si>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</si>
  <si>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</si>
  <si>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</si>
  <si>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</si>
  <si>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</si>
  <si>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</si>
  <si>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</si>
  <si>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</si>
  <si>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</si>
  <si>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</si>
  <si>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</si>
  <si>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</si>
  <si>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</si>
  <si>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</si>
  <si>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</si>
  <si>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</si>
  <si>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</si>
  <si>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</si>
  <si>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</si>
  <si>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</si>
  <si>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</si>
  <si>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</si>
  <si>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</si>
  <si>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</si>
  <si>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</si>
  <si>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</si>
  <si>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</si>
  <si>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</si>
  <si>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</si>
  <si>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</si>
  <si>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</si>
  <si>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</si>
  <si>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</si>
  <si>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</si>
  <si>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</si>
  <si>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</si>
  <si>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</si>
  <si>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</si>
  <si>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</si>
  <si>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</si>
  <si>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</si>
  <si>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</si>
  <si>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</si>
  <si>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</si>
  <si>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</si>
  <si>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商务金融用地（商业类）</t>
  </si>
  <si>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</si>
  <si>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</si>
  <si>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</si>
  <si>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</si>
  <si>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</si>
  <si>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</si>
  <si>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</si>
  <si>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</si>
  <si>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</si>
  <si>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</si>
  <si>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</si>
  <si>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</si>
  <si>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</si>
  <si>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自定义</t>
  </si>
  <si>
    <t>按房产原值计税</t>
  </si>
  <si>
    <t>钢混</t>
  </si>
  <si>
    <t>非生产用房</t>
  </si>
  <si>
    <t>押一</t>
  </si>
  <si>
    <t>按租金收入计税</t>
  </si>
  <si>
    <t>收益法-酒店</t>
    <phoneticPr fontId="16" type="noConversion"/>
  </si>
  <si>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</si>
  <si>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</si>
  <si>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</si>
  <si>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</si>
  <si>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</si>
  <si>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</si>
  <si>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</si>
  <si>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</si>
  <si>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</si>
  <si>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</si>
  <si>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</si>
  <si>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</si>
  <si>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</si>
  <si>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</si>
  <si>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</si>
  <si>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</si>
  <si>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</si>
  <si>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</si>
  <si>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</si>
  <si>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</si>
  <si>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</si>
  <si>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</si>
  <si>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</si>
  <si>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</si>
  <si>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</si>
  <si>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</si>
  <si>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</si>
  <si>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</si>
  <si>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</si>
  <si>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总价</t>
  </si>
  <si>
    <t>成本比率</t>
  </si>
  <si>
    <t>北京马连道投资管理公司</t>
    <phoneticPr fontId="6" type="noConversion"/>
  </si>
  <si>
    <t xml:space="preserve"> </t>
    <phoneticPr fontId="6" type="noConversion"/>
  </si>
  <si>
    <t>凑</t>
    <phoneticPr fontId="6" type="noConversion"/>
  </si>
  <si>
    <t>居住项目</t>
  </si>
  <si>
    <t>底商</t>
  </si>
  <si>
    <t>底商-8（102）</t>
  </si>
  <si>
    <t>底商-1（101）</t>
  </si>
  <si>
    <t>底商-1（102）</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</si>
  <si>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</si>
  <si>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</si>
  <si>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</si>
  <si>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</si>
  <si>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</si>
  <si>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</si>
  <si>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</si>
  <si>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</si>
  <si>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</si>
  <si>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</si>
  <si>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</si>
  <si>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</si>
  <si>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</si>
  <si>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</si>
  <si>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</si>
  <si>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</si>
  <si>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</si>
  <si>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</si>
  <si>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</si>
  <si>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</si>
  <si>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当期</t>
    <phoneticPr fontId="140" type="noConversion"/>
  </si>
  <si>
    <t>面积</t>
    <phoneticPr fontId="140" type="noConversion"/>
  </si>
  <si>
    <t>面积</t>
    <phoneticPr fontId="3" type="noConversion"/>
  </si>
  <si>
    <t xml:space="preserve"> </t>
    <phoneticPr fontId="3" type="noConversion"/>
  </si>
  <si>
    <t>系数</t>
    <phoneticPr fontId="3" type="noConversion"/>
  </si>
  <si>
    <t>租金</t>
    <phoneticPr fontId="3" type="noConversion"/>
  </si>
  <si>
    <r>
      <t>1</t>
    </r>
    <r>
      <rPr>
        <sz val="10"/>
        <color indexed="8"/>
        <rFont val="宋体"/>
        <family val="3"/>
        <charset val="134"/>
      </rPr>
      <t>层主街</t>
    </r>
    <phoneticPr fontId="3" type="noConversion"/>
  </si>
  <si>
    <r>
      <t>1</t>
    </r>
    <r>
      <rPr>
        <sz val="10"/>
        <color indexed="8"/>
        <rFont val="宋体"/>
        <family val="3"/>
        <charset val="134"/>
      </rPr>
      <t>层支路</t>
    </r>
    <phoneticPr fontId="3" type="noConversion"/>
  </si>
  <si>
    <r>
      <t>2</t>
    </r>
    <r>
      <rPr>
        <sz val="10"/>
        <color indexed="8"/>
        <rFont val="宋体"/>
        <family val="3"/>
        <charset val="134"/>
      </rPr>
      <t>层支路</t>
    </r>
    <phoneticPr fontId="3" type="noConversion"/>
  </si>
  <si>
    <t>2021年</t>
    <phoneticPr fontId="140" type="noConversion"/>
  </si>
  <si>
    <t>2022年</t>
    <phoneticPr fontId="140" type="noConversion"/>
  </si>
  <si>
    <t>2023年</t>
  </si>
  <si>
    <t>2024年</t>
  </si>
  <si>
    <t>2025年</t>
  </si>
  <si>
    <t>2026年</t>
  </si>
  <si>
    <t>2027年</t>
  </si>
  <si>
    <t>2028年</t>
  </si>
  <si>
    <t>2029年</t>
  </si>
  <si>
    <t>2030年</t>
  </si>
  <si>
    <t>2031年</t>
  </si>
  <si>
    <t xml:space="preserve"> </t>
    <phoneticPr fontId="140" type="noConversion"/>
  </si>
  <si>
    <t>收益法-有租约</t>
    <phoneticPr fontId="16" type="noConversion"/>
  </si>
  <si>
    <t>收益法-无租约</t>
    <phoneticPr fontId="16"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</si>
  <si>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</si>
  <si>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</si>
  <si>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</si>
  <si>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</si>
  <si>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</si>
  <si>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</si>
  <si>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</si>
  <si>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</si>
  <si>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</si>
  <si>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</si>
  <si>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</si>
  <si>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</si>
  <si>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</si>
  <si>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</si>
  <si>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</si>
  <si>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购物中心</t>
    <phoneticPr fontId="31" type="noConversion"/>
  </si>
  <si>
    <t>商业街商铺</t>
    <phoneticPr fontId="31" type="noConversion"/>
  </si>
  <si>
    <t>写字楼配套</t>
    <phoneticPr fontId="31" type="noConversion"/>
  </si>
  <si>
    <t>住宅配套</t>
  </si>
  <si>
    <t>住宅配套</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</si>
  <si>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</si>
  <si>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</si>
  <si>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</si>
  <si>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</si>
  <si>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</si>
  <si>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</si>
  <si>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</si>
  <si>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可做餐饮</t>
    <phoneticPr fontId="31" type="noConversion"/>
  </si>
  <si>
    <t>不可做餐饮</t>
  </si>
  <si>
    <t>不可做餐饮</t>
    <phoneticPr fontId="31" type="noConversion"/>
  </si>
  <si>
    <t>非标层高</t>
    <phoneticPr fontId="31" type="noConversion"/>
  </si>
  <si>
    <t>标准层高</t>
  </si>
  <si>
    <t>标准层高</t>
    <phoneticPr fontId="31" type="noConversion"/>
  </si>
  <si>
    <t>0-30</t>
    <phoneticPr fontId="31" type="noConversion"/>
  </si>
  <si>
    <t>30-60</t>
    <phoneticPr fontId="31" type="noConversion"/>
  </si>
  <si>
    <t>60-90</t>
    <phoneticPr fontId="31" type="noConversion"/>
  </si>
  <si>
    <t>90-150</t>
    <phoneticPr fontId="31" type="noConversion"/>
  </si>
  <si>
    <t>150-200</t>
    <phoneticPr fontId="31" type="noConversion"/>
  </si>
  <si>
    <t>200-300</t>
    <phoneticPr fontId="31" type="noConversion"/>
  </si>
  <si>
    <t>300-500</t>
    <phoneticPr fontId="31" type="noConversion"/>
  </si>
  <si>
    <t>500-1000</t>
    <phoneticPr fontId="31" type="noConversion"/>
  </si>
  <si>
    <t>适宜</t>
    <phoneticPr fontId="31" type="noConversion"/>
  </si>
  <si>
    <t>较适宜</t>
    <phoneticPr fontId="31" type="noConversion"/>
  </si>
  <si>
    <t>较不适宜</t>
    <phoneticPr fontId="31" type="noConversion"/>
  </si>
  <si>
    <t>不适宜</t>
    <phoneticPr fontId="31" type="noConversion"/>
  </si>
  <si>
    <t>临路</t>
    <phoneticPr fontId="3" type="noConversion"/>
  </si>
  <si>
    <t>次干道</t>
    <phoneticPr fontId="25" type="noConversion"/>
  </si>
  <si>
    <t>支路</t>
  </si>
  <si>
    <t>支路</t>
    <phoneticPr fontId="25" type="noConversion"/>
  </si>
  <si>
    <t>1层</t>
  </si>
  <si>
    <t>1层</t>
    <phoneticPr fontId="25" type="noConversion"/>
  </si>
  <si>
    <t>1-2层</t>
  </si>
  <si>
    <t>1-2层</t>
    <phoneticPr fontId="25" type="noConversion"/>
  </si>
  <si>
    <t>2层</t>
  </si>
  <si>
    <t>2层</t>
    <phoneticPr fontId="25" type="noConversion"/>
  </si>
  <si>
    <t xml:space="preserve"> </t>
    <phoneticPr fontId="25" type="noConversion"/>
  </si>
  <si>
    <t xml:space="preserve"> </t>
    <phoneticPr fontId="140" type="noConversion"/>
  </si>
  <si>
    <t>典型户型修正</t>
  </si>
  <si>
    <t>项目</t>
    <phoneticPr fontId="140" type="noConversion"/>
  </si>
  <si>
    <t>面积</t>
    <phoneticPr fontId="140" type="noConversion"/>
  </si>
  <si>
    <t>售价</t>
  </si>
  <si>
    <t>售价</t>
    <phoneticPr fontId="140" type="noConversion"/>
  </si>
  <si>
    <t>单价</t>
    <phoneticPr fontId="140" type="noConversion"/>
  </si>
  <si>
    <t>类型</t>
    <phoneticPr fontId="140" type="noConversion"/>
  </si>
  <si>
    <t>住宅配套</t>
    <phoneticPr fontId="140" type="noConversion"/>
  </si>
  <si>
    <t>广安康馨家园</t>
    <phoneticPr fontId="3" type="noConversion"/>
  </si>
  <si>
    <t>商业</t>
    <phoneticPr fontId="31" type="noConversion"/>
  </si>
  <si>
    <t>30-40（含）</t>
  </si>
  <si>
    <t>较好</t>
    <phoneticPr fontId="31" type="noConversion"/>
  </si>
  <si>
    <t>系数</t>
    <phoneticPr fontId="31" type="noConversion"/>
  </si>
  <si>
    <t>拆分</t>
    <phoneticPr fontId="25" type="noConversion"/>
  </si>
  <si>
    <t>单价</t>
    <phoneticPr fontId="25" type="noConversion"/>
  </si>
  <si>
    <t>装修</t>
    <phoneticPr fontId="3" type="noConversion"/>
  </si>
  <si>
    <t>普通装修</t>
    <phoneticPr fontId="25" type="noConversion"/>
  </si>
  <si>
    <t>精装修</t>
    <phoneticPr fontId="25" type="noConversion"/>
  </si>
  <si>
    <t>毛坯</t>
  </si>
  <si>
    <t>毛坯</t>
    <phoneticPr fontId="25" type="noConversion"/>
  </si>
  <si>
    <t>人流量</t>
    <phoneticPr fontId="3" type="noConversion"/>
  </si>
  <si>
    <t>一般</t>
    <phoneticPr fontId="25" type="noConversion"/>
  </si>
  <si>
    <t>较差</t>
  </si>
  <si>
    <t>较差</t>
    <phoneticPr fontId="25" type="noConversion"/>
  </si>
  <si>
    <t>广安康馨家园</t>
    <phoneticPr fontId="140" type="noConversion"/>
  </si>
  <si>
    <t>天鸿美域</t>
    <phoneticPr fontId="140" type="noConversion"/>
  </si>
  <si>
    <t>90-150</t>
    <phoneticPr fontId="31" type="noConversion"/>
  </si>
  <si>
    <t>简单装修</t>
  </si>
  <si>
    <t>有租约</t>
  </si>
  <si>
    <t>有租约</t>
    <phoneticPr fontId="7" type="noConversion"/>
  </si>
  <si>
    <t>无租约</t>
  </si>
  <si>
    <t>无租约</t>
    <phoneticPr fontId="7" type="noConversion"/>
  </si>
  <si>
    <t>无租约</t>
    <phoneticPr fontId="3" type="noConversion"/>
  </si>
  <si>
    <t>有租约</t>
    <phoneticPr fontId="3" type="noConversion"/>
  </si>
  <si>
    <t>收益法-有租约</t>
  </si>
  <si>
    <t>收益法-无租约</t>
  </si>
  <si>
    <t>收益法（汇总）</t>
  </si>
  <si>
    <r>
      <t>2020</t>
    </r>
    <r>
      <rPr>
        <sz val="10"/>
        <color indexed="8"/>
        <rFont val="宋体"/>
        <family val="3"/>
        <charset val="134"/>
      </rPr>
      <t>年抵押</t>
    </r>
    <phoneticPr fontId="25" type="noConversion"/>
  </si>
  <si>
    <t>单价</t>
    <phoneticPr fontId="25" type="noConversion"/>
  </si>
  <si>
    <t>已注销</t>
  </si>
  <si>
    <t>注销后放款</t>
  </si>
  <si>
    <t>———————————1至2层102</t>
    <phoneticPr fontId="140" type="noConversion"/>
  </si>
  <si>
    <t>———————————1至2层201</t>
    <phoneticPr fontId="140" type="noConversion"/>
  </si>
  <si>
    <t>————————-8号楼1层102</t>
    <phoneticPr fontId="140" type="noConversion"/>
  </si>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</sst>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3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xf numFmtId="192" fontId="98" fillId="0" borderId="0"/>
    <xf numFmtId="192" fontId="98" fillId="0" borderId="0">
      <alignment vertical="center"/>
    </xf>
    <xf numFmtId="9" fontId="98" fillId="0" borderId="0" applyFont="0" applyFill="0" applyBorder="0" applyAlignment="0" applyProtection="0">
      <alignment vertical="center"/>
    </xf>
    <xf numFmtId="192" fontId="98" fillId="0" borderId="0">
      <alignment vertical="center"/>
    </xf>
    <xf numFmtId="192" fontId="55" fillId="0" borderId="0"/>
    <xf numFmtId="192" fontId="98"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98" fillId="0" borderId="0"/>
  </cellStyleXfs>
  <cellXfs count="35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6" borderId="0" xfId="0" applyFont="1" applyFill="1" applyAlignment="1" applyProtection="1">
      <alignment vertical="center" wrapText="1"/>
      <protection locked="0"/>
    </xf>
    <xf numFmtId="0" fontId="116" fillId="6" borderId="26" xfId="19" applyNumberFormat="1" applyFont="1" applyFill="1" applyBorder="1"/>
    <xf numFmtId="192" fontId="46" fillId="0" borderId="67" xfId="19" applyNumberFormat="1" applyFont="1" applyFill="1" applyBorder="1" applyAlignment="1" applyProtection="1">
      <alignment horizontal="center" vertical="center"/>
      <protection locked="0"/>
    </xf>
    <xf numFmtId="0" fontId="116" fillId="0" borderId="0" xfId="19" applyNumberFormat="1" applyFont="1"/>
    <xf numFmtId="0" fontId="260" fillId="6" borderId="6" xfId="20" applyNumberFormat="1" applyFont="1" applyFill="1" applyBorder="1" applyAlignment="1" applyProtection="1">
      <alignment horizontal="center" vertical="center" wrapText="1"/>
    </xf>
    <xf numFmtId="0" fontId="261" fillId="6" borderId="9" xfId="19" applyNumberFormat="1" applyFont="1" applyFill="1" applyBorder="1" applyAlignment="1" applyProtection="1">
      <alignment horizontal="center" vertical="center" wrapText="1"/>
    </xf>
    <xf numFmtId="0" fontId="261" fillId="6" borderId="10" xfId="19" applyNumberFormat="1" applyFont="1" applyFill="1" applyBorder="1" applyAlignment="1" applyProtection="1">
      <alignment horizontal="center" vertical="center" wrapText="1"/>
    </xf>
    <xf numFmtId="0" fontId="46" fillId="5" borderId="23" xfId="20" applyNumberFormat="1" applyFont="1" applyFill="1" applyBorder="1" applyAlignment="1" applyProtection="1">
      <alignment horizontal="center" vertical="center"/>
      <protection locked="0"/>
    </xf>
    <xf numFmtId="0" fontId="53" fillId="6" borderId="1" xfId="20" applyNumberFormat="1" applyFont="1" applyFill="1" applyBorder="1" applyAlignment="1" applyProtection="1">
      <alignment horizontal="center" vertical="center"/>
    </xf>
    <xf numFmtId="0" fontId="102" fillId="0" borderId="24" xfId="19" applyNumberFormat="1" applyFont="1" applyFill="1" applyBorder="1" applyAlignment="1" applyProtection="1">
      <alignment horizontal="center" vertical="center"/>
      <protection locked="0"/>
    </xf>
    <xf numFmtId="192" fontId="46" fillId="0" borderId="1" xfId="19" applyNumberFormat="1" applyFont="1" applyFill="1" applyBorder="1" applyAlignment="1" applyProtection="1">
      <alignment horizontal="center" vertical="center"/>
      <protection locked="0"/>
    </xf>
    <xf numFmtId="0" fontId="53" fillId="6" borderId="32" xfId="20" applyNumberFormat="1" applyFont="1" applyFill="1" applyBorder="1" applyAlignment="1" applyProtection="1">
      <alignment horizontal="center" vertical="center"/>
    </xf>
    <xf numFmtId="0" fontId="102" fillId="0" borderId="49" xfId="19" applyNumberFormat="1" applyFont="1" applyFill="1" applyBorder="1" applyAlignment="1" applyProtection="1">
      <alignment horizontal="center" vertical="center"/>
      <protection locked="0"/>
    </xf>
    <xf numFmtId="0" fontId="262" fillId="6" borderId="16" xfId="19" applyNumberFormat="1" applyFont="1" applyFill="1" applyBorder="1" applyAlignment="1">
      <alignment vertical="center"/>
    </xf>
    <xf numFmtId="0" fontId="116" fillId="6" borderId="31" xfId="19" applyNumberFormat="1" applyFont="1" applyFill="1" applyBorder="1" applyAlignment="1">
      <alignment vertical="center"/>
    </xf>
    <xf numFmtId="0" fontId="116" fillId="0" borderId="0" xfId="19" applyNumberFormat="1" applyFont="1" applyAlignment="1">
      <alignment vertical="center"/>
    </xf>
    <xf numFmtId="0" fontId="116" fillId="6" borderId="63" xfId="19" applyNumberFormat="1" applyFont="1" applyFill="1" applyBorder="1"/>
    <xf numFmtId="0" fontId="260" fillId="6" borderId="64" xfId="19" applyNumberFormat="1" applyFont="1" applyFill="1" applyBorder="1" applyAlignment="1">
      <alignment horizontal="right" vertical="center"/>
    </xf>
    <xf numFmtId="0" fontId="260" fillId="6" borderId="65" xfId="19" applyNumberFormat="1" applyFont="1" applyFill="1" applyBorder="1" applyAlignment="1">
      <alignment horizontal="right" vertical="center"/>
    </xf>
    <xf numFmtId="0" fontId="53" fillId="6" borderId="6" xfId="19" applyNumberFormat="1" applyFont="1" applyFill="1" applyBorder="1" applyAlignment="1">
      <alignment horizontal="center"/>
    </xf>
    <xf numFmtId="0" fontId="102" fillId="0" borderId="9" xfId="19" applyNumberFormat="1" applyFont="1" applyBorder="1" applyAlignment="1" applyProtection="1">
      <alignment horizontal="center"/>
      <protection locked="0"/>
    </xf>
    <xf numFmtId="0" fontId="53" fillId="6" borderId="9" xfId="19" applyNumberFormat="1" applyFont="1" applyFill="1" applyBorder="1" applyAlignment="1">
      <alignment horizontal="center"/>
    </xf>
    <xf numFmtId="0" fontId="53" fillId="6" borderId="10" xfId="19" applyNumberFormat="1" applyFont="1" applyFill="1" applyBorder="1"/>
    <xf numFmtId="0" fontId="53" fillId="6" borderId="25" xfId="19" applyNumberFormat="1" applyFont="1" applyFill="1" applyBorder="1" applyAlignment="1">
      <alignment horizontal="center"/>
    </xf>
    <xf numFmtId="0" fontId="102" fillId="0" borderId="32" xfId="19" applyNumberFormat="1" applyFont="1" applyBorder="1" applyAlignment="1" applyProtection="1">
      <alignment horizontal="center"/>
      <protection locked="0"/>
    </xf>
    <xf numFmtId="0" fontId="53" fillId="6" borderId="32" xfId="19" applyNumberFormat="1" applyFont="1" applyFill="1" applyBorder="1" applyAlignment="1">
      <alignment horizontal="center"/>
    </xf>
    <xf numFmtId="0" fontId="53" fillId="6" borderId="49" xfId="19" applyNumberFormat="1" applyFont="1" applyFill="1" applyBorder="1"/>
    <xf numFmtId="0" fontId="97" fillId="6" borderId="0" xfId="19" applyNumberFormat="1" applyFont="1" applyFill="1" applyBorder="1" applyAlignment="1">
      <alignment horizontal="left"/>
    </xf>
    <xf numFmtId="0" fontId="53" fillId="6" borderId="0" xfId="19" applyNumberFormat="1" applyFont="1" applyFill="1" applyBorder="1" applyAlignment="1">
      <alignment horizontal="center"/>
    </xf>
    <xf numFmtId="0" fontId="102" fillId="0" borderId="9" xfId="19" applyNumberFormat="1" applyFont="1" applyFill="1" applyBorder="1" applyAlignment="1" applyProtection="1">
      <alignment horizontal="center"/>
      <protection locked="0"/>
    </xf>
    <xf numFmtId="0" fontId="102" fillId="0" borderId="0" xfId="19" applyNumberFormat="1" applyFont="1"/>
    <xf numFmtId="0" fontId="102" fillId="6" borderId="32" xfId="19" applyNumberFormat="1" applyFont="1" applyFill="1" applyBorder="1" applyAlignment="1">
      <alignment horizontal="center"/>
    </xf>
    <xf numFmtId="0" fontId="102" fillId="6" borderId="0" xfId="19" applyNumberFormat="1" applyFont="1" applyFill="1"/>
    <xf numFmtId="0" fontId="116" fillId="6" borderId="0" xfId="19" applyNumberFormat="1" applyFont="1" applyFill="1"/>
    <xf numFmtId="0" fontId="102" fillId="0" borderId="10" xfId="19" applyNumberFormat="1" applyFont="1" applyFill="1" applyBorder="1" applyAlignment="1" applyProtection="1">
      <alignment horizontal="center"/>
      <protection locked="0"/>
    </xf>
    <xf numFmtId="0" fontId="102" fillId="6" borderId="49" xfId="19" applyNumberFormat="1" applyFont="1" applyFill="1" applyBorder="1" applyAlignment="1">
      <alignment horizontal="center"/>
    </xf>
    <xf numFmtId="0" fontId="46" fillId="0" borderId="0" xfId="19" applyNumberFormat="1" applyFont="1" applyFill="1" applyBorder="1" applyAlignment="1" applyProtection="1">
      <alignment horizontal="center" vertical="center"/>
      <protection locked="0"/>
    </xf>
    <xf numFmtId="0" fontId="53" fillId="6" borderId="0" xfId="20" applyNumberFormat="1" applyFont="1" applyFill="1" applyBorder="1" applyAlignment="1" applyProtection="1">
      <alignment horizontal="center" vertical="center"/>
    </xf>
    <xf numFmtId="0" fontId="102" fillId="0" borderId="0" xfId="19" applyNumberFormat="1" applyFont="1" applyFill="1" applyBorder="1" applyAlignment="1" applyProtection="1">
      <alignment horizontal="center" vertical="center"/>
      <protection locked="0"/>
    </xf>
    <xf numFmtId="14" fontId="46" fillId="0" borderId="1" xfId="19" applyNumberFormat="1" applyFont="1" applyFill="1" applyBorder="1" applyAlignment="1" applyProtection="1">
      <alignment horizontal="center" vertical="center"/>
      <protection locked="0"/>
    </xf>
    <xf numFmtId="14" fontId="46" fillId="0" borderId="32" xfId="19" applyNumberFormat="1" applyFont="1" applyFill="1" applyBorder="1" applyAlignment="1" applyProtection="1">
      <alignment horizontal="center" vertical="center"/>
      <protection locked="0"/>
    </xf>
    <xf numFmtId="14" fontId="46" fillId="0" borderId="0" xfId="19" applyNumberFormat="1" applyFont="1" applyFill="1" applyBorder="1" applyAlignment="1" applyProtection="1">
      <alignment horizontal="center" vertical="center"/>
      <protection locked="0"/>
    </xf>
    <xf numFmtId="43" fontId="46" fillId="0" borderId="23" xfId="0" applyNumberFormat="1" applyFont="1" applyBorder="1" applyAlignment="1" applyProtection="1">
      <alignment vertical="center"/>
      <protection locked="0"/>
    </xf>
    <xf numFmtId="176" fontId="49" fillId="13" borderId="0" xfId="0" applyNumberFormat="1" applyFont="1" applyFill="1" applyAlignment="1" applyProtection="1">
      <alignment vertical="center"/>
      <protection locked="0"/>
    </xf>
    <xf numFmtId="0" fontId="134" fillId="0" borderId="83" xfId="0" applyNumberFormat="1" applyFont="1" applyFill="1" applyBorder="1" applyAlignment="1" applyProtection="1">
      <alignment horizontal="center" vertical="center"/>
      <protection locked="0"/>
    </xf>
    <xf numFmtId="0" fontId="236" fillId="0" borderId="44"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49" fontId="79" fillId="10" borderId="9"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81" fontId="97" fillId="13" borderId="0" xfId="0" applyNumberFormat="1" applyFont="1" applyFill="1" applyBorder="1" applyAlignment="1" applyProtection="1">
      <alignment vertical="center" wrapText="1"/>
      <protection locked="0"/>
    </xf>
    <xf numFmtId="177" fontId="134" fillId="0" borderId="1" xfId="1" applyNumberFormat="1" applyFont="1" applyFill="1" applyBorder="1" applyAlignment="1" applyProtection="1">
      <alignment vertical="center"/>
      <protection locked="0"/>
    </xf>
    <xf numFmtId="0" fontId="79" fillId="7" borderId="0" xfId="0" applyFont="1" applyFill="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176" fontId="118" fillId="13" borderId="0" xfId="0" applyNumberFormat="1"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0" fillId="0" borderId="2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43"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xf numFmtId="0" fontId="260" fillId="6" borderId="63" xfId="19" applyNumberFormat="1" applyFont="1" applyFill="1" applyBorder="1" applyAlignment="1">
      <alignment horizontal="center"/>
    </xf>
    <xf numFmtId="0" fontId="260" fillId="6" borderId="64" xfId="19" applyNumberFormat="1" applyFont="1" applyFill="1" applyBorder="1" applyAlignment="1">
      <alignment horizontal="center"/>
    </xf>
  </cellXfs>
  <cellStyles count="30">
    <cellStyle name="百分比 2" xfId="14"/>
    <cellStyle name="百分比 3" xfId="21"/>
    <cellStyle name="常规" xfId="0" builtinId="0"/>
    <cellStyle name="常规 10" xfId="22"/>
    <cellStyle name="常规 10 2" xfId="23"/>
    <cellStyle name="常规 16" xfId="10"/>
    <cellStyle name="常规 16 2" xfId="24"/>
    <cellStyle name="常规 2" xfId="1"/>
    <cellStyle name="常规 2 2" xfId="8"/>
    <cellStyle name="常规 2 2 2" xfId="20"/>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2 2" xfId="25"/>
    <cellStyle name="常规 6 2 3" xfId="13"/>
    <cellStyle name="常规 6 2 3 2" xfId="26"/>
    <cellStyle name="常规 6 2 4" xfId="27"/>
    <cellStyle name="常规 7" xfId="7"/>
    <cellStyle name="常规 8" xfId="11"/>
    <cellStyle name="常规 8 2" xfId="28"/>
    <cellStyle name="常规 9" xfId="12"/>
    <cellStyle name="常规 9 2" xfId="29"/>
    <cellStyle name="好 2" xfId="18"/>
    <cellStyle name="千位分隔 2" xfId="17"/>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503862</xdr:colOff>
      <xdr:row>38</xdr:row>
      <xdr:rowOff>94424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4762" cy="6609524"/>
        </a:xfrm>
        <a:prstGeom prst="rect">
          <a:avLst/>
        </a:prstGeom>
      </xdr:spPr>
    </xdr:pic>
    <xdr:clientData/>
  </xdr:twoCellAnchor>
  <xdr:twoCellAnchor editAs="oneCell">
    <xdr:from>
      <xdr:col>16</xdr:col>
      <xdr:colOff>0</xdr:colOff>
      <xdr:row>1</xdr:row>
      <xdr:rowOff>0</xdr:rowOff>
    </xdr:from>
    <xdr:to>
      <xdr:col>20</xdr:col>
      <xdr:colOff>618705</xdr:colOff>
      <xdr:row>24</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0972800" y="171450"/>
          <a:ext cx="3361905" cy="4028572"/>
        </a:xfrm>
        <a:prstGeom prst="rect">
          <a:avLst/>
        </a:prstGeom>
      </xdr:spPr>
    </xdr:pic>
    <xdr:clientData/>
  </xdr:twoCellAnchor>
  <xdr:twoCellAnchor editAs="oneCell">
    <xdr:from>
      <xdr:col>0</xdr:col>
      <xdr:colOff>0</xdr:colOff>
      <xdr:row>40</xdr:row>
      <xdr:rowOff>0</xdr:rowOff>
    </xdr:from>
    <xdr:to>
      <xdr:col>4</xdr:col>
      <xdr:colOff>656800</xdr:colOff>
      <xdr:row>61</xdr:row>
      <xdr:rowOff>113836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3400000" cy="3714286"/>
        </a:xfrm>
        <a:prstGeom prst="rect">
          <a:avLst/>
        </a:prstGeom>
      </xdr:spPr>
    </xdr:pic>
    <xdr:clientData/>
  </xdr:twoCellAnchor>
  <xdr:twoCellAnchor editAs="oneCell">
    <xdr:from>
      <xdr:col>5</xdr:col>
      <xdr:colOff>0</xdr:colOff>
      <xdr:row>40</xdr:row>
      <xdr:rowOff>0</xdr:rowOff>
    </xdr:from>
    <xdr:to>
      <xdr:col>9</xdr:col>
      <xdr:colOff>161519</xdr:colOff>
      <xdr:row>64</xdr:row>
      <xdr:rowOff>75676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6858000"/>
          <a:ext cx="3247619" cy="4190476"/>
        </a:xfrm>
        <a:prstGeom prst="rect">
          <a:avLst/>
        </a:prstGeom>
      </xdr:spPr>
    </xdr:pic>
    <xdr:clientData/>
  </xdr:twoCellAnchor>
  <xdr:twoCellAnchor editAs="oneCell">
    <xdr:from>
      <xdr:col>10</xdr:col>
      <xdr:colOff>0</xdr:colOff>
      <xdr:row>40</xdr:row>
      <xdr:rowOff>0</xdr:rowOff>
    </xdr:from>
    <xdr:to>
      <xdr:col>14</xdr:col>
      <xdr:colOff>599657</xdr:colOff>
      <xdr:row>64</xdr:row>
      <xdr:rowOff>113772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3342857" cy="4228572"/>
        </a:xfrm>
        <a:prstGeom prst="rect">
          <a:avLst/>
        </a:prstGeom>
      </xdr:spPr>
    </xdr:pic>
    <xdr:clientData/>
  </xdr:twoCellAnchor>
  <xdr:twoCellAnchor editAs="oneCell">
    <xdr:from>
      <xdr:col>15</xdr:col>
      <xdr:colOff>0</xdr:colOff>
      <xdr:row>40</xdr:row>
      <xdr:rowOff>0</xdr:rowOff>
    </xdr:from>
    <xdr:to>
      <xdr:col>27</xdr:col>
      <xdr:colOff>294210</xdr:colOff>
      <xdr:row>80</xdr:row>
      <xdr:rowOff>94381</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6858000"/>
          <a:ext cx="8523810" cy="6952381"/>
        </a:xfrm>
        <a:prstGeom prst="rect">
          <a:avLst/>
        </a:prstGeom>
      </xdr:spPr>
    </xdr:pic>
    <xdr:clientData/>
  </xdr:twoCellAnchor>
  <xdr:twoCellAnchor editAs="oneCell">
    <xdr:from>
      <xdr:col>9</xdr:col>
      <xdr:colOff>571501</xdr:colOff>
      <xdr:row>85</xdr:row>
      <xdr:rowOff>152400</xdr:rowOff>
    </xdr:from>
    <xdr:to>
      <xdr:col>23</xdr:col>
      <xdr:colOff>670235</xdr:colOff>
      <xdr:row>114</xdr:row>
      <xdr:rowOff>75490</xdr:rowOff>
    </xdr:to>
    <xdr:pic>
      <xdr:nvPicPr>
        <xdr:cNvPr id="8" name="图片 7"/>
        <xdr:cNvPicPr>
          <a:picLocks noChangeAspect="1"/>
        </xdr:cNvPicPr>
      </xdr:nvPicPr>
      <xdr:blipFill>
        <a:blip xmlns:r="http://schemas.openxmlformats.org/officeDocument/2006/relationships" r:embed="rId7"/>
        <a:stretch>
          <a:fillRect/>
        </a:stretch>
      </xdr:blipFill>
      <xdr:spPr>
        <a:xfrm>
          <a:off x="7086601" y="14725650"/>
          <a:ext cx="9699934" cy="4895140"/>
        </a:xfrm>
        <a:prstGeom prst="rect">
          <a:avLst/>
        </a:prstGeom>
      </xdr:spPr>
    </xdr:pic>
    <xdr:clientData/>
  </xdr:twoCellAnchor>
  <xdr:twoCellAnchor editAs="oneCell">
    <xdr:from>
      <xdr:col>0</xdr:col>
      <xdr:colOff>76200</xdr:colOff>
      <xdr:row>81</xdr:row>
      <xdr:rowOff>1</xdr:rowOff>
    </xdr:from>
    <xdr:to>
      <xdr:col>9</xdr:col>
      <xdr:colOff>610728</xdr:colOff>
      <xdr:row>100</xdr:row>
      <xdr:rowOff>114301</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0" y="13887451"/>
          <a:ext cx="7049628" cy="3371850"/>
        </a:xfrm>
        <a:prstGeom prst="rect">
          <a:avLst/>
        </a:prstGeom>
      </xdr:spPr>
    </xdr:pic>
    <xdr:clientData/>
  </xdr:twoCellAnchor>
  <xdr:twoCellAnchor editAs="oneCell">
    <xdr:from>
      <xdr:col>0</xdr:col>
      <xdr:colOff>0</xdr:colOff>
      <xdr:row>100</xdr:row>
      <xdr:rowOff>165731</xdr:rowOff>
    </xdr:from>
    <xdr:to>
      <xdr:col>10</xdr:col>
      <xdr:colOff>428625</xdr:colOff>
      <xdr:row>125</xdr:row>
      <xdr:rowOff>66156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310731"/>
          <a:ext cx="7629525" cy="4186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Administrator\Desktop\&#23545;&#20844;&#20107;&#19994;&#37096;&#8212;&#30005;&#31639;&#34920;-&#25151;&#22320;&#20135;-&#19978;&#28023;&#30003;&#27743;&#21335;&#36335;3588&#21495;&#24037;&#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608;&#24420;\&#25253;&#21578;\2020\2020-1-0434&#20134;&#24196;&#30334;&#24471;&#21033;2020\P01\&#26368;&#32456;\&#65288;E-02&#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35810;&#20215;-&#26460;&#26472;&#21271;&#34903;1&#21495;&#38498;&#24037;&#19994;/&#65288;&#27979;&#31639;&#34920;&#65289;&#26460;&#26472;&#21271;&#34903;1&#21495;&#38498;&#24037;&#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Chart1"/>
      <sheetName val="面积指标"/>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北京市丰台区丰仪路1号院1号楼1至2层101房地产抵押价值预评估</v>
      </c>
    </row>
    <row r="3" spans="1:2" s="1356" customFormat="1">
      <c r="A3" s="1354" t="s">
        <v>1188</v>
      </c>
      <c r="B3" s="1355">
        <f>'预评函-封皮'!B40</f>
        <v>0</v>
      </c>
    </row>
    <row r="4" spans="1:2" s="1356" customFormat="1">
      <c r="A4" s="1354" t="s">
        <v>1189</v>
      </c>
      <c r="B4" s="1355" t="str">
        <f ca="1">'预评函-封皮'!B46</f>
        <v>崔锴（注册号：1120100036)、郑燚（注册号：1120070131)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受贵公司委托，我公司对北京市丰台区丰仪路1号院1号楼1至2层101房地产抵押价值进行了预评估。</v>
      </c>
    </row>
    <row r="7" spans="1:2" s="1356" customFormat="1">
      <c r="A7" s="1354" t="s">
        <v>1231</v>
      </c>
      <c r="B7" s="1355" t="str">
        <f>'预评函-1'!A7</f>
        <v>估价对象为北京市丰台区丰仪路1号院1号楼1至2层101房地产，为北京马连道投资管理公司所有。根据《国有土地使用证》[]，估价对象（分摊）出让国有建设用地使用权面积为0平方米，建筑面积为998.81平方米。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丰台区丰仪路1号院1号楼1至2层101房地产,属北京马连道投资管理公司开发建设的居住项目，该项目尚在开发建设中。根据《国有土地使用证》[]，估价对象（分摊）出让国有建设用地使用权面积为0平方米，规划建筑面积为998.81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2021年11月23日（评估专业人员实地查勘之日）</v>
      </c>
    </row>
    <row r="13" spans="1:2" s="1356" customFormat="1">
      <c r="A13" s="1354" t="s">
        <v>1194</v>
      </c>
      <c r="B13" s="1355"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f ca="1">'预评函-2'!D5</f>
        <v>2338</v>
      </c>
    </row>
    <row r="21" spans="1:2" s="1356" customFormat="1">
      <c r="A21" s="1354" t="s">
        <v>1202</v>
      </c>
      <c r="B21" s="1355">
        <f ca="1">'预评函-2'!D7</f>
        <v>23408</v>
      </c>
    </row>
    <row r="22" spans="1:2" s="1356" customFormat="1">
      <c r="A22" s="1354" t="s">
        <v>1203</v>
      </c>
      <c r="B22" s="1355" t="str">
        <f ca="1">'预评函-2'!D6</f>
        <v>贰仟叁佰叁拾捌万元整</v>
      </c>
    </row>
    <row r="23" spans="1:2" s="1356" customFormat="1">
      <c r="A23" s="1354" t="s">
        <v>1254</v>
      </c>
      <c r="B23" s="1355" t="str">
        <f>'预评函-2'!B8</f>
        <v>2.估价师知悉的除抵押担保权以外的法定优先受偿款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2177.6000000000004</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v>
      </c>
    </row>
    <row r="30" spans="1:2" s="1356" customFormat="1">
      <c r="A30" s="1354" t="s">
        <v>1259</v>
      </c>
      <c r="B30" s="1355" t="str">
        <f>'预评函-2'!D13</f>
        <v>——</v>
      </c>
    </row>
    <row r="31" spans="1:2" s="1356" customFormat="1">
      <c r="A31" s="1354" t="s">
        <v>1241</v>
      </c>
      <c r="B31" s="1355" t="e">
        <f>'预评函-2'!D15</f>
        <v>#VALUE!</v>
      </c>
    </row>
    <row r="32" spans="1:2" s="1356" customFormat="1">
      <c r="A32" s="1354" t="s">
        <v>1208</v>
      </c>
      <c r="B32" s="1355" t="e">
        <f>'预评函-2'!D14</f>
        <v>#VALUE!</v>
      </c>
    </row>
    <row r="33" spans="1:2" s="1356" customFormat="1">
      <c r="A33" s="1354" t="s">
        <v>1243</v>
      </c>
      <c r="B33" s="1355" t="str">
        <f>'预评函-2'!B16</f>
        <v>3.抵押担保权已注销时的房地产抵押价值</v>
      </c>
    </row>
    <row r="34" spans="1:2" s="1356" customFormat="1">
      <c r="A34" s="1354" t="s">
        <v>1261</v>
      </c>
      <c r="B34" s="1355">
        <f ca="1">'预评函-2'!D16</f>
        <v>2338</v>
      </c>
    </row>
    <row r="35" spans="1:2" s="1356" customFormat="1">
      <c r="A35" s="1354" t="s">
        <v>1242</v>
      </c>
      <c r="B35" s="1355">
        <f ca="1">'预评函-2'!D18</f>
        <v>23408</v>
      </c>
    </row>
    <row r="36" spans="1:2" s="1356" customFormat="1">
      <c r="A36" s="1354" t="s">
        <v>1209</v>
      </c>
      <c r="B36" s="1355" t="str">
        <f ca="1">'预评函-2'!D17</f>
        <v>贰仟叁佰叁拾捌万元整</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北京市丰台区丰仪路1号院1号楼1至2层101房地产</v>
      </c>
    </row>
    <row r="42" spans="1:2" s="1356" customFormat="1">
      <c r="A42" s="1354" t="s">
        <v>1255</v>
      </c>
      <c r="B42" s="1355" t="str">
        <f>'预评函-3'!B2</f>
        <v>建筑面积</v>
      </c>
    </row>
    <row r="43" spans="1:2" s="1356" customFormat="1">
      <c r="A43" s="1354" t="s">
        <v>1256</v>
      </c>
      <c r="B43" s="1355">
        <f>'预评函-3'!B4</f>
        <v>998.81000000000006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f ca="1">'预评函-3'!D4</f>
        <v>1931</v>
      </c>
    </row>
    <row r="48" spans="1:2" s="1356" customFormat="1">
      <c r="A48" s="1354" t="s">
        <v>1214</v>
      </c>
      <c r="B48" s="1355">
        <f ca="1">'预评函-3'!E4</f>
        <v>19333</v>
      </c>
    </row>
    <row r="49" spans="1:2" s="1356" customFormat="1">
      <c r="A49" s="1354" t="s">
        <v>1215</v>
      </c>
      <c r="B49" s="1355" t="str">
        <f ca="1">'预评函-3'!D5</f>
        <v>壹仟玖佰叁拾壹万元整</v>
      </c>
    </row>
    <row r="50" spans="1:2" s="1356" customFormat="1">
      <c r="A50" s="1354" t="s">
        <v>1239</v>
      </c>
      <c r="B50" s="1355" t="str">
        <f>'预评函-3'!F2</f>
        <v>在建建筑物价值</v>
      </c>
    </row>
    <row r="51" spans="1:2" s="1356" customFormat="1">
      <c r="A51" s="1354" t="s">
        <v>1216</v>
      </c>
      <c r="B51" s="1355">
        <f ca="1">'预评函-3'!F4</f>
        <v>407</v>
      </c>
    </row>
    <row r="52" spans="1:2" s="1356" customFormat="1">
      <c r="A52" s="1354" t="s">
        <v>1217</v>
      </c>
      <c r="B52" s="1355">
        <f ca="1">'预评函-3'!G4</f>
        <v>4075</v>
      </c>
    </row>
    <row r="53" spans="1:2" s="1356" customFormat="1">
      <c r="A53" s="1354" t="s">
        <v>1245</v>
      </c>
      <c r="B53" s="1355" t="str">
        <f ca="1">'预评函-3'!F5</f>
        <v>肆佰零柒万元整</v>
      </c>
    </row>
    <row r="54" spans="1:2" s="1356" customFormat="1">
      <c r="A54" s="1354" t="s">
        <v>1263</v>
      </c>
      <c r="B54" s="1355" t="str">
        <f>'预评函-3'!A8</f>
        <v/>
      </c>
    </row>
    <row r="55" spans="1:2" s="1356" customFormat="1">
      <c r="A55" s="1354" t="s">
        <v>1246</v>
      </c>
      <c r="B55" s="1355" t="str">
        <f>'预评函-3'!A10</f>
        <v>抵押担保权已注销时的房地产抵押价值</v>
      </c>
    </row>
    <row r="56" spans="1:2" s="1356" customFormat="1">
      <c r="A56" s="1354" t="s">
        <v>1247</v>
      </c>
      <c r="B56" s="1355" t="str">
        <f>'预评函-3'!A12</f>
        <v/>
      </c>
    </row>
    <row r="57" spans="1:2" s="1350" customFormat="1" ht="15" thickBot="1">
      <c r="A57" s="1357" t="s">
        <v>1264</v>
      </c>
      <c r="B57" s="1358" t="str">
        <f>'预评函-3'!A6</f>
        <v>估价师知悉的除抵押担保权以外的法定优先受偿款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故，本次评估不存在估价师知悉的除抵押担保权以外的法定优先受偿款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郑燚</v>
      </c>
    </row>
    <row r="73" spans="1:2" s="1350" customFormat="1" ht="15" thickBot="1">
      <c r="A73" s="1357" t="s">
        <v>1230</v>
      </c>
      <c r="B73" s="1358">
        <f ca="1">'预评函-4'!B5</f>
        <v>1120070131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7" sqref="F27"/>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3027</v>
      </c>
      <c r="C17" s="1722"/>
    </row>
    <row r="18" spans="1:3">
      <c r="A18" s="1721" t="s">
        <v>1732</v>
      </c>
      <c r="B18" s="1721" t="s">
        <v>3277</v>
      </c>
      <c r="C18" s="1722"/>
    </row>
    <row r="19" spans="1:3">
      <c r="A19" s="1721" t="s">
        <v>1733</v>
      </c>
      <c r="B19" s="1721" t="s">
        <v>3278</v>
      </c>
      <c r="C19" s="1722"/>
    </row>
    <row r="20" spans="1:3">
      <c r="A20" s="1721" t="s">
        <v>1734</v>
      </c>
      <c r="B20" s="1721" t="s">
        <v>3279</v>
      </c>
      <c r="C20" s="1722"/>
    </row>
    <row r="21" spans="1:3">
      <c r="A21" s="1721" t="s">
        <v>1735</v>
      </c>
      <c r="B21" s="1721" t="s">
        <v>3358</v>
      </c>
      <c r="C21" s="1722"/>
    </row>
    <row r="22" spans="1:3">
      <c r="A22" s="1721" t="s">
        <v>1736</v>
      </c>
      <c r="B22" s="1721" t="s">
        <v>3359</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239"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729" t="s">
        <v>832</v>
      </c>
      <c r="C54" s="1726" t="s">
        <v>1248</v>
      </c>
    </row>
    <row r="55" spans="1:4">
      <c r="A55" s="3239"/>
      <c r="B55" s="1729" t="s">
        <v>833</v>
      </c>
      <c r="C55" s="1726" t="s">
        <v>1249</v>
      </c>
    </row>
    <row r="56" spans="1:4">
      <c r="A56" s="3239"/>
      <c r="B56" s="1729" t="s">
        <v>834</v>
      </c>
      <c r="C56" s="1726" t="s">
        <v>1253</v>
      </c>
    </row>
    <row r="57" spans="1:4">
      <c r="A57" s="3239"/>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920" customWidth="1"/>
    <col min="2" max="2" width="10" style="1920" customWidth="1"/>
    <col min="3" max="3" width="11.5" style="1920" customWidth="1"/>
    <col min="4" max="4" width="10" style="1920" customWidth="1"/>
    <col min="5" max="5" width="12.625" style="1920" customWidth="1"/>
    <col min="6" max="6" width="10" style="1920" customWidth="1"/>
    <col min="7" max="7" width="10.75" style="1920" customWidth="1"/>
    <col min="8" max="8" width="10" style="1920" customWidth="1"/>
    <col min="9" max="9" width="11.125" style="1754" customWidth="1"/>
    <col min="10" max="10" width="10" style="1918" customWidth="1"/>
    <col min="11" max="11" width="10" style="2843" customWidth="1"/>
    <col min="12" max="13" width="10" style="2844" customWidth="1"/>
    <col min="14" max="14" width="10" style="1918" customWidth="1"/>
    <col min="15" max="15" width="10" style="12" customWidth="1"/>
    <col min="16" max="17" width="10" style="1918"/>
    <col min="18" max="18" width="10" style="1918" customWidth="1"/>
    <col min="19" max="30" width="10" style="1918"/>
    <col min="31" max="16384" width="10" style="1920"/>
  </cols>
  <sheetData>
    <row r="1" spans="1:28" ht="13.5" thickBot="1">
      <c r="A1" s="2579" t="s">
        <v>2906</v>
      </c>
      <c r="B1" s="3240" t="str">
        <f>IF(B10="北京市","北京市",C10)&amp;F10&amp;IF(结果表!G1="在建","出让国有建设用地使用权及在建建筑物",IF(结果表!G1="土地","出让国有建设用地使用权",))&amp;B9&amp;"预评估"</f>
        <v>北京市丰台区丰仪路1号院1号楼1至2层101房地产抵押价值预评估</v>
      </c>
      <c r="C1" s="3241"/>
      <c r="D1" s="3241"/>
      <c r="E1" s="3241"/>
      <c r="F1" s="3241"/>
      <c r="G1" s="3241"/>
      <c r="H1" s="3241"/>
      <c r="I1" s="3242"/>
      <c r="J1" s="2685"/>
      <c r="K1" s="2581"/>
      <c r="L1" s="2582"/>
      <c r="M1" s="2582"/>
      <c r="N1" s="2583"/>
      <c r="O1" s="1751"/>
      <c r="P1" s="2583"/>
      <c r="Q1" s="2583"/>
      <c r="R1" s="2583"/>
      <c r="S1" s="1857" t="str">
        <f>IF(B10="北京市","北京市",C10)&amp;F10&amp;IF(结果表!G1="在建","出让国有建设用地使用权及在建建筑物房地产抵押价值",IF(结果表!G1="土地","出让国有建设用地使用权抵押价值",B9))</f>
        <v>北京市丰台区丰仪路1号院1号楼1至2层101房地产抵押价值</v>
      </c>
      <c r="T1" s="1920"/>
      <c r="U1" s="1920"/>
      <c r="V1" s="1920"/>
      <c r="W1" s="1920"/>
      <c r="X1" s="1920"/>
      <c r="Y1" s="1920"/>
      <c r="Z1" s="1920"/>
      <c r="AA1" s="1920"/>
      <c r="AB1" s="1920"/>
    </row>
    <row r="2" spans="1:28">
      <c r="A2" s="2580" t="s">
        <v>2907</v>
      </c>
      <c r="B2" s="2584"/>
      <c r="C2" s="2585"/>
      <c r="D2" s="2886"/>
      <c r="E2" s="2877"/>
      <c r="F2" s="2877"/>
      <c r="G2" s="2878"/>
      <c r="H2" s="2878"/>
      <c r="I2" s="2878"/>
      <c r="J2" s="2685"/>
      <c r="K2" s="2581"/>
      <c r="L2" s="2582"/>
      <c r="M2" s="2582"/>
      <c r="N2" s="2583"/>
      <c r="O2" s="1751"/>
      <c r="P2" s="2583"/>
      <c r="Q2" s="2583"/>
      <c r="R2" s="2583"/>
      <c r="S2" s="1857" t="str">
        <f>IF(B10="北京市","北京市",C10)&amp;F10&amp;IF(结果表!G1="在建","出让国有建设用地使用权及在建建筑物房地产",IF(结果表!G1="土地","出让国有建设用地使用权","房地产"))</f>
        <v>北京市丰台区丰仪路1号院1号楼1至2层101房地产</v>
      </c>
      <c r="T2" s="1920"/>
      <c r="U2" s="1920"/>
      <c r="V2" s="1920"/>
      <c r="W2" s="1920"/>
      <c r="X2" s="1920"/>
      <c r="Y2" s="1920"/>
      <c r="Z2" s="1920"/>
      <c r="AA2" s="1920"/>
      <c r="AB2" s="1920"/>
    </row>
    <row r="3" spans="1:28">
      <c r="A3" s="308" t="s">
        <v>2908</v>
      </c>
      <c r="B3" s="2586">
        <v>44523</v>
      </c>
      <c r="C3" s="2587" t="s">
        <v>2909</v>
      </c>
      <c r="D3" s="2586">
        <f>B3</f>
        <v>44523</v>
      </c>
      <c r="E3" s="2878"/>
      <c r="F3" s="2878"/>
      <c r="G3" s="2878"/>
      <c r="H3" s="2878"/>
      <c r="I3" s="2878"/>
      <c r="J3" s="2685"/>
      <c r="K3" s="2581"/>
      <c r="L3" s="2582"/>
      <c r="M3" s="2582"/>
      <c r="N3" s="2583"/>
      <c r="O3" s="1751"/>
      <c r="P3" s="2583"/>
      <c r="Q3" s="2583"/>
      <c r="R3" s="2583"/>
      <c r="S3" s="1857"/>
      <c r="T3" s="1920"/>
      <c r="U3" s="1920"/>
      <c r="V3" s="1920"/>
      <c r="W3" s="1920"/>
      <c r="X3" s="1920"/>
      <c r="Y3" s="1920"/>
      <c r="Z3" s="1920"/>
      <c r="AA3" s="1920"/>
      <c r="AB3" s="1920"/>
    </row>
    <row r="4" spans="1:28" ht="13.5" thickBot="1">
      <c r="A4" s="1242" t="s">
        <v>2910</v>
      </c>
      <c r="B4" s="2588" t="s">
        <v>3161</v>
      </c>
      <c r="C4" s="2589">
        <f ca="1">SUMIF(注册房地产估价师,B4,估价师及机构信息!B3:B24)</f>
        <v>1120100036</v>
      </c>
      <c r="D4" s="2588" t="s">
        <v>3162</v>
      </c>
      <c r="E4" s="2590">
        <f ca="1">SUMIF(注册房地产估价师,D4,估价师及机构信息!B3:B24)</f>
        <v>1120070131</v>
      </c>
      <c r="F4" s="2588"/>
      <c r="G4" s="2590">
        <f>SUMIF(注册房地产估价师,F4,估价师及机构信息!B3:B24)</f>
        <v>0</v>
      </c>
      <c r="H4" s="2588"/>
      <c r="I4" s="2590">
        <f>SUMIF(注册房地产估价师,H4,估价师及机构信息!B3:B24)</f>
        <v>0</v>
      </c>
      <c r="J4" s="2653"/>
      <c r="K4" s="2591" t="str">
        <f ca="1">CONCATENATE(B4,"（注册号：",C4,")、",D4,"（注册号：",E4,")")</f>
        <v>崔锴（注册号：1120100036)、郑燚（注册号：1120070131)</v>
      </c>
      <c r="L4" s="2582"/>
      <c r="M4" s="2582"/>
      <c r="N4" s="2583"/>
      <c r="O4" s="1751"/>
      <c r="P4" s="2583"/>
      <c r="Q4" s="2583"/>
      <c r="R4" s="2583"/>
      <c r="S4" s="1857"/>
      <c r="T4" s="1920"/>
      <c r="U4" s="1920"/>
      <c r="V4" s="1920"/>
      <c r="W4" s="1920"/>
      <c r="X4" s="1920"/>
      <c r="Y4" s="1920"/>
      <c r="Z4" s="1920"/>
      <c r="AA4" s="1920"/>
      <c r="AB4" s="1920"/>
    </row>
    <row r="5" spans="1:28" ht="13.5" thickTop="1">
      <c r="A5" s="2592" t="s">
        <v>2911</v>
      </c>
      <c r="B5" s="2593"/>
      <c r="C5" s="2594"/>
      <c r="D5" s="2595"/>
      <c r="E5" s="2879"/>
      <c r="F5" s="2879"/>
      <c r="G5" s="2879"/>
      <c r="H5" s="2879"/>
      <c r="I5" s="2879"/>
      <c r="J5" s="2653"/>
      <c r="K5" s="2591" t="str">
        <f>IF(F4="——","",IF(H4="——",F4&amp;"（注册号："&amp;G4&amp;")",CONCATENATE(F4,"（注册号：",G4,")、",H4,"（注册号：",I4,")")))</f>
        <v>（注册号：0)、（注册号：0)</v>
      </c>
      <c r="L5" s="2582"/>
      <c r="M5" s="2582"/>
      <c r="N5" s="2583"/>
      <c r="O5" s="1751"/>
      <c r="P5" s="2583"/>
      <c r="Q5" s="2583"/>
      <c r="R5" s="2583"/>
      <c r="S5" s="1920"/>
      <c r="T5" s="1920"/>
      <c r="U5" s="1920"/>
      <c r="V5" s="1920"/>
      <c r="W5" s="1920"/>
      <c r="X5" s="1920"/>
      <c r="Y5" s="1920"/>
      <c r="Z5" s="1920"/>
      <c r="AA5" s="1920"/>
      <c r="AB5" s="1920"/>
    </row>
    <row r="6" spans="1:28">
      <c r="A6" s="2596" t="s">
        <v>2912</v>
      </c>
      <c r="B6" s="2597"/>
      <c r="C6" s="2598"/>
      <c r="D6" s="2599"/>
      <c r="E6" s="2877"/>
      <c r="F6" s="2879"/>
      <c r="G6" s="2879"/>
      <c r="H6" s="2879"/>
      <c r="I6" s="2879"/>
      <c r="J6" s="2653"/>
      <c r="K6" s="2829" t="str">
        <f>IF(COUNTIF(B6,"*上海银行*"),"上海银行","")</f>
        <v/>
      </c>
      <c r="L6" s="2827"/>
      <c r="M6" s="2827"/>
      <c r="N6" s="2653"/>
      <c r="O6" s="2664"/>
      <c r="P6" s="2653"/>
      <c r="Q6" s="2653"/>
      <c r="R6" s="2653"/>
    </row>
    <row r="7" spans="1:28">
      <c r="A7" s="2596" t="s">
        <v>2913</v>
      </c>
      <c r="B7" s="2600"/>
      <c r="C7" s="2598"/>
      <c r="D7" s="2599"/>
      <c r="E7" s="2877"/>
      <c r="F7" s="2879"/>
      <c r="G7" s="2879"/>
      <c r="H7" s="2879"/>
      <c r="I7" s="2879"/>
      <c r="J7" s="2653"/>
      <c r="K7" s="2830"/>
      <c r="L7" s="2827"/>
      <c r="M7" s="2827"/>
      <c r="N7" s="2653"/>
      <c r="O7" s="2664"/>
      <c r="P7" s="2653"/>
      <c r="Q7" s="2653"/>
      <c r="R7" s="2653"/>
    </row>
    <row r="8" spans="1:28">
      <c r="A8" s="2601" t="s">
        <v>2914</v>
      </c>
      <c r="B8" s="2602" t="s">
        <v>3163</v>
      </c>
      <c r="C8" s="2603"/>
      <c r="D8" s="3243" t="s">
        <v>2915</v>
      </c>
      <c r="E8" s="2604" t="s">
        <v>3456</v>
      </c>
      <c r="F8" s="2605"/>
      <c r="G8" s="2878"/>
      <c r="H8" s="2878"/>
      <c r="I8" s="2878"/>
      <c r="J8" s="2653"/>
      <c r="K8" s="2828"/>
      <c r="L8" s="2827"/>
      <c r="M8" s="2827"/>
      <c r="N8" s="2653"/>
      <c r="O8" s="2664"/>
      <c r="P8" s="2653"/>
      <c r="Q8" s="2653"/>
      <c r="R8" s="2653"/>
    </row>
    <row r="9" spans="1:28" ht="13.5" thickBot="1">
      <c r="A9" s="2606" t="s">
        <v>2916</v>
      </c>
      <c r="B9" s="2607" t="s">
        <v>3164</v>
      </c>
      <c r="C9" s="2608"/>
      <c r="D9" s="3244"/>
      <c r="E9" s="2607" t="s">
        <v>70</v>
      </c>
      <c r="F9" s="2609"/>
      <c r="G9" s="2880"/>
      <c r="H9" s="2880"/>
      <c r="I9" s="2880"/>
      <c r="J9" s="2653"/>
      <c r="K9" s="2830"/>
      <c r="L9" s="2827"/>
      <c r="M9" s="2827"/>
      <c r="N9" s="2653"/>
      <c r="O9" s="2664"/>
      <c r="P9" s="2653"/>
      <c r="Q9" s="2653"/>
      <c r="R9" s="2653"/>
    </row>
    <row r="10" spans="1:28" ht="13.5" thickTop="1">
      <c r="A10" s="2610" t="s">
        <v>2917</v>
      </c>
      <c r="B10" s="2611" t="s">
        <v>3102</v>
      </c>
      <c r="C10" s="2612"/>
      <c r="D10" s="2595"/>
      <c r="E10" s="2613" t="s">
        <v>2918</v>
      </c>
      <c r="F10" s="3066" t="str">
        <f>面积指标!B5</f>
        <v>丰台区丰仪路1号院1号楼1至2层101</v>
      </c>
      <c r="G10" s="2881"/>
      <c r="H10" s="2882"/>
      <c r="I10" s="2883"/>
      <c r="J10" s="2653"/>
      <c r="K10" s="2830"/>
      <c r="L10" s="2827"/>
      <c r="M10" s="2827"/>
      <c r="N10" s="2653"/>
      <c r="O10" s="2664"/>
      <c r="P10" s="2653"/>
      <c r="Q10" s="2653"/>
      <c r="R10" s="2653"/>
    </row>
    <row r="11" spans="1:28" ht="24">
      <c r="A11" s="2614" t="s">
        <v>2919</v>
      </c>
      <c r="B11" s="2615" t="s">
        <v>3165</v>
      </c>
      <c r="C11" s="3067" t="s">
        <v>3309</v>
      </c>
      <c r="D11" s="2616"/>
      <c r="E11" s="2583"/>
      <c r="F11" s="2583"/>
      <c r="G11" s="2583"/>
      <c r="H11" s="2583"/>
      <c r="I11" s="2583"/>
      <c r="J11" s="2653"/>
      <c r="K11" s="2830"/>
      <c r="L11" s="2827"/>
      <c r="M11" s="2827"/>
      <c r="N11" s="2653"/>
      <c r="O11" s="2664"/>
      <c r="P11" s="2653"/>
      <c r="Q11" s="2653"/>
      <c r="R11" s="2653"/>
    </row>
    <row r="12" spans="1:28">
      <c r="A12" s="2617" t="s">
        <v>2920</v>
      </c>
      <c r="B12" s="2615" t="s">
        <v>3166</v>
      </c>
      <c r="C12" s="329" t="s">
        <v>2921</v>
      </c>
      <c r="D12" s="2618" t="s">
        <v>2922</v>
      </c>
      <c r="E12" s="2618" t="s">
        <v>2923</v>
      </c>
      <c r="F12" s="2618" t="s">
        <v>2924</v>
      </c>
      <c r="G12" s="2618" t="s">
        <v>2925</v>
      </c>
      <c r="H12" s="2618" t="s">
        <v>2926</v>
      </c>
      <c r="I12" s="2618" t="s">
        <v>2927</v>
      </c>
      <c r="J12" s="2653"/>
      <c r="K12" s="2830"/>
      <c r="L12" s="2827"/>
      <c r="M12" s="2827"/>
      <c r="N12" s="2653"/>
      <c r="O12" s="2664"/>
      <c r="P12" s="2653"/>
      <c r="Q12" s="2653"/>
      <c r="R12" s="2653"/>
    </row>
    <row r="13" spans="1:28">
      <c r="A13" s="1233"/>
      <c r="B13" s="2619"/>
      <c r="C13" s="2620" t="s">
        <v>2928</v>
      </c>
      <c r="D13" s="959"/>
      <c r="E13" s="959">
        <v>56203</v>
      </c>
      <c r="F13" s="959"/>
      <c r="G13" s="959"/>
      <c r="H13" s="959">
        <v>44792</v>
      </c>
      <c r="I13" s="959">
        <v>48029</v>
      </c>
      <c r="J13" s="3136" t="s">
        <v>3311</v>
      </c>
      <c r="K13" s="2830" t="s">
        <v>3310</v>
      </c>
      <c r="L13" s="2827"/>
      <c r="M13" s="2827"/>
      <c r="N13" s="2653"/>
      <c r="O13" s="2664"/>
      <c r="P13" s="2653"/>
      <c r="Q13" s="2653"/>
      <c r="R13" s="2653"/>
    </row>
    <row r="14" spans="1:28">
      <c r="A14" s="1233"/>
      <c r="B14" s="2619"/>
      <c r="C14" s="2620" t="s">
        <v>2929</v>
      </c>
      <c r="D14" s="2621"/>
      <c r="E14" s="2621">
        <v>40</v>
      </c>
      <c r="F14" s="2621"/>
      <c r="G14" s="2621"/>
      <c r="H14" s="2621"/>
      <c r="I14" s="2621"/>
      <c r="J14" s="2653"/>
      <c r="K14" s="2831"/>
      <c r="L14" s="2827"/>
      <c r="M14" s="2827"/>
      <c r="N14" s="2653"/>
      <c r="O14" s="2664"/>
      <c r="P14" s="2653"/>
      <c r="Q14" s="2653"/>
      <c r="R14" s="2653"/>
    </row>
    <row r="15" spans="1:28">
      <c r="A15" s="326"/>
      <c r="B15" s="2622"/>
      <c r="C15" s="2623" t="s">
        <v>2930</v>
      </c>
      <c r="D15" s="2624" t="str">
        <f>IF(B12="出让",IF(D13="","",ROUNDDOWN(MIN((D13-$D$3)/365,D14),2)),D14)</f>
        <v/>
      </c>
      <c r="E15" s="2624">
        <f>IF(B12="出让",IF(E13="","",ROUNDDOWN(MIN((E13-$D$3)/365,E14),2)),E14)</f>
        <v>32</v>
      </c>
      <c r="F15" s="2624" t="str">
        <f>IF(B12="出让",IF(F13="","",ROUNDDOWN(MIN((F13-$D$3)/365,F14),2)),F14)</f>
        <v/>
      </c>
      <c r="G15" s="2624" t="str">
        <f>IF(B12="出让",IF(G13="","",ROUNDDOWN(MIN((G13-$D$3)/365,G14),2)),G14)</f>
        <v/>
      </c>
      <c r="H15" s="2624">
        <f>IF(B12="出让",IF(H13="","",ROUNDDOWN(MIN((H13-$D$3)/365,H14),2)),H14)</f>
        <v>0.73</v>
      </c>
      <c r="I15" s="2624">
        <f>IF(B12="出让",IF(I13="","",ROUNDDOWN(MIN((I13-$D$3)/365,I14),2)),I14)</f>
        <v>9.6</v>
      </c>
      <c r="J15" s="2653"/>
      <c r="K15" s="2832"/>
      <c r="L15" s="2665"/>
      <c r="M15" s="2665"/>
      <c r="N15" s="2723"/>
      <c r="O15" s="2665"/>
      <c r="P15" s="2723"/>
      <c r="Q15" s="2653"/>
      <c r="R15" s="2653"/>
    </row>
    <row r="16" spans="1:28">
      <c r="A16" s="2613" t="s">
        <v>2931</v>
      </c>
      <c r="B16" s="3250"/>
      <c r="C16" s="3251"/>
      <c r="D16" s="3252"/>
      <c r="E16" s="2627" t="s">
        <v>2932</v>
      </c>
      <c r="F16" s="3253"/>
      <c r="G16" s="3254"/>
      <c r="H16" s="3254"/>
      <c r="I16" s="3255"/>
      <c r="J16" s="2653"/>
      <c r="K16" s="2832"/>
      <c r="L16" s="2665"/>
      <c r="M16" s="2665"/>
      <c r="N16" s="2723"/>
      <c r="O16" s="2665"/>
      <c r="P16" s="2723"/>
      <c r="Q16" s="2653"/>
      <c r="R16" s="2653"/>
    </row>
    <row r="17" spans="1:28">
      <c r="A17" s="319" t="s">
        <v>2933</v>
      </c>
      <c r="B17" s="308" t="s">
        <v>2934</v>
      </c>
      <c r="C17" s="11">
        <f>'数据-汇总表'!E3</f>
        <v>998.81000000000006</v>
      </c>
      <c r="D17" s="2534" t="s">
        <v>2935</v>
      </c>
      <c r="E17" s="3256" t="s">
        <v>2936</v>
      </c>
      <c r="F17" s="3257"/>
      <c r="G17" s="3257"/>
      <c r="H17" s="3257"/>
      <c r="I17" s="3258"/>
      <c r="J17" s="2653"/>
      <c r="K17" s="2833"/>
      <c r="L17" s="2665"/>
      <c r="M17" s="2665"/>
      <c r="N17" s="2723"/>
      <c r="O17" s="2665"/>
      <c r="P17" s="2723"/>
      <c r="Q17" s="2653"/>
      <c r="R17" s="2653"/>
      <c r="S17" s="2653"/>
      <c r="T17" s="2653"/>
      <c r="U17" s="2653"/>
      <c r="V17" s="2653"/>
    </row>
    <row r="18" spans="1:28" ht="24.75" thickBot="1">
      <c r="A18" s="2628" t="s">
        <v>2937</v>
      </c>
      <c r="B18" s="1242" t="s">
        <v>2938</v>
      </c>
      <c r="C18" s="2629">
        <f>'数据-汇总表'!D3</f>
        <v>0</v>
      </c>
      <c r="D18" s="1244" t="s">
        <v>2939</v>
      </c>
      <c r="E18" s="3259" t="s">
        <v>2940</v>
      </c>
      <c r="F18" s="3260"/>
      <c r="G18" s="3260"/>
      <c r="H18" s="3260"/>
      <c r="I18" s="3261"/>
      <c r="J18" s="2653"/>
      <c r="K18" s="2833"/>
      <c r="L18" s="2665"/>
      <c r="M18" s="2665"/>
      <c r="N18" s="2723"/>
      <c r="O18" s="2665"/>
      <c r="P18" s="2723"/>
      <c r="Q18" s="2653"/>
      <c r="R18" s="2653"/>
      <c r="S18" s="2653"/>
      <c r="T18" s="2653"/>
      <c r="U18" s="2653"/>
      <c r="V18" s="2653"/>
    </row>
    <row r="19" spans="1:28" ht="37.5" thickTop="1" thickBot="1">
      <c r="A19" s="333" t="s">
        <v>1741</v>
      </c>
      <c r="B19" s="313" t="s">
        <v>2941</v>
      </c>
      <c r="C19" s="1738"/>
      <c r="D19" s="1739" t="s">
        <v>2942</v>
      </c>
      <c r="E19" s="1740"/>
      <c r="F19" s="1741" t="str">
        <f>IF(AND(C19="是",E19="否"),"是否提供他项权证或相关说明","")</f>
        <v/>
      </c>
      <c r="G19" s="1742"/>
      <c r="H19" s="2879"/>
      <c r="I19" s="2879"/>
      <c r="J19" s="2653"/>
      <c r="K19" s="2830"/>
      <c r="L19" s="2827"/>
      <c r="M19" s="2827"/>
      <c r="N19" s="2723"/>
      <c r="O19" s="2665"/>
      <c r="P19" s="2723"/>
      <c r="Q19" s="2653"/>
      <c r="R19" s="2653"/>
      <c r="S19" s="2653"/>
      <c r="T19" s="2653"/>
      <c r="U19" s="2653"/>
      <c r="V19" s="2653"/>
    </row>
    <row r="20" spans="1:28">
      <c r="A20" s="2847" t="s">
        <v>2943</v>
      </c>
      <c r="B20" s="3246" t="s">
        <v>2944</v>
      </c>
      <c r="C20" s="3247"/>
      <c r="D20" s="3248" t="s">
        <v>2945</v>
      </c>
      <c r="E20" s="3249"/>
      <c r="F20" s="2862" t="s">
        <v>1742</v>
      </c>
      <c r="G20" s="2879"/>
      <c r="H20" s="2879"/>
      <c r="I20" s="2879"/>
      <c r="J20" s="2653"/>
      <c r="K20" s="3245" t="s">
        <v>2946</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6"/>
      <c r="O20" s="2625"/>
      <c r="P20" s="2626"/>
      <c r="Q20" s="2583"/>
      <c r="R20" s="2583"/>
      <c r="S20" s="2583"/>
      <c r="T20" s="2583"/>
      <c r="U20" s="2583"/>
      <c r="V20" s="2583"/>
      <c r="W20" s="1920"/>
      <c r="X20" s="1920"/>
      <c r="Y20" s="1920"/>
      <c r="Z20" s="1920"/>
      <c r="AA20" s="1920"/>
      <c r="AB20" s="1920"/>
    </row>
    <row r="21" spans="1:28" ht="24.75" thickBot="1">
      <c r="A21" s="2847"/>
      <c r="B21" s="2848" t="s">
        <v>2947</v>
      </c>
      <c r="C21" s="2849" t="s">
        <v>3167</v>
      </c>
      <c r="D21" s="1743" t="s">
        <v>2948</v>
      </c>
      <c r="E21" s="2850" t="s">
        <v>3167</v>
      </c>
      <c r="F21" s="2863"/>
      <c r="G21" s="2879"/>
      <c r="H21" s="2879"/>
      <c r="I21" s="2879"/>
      <c r="J21" s="2653"/>
      <c r="K21" s="324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2"/>
      <c r="N21" s="2626"/>
      <c r="O21" s="2625"/>
      <c r="P21" s="2626"/>
      <c r="Q21" s="2583"/>
      <c r="R21" s="2583"/>
      <c r="S21" s="2583"/>
      <c r="T21" s="2583"/>
      <c r="U21" s="2583"/>
      <c r="V21" s="2583"/>
      <c r="W21" s="1920"/>
      <c r="X21" s="1920"/>
      <c r="Y21" s="1920"/>
      <c r="Z21" s="1920"/>
      <c r="AA21" s="1920"/>
      <c r="AB21" s="1920"/>
    </row>
    <row r="22" spans="1:28" ht="24.75" thickBot="1">
      <c r="A22" s="2847"/>
      <c r="B22" s="2851" t="s">
        <v>2949</v>
      </c>
      <c r="C22" s="2849" t="s">
        <v>1743</v>
      </c>
      <c r="D22" s="2878"/>
      <c r="E22" s="2878"/>
      <c r="F22" s="2878"/>
      <c r="G22" s="2879"/>
      <c r="H22" s="2879"/>
      <c r="I22" s="2879"/>
      <c r="J22" s="2653"/>
      <c r="K22" s="324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82"/>
      <c r="N22" s="2626"/>
      <c r="O22" s="2625"/>
      <c r="P22" s="2626"/>
      <c r="Q22" s="2583"/>
      <c r="R22" s="2583"/>
      <c r="S22" s="2583"/>
      <c r="T22" s="2583"/>
      <c r="U22" s="2583"/>
      <c r="V22" s="2583"/>
      <c r="W22" s="1920"/>
      <c r="X22" s="1920"/>
      <c r="Y22" s="1920"/>
      <c r="Z22" s="1920"/>
      <c r="AA22" s="1920"/>
      <c r="AB22" s="1920"/>
    </row>
    <row r="23" spans="1:28">
      <c r="A23" s="2852" t="s">
        <v>2950</v>
      </c>
      <c r="B23" s="2716" t="s">
        <v>2951</v>
      </c>
      <c r="C23" s="2853"/>
      <c r="D23" s="2854" t="s">
        <v>2951</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1744</v>
      </c>
      <c r="C24" s="2856"/>
      <c r="D24" s="2852" t="s">
        <v>1744</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1745</v>
      </c>
      <c r="C25" s="2856"/>
      <c r="D25" s="2852" t="s">
        <v>1745</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1746</v>
      </c>
      <c r="C26" s="2860"/>
      <c r="D26" s="2858" t="s">
        <v>1746</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263" t="s">
        <v>2952</v>
      </c>
      <c r="B27" s="326" t="s">
        <v>2953</v>
      </c>
      <c r="C27" s="2630" t="s">
        <v>3312</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263"/>
      <c r="B28" s="308" t="s">
        <v>2954</v>
      </c>
      <c r="C28" s="2632" t="s">
        <v>3168</v>
      </c>
      <c r="D28" s="2633"/>
      <c r="E28" s="2879"/>
      <c r="F28" s="2879"/>
      <c r="G28" s="2879"/>
      <c r="H28" s="2879"/>
      <c r="I28" s="2879"/>
      <c r="J28" s="2653"/>
      <c r="K28" s="2830"/>
      <c r="L28" s="2827"/>
      <c r="M28" s="2827"/>
      <c r="N28" s="2653"/>
      <c r="O28" s="2664"/>
      <c r="P28" s="2653"/>
      <c r="Q28" s="2653"/>
      <c r="R28" s="2653"/>
      <c r="S28" s="2653"/>
      <c r="T28" s="2653"/>
      <c r="U28" s="2653"/>
      <c r="V28" s="2653"/>
    </row>
    <row r="29" spans="1:28">
      <c r="A29" s="3263"/>
      <c r="B29" s="308" t="s">
        <v>2955</v>
      </c>
      <c r="C29" s="2634" t="s">
        <v>3169</v>
      </c>
      <c r="D29" s="2635"/>
      <c r="E29" s="2879"/>
      <c r="F29" s="2879"/>
      <c r="G29" s="2879"/>
      <c r="H29" s="2879"/>
      <c r="I29" s="2879"/>
      <c r="J29" s="2653"/>
      <c r="K29" s="2830"/>
      <c r="L29" s="2827"/>
      <c r="M29" s="2827"/>
      <c r="N29" s="2653"/>
      <c r="O29" s="2664"/>
      <c r="P29" s="2653"/>
      <c r="Q29" s="2653"/>
      <c r="R29" s="2653"/>
      <c r="S29" s="2653"/>
      <c r="T29" s="2653"/>
      <c r="U29" s="2653"/>
      <c r="V29" s="2653"/>
    </row>
    <row r="30" spans="1:28">
      <c r="A30" s="3264"/>
      <c r="B30" s="308" t="s">
        <v>2956</v>
      </c>
      <c r="C30" s="3265"/>
      <c r="D30" s="3266"/>
      <c r="E30" s="2879"/>
      <c r="F30" s="2879"/>
      <c r="G30" s="2879"/>
      <c r="H30" s="2879"/>
      <c r="I30" s="2879"/>
      <c r="J30" s="2653"/>
      <c r="K30" s="2830"/>
      <c r="L30" s="2827"/>
      <c r="M30" s="2827"/>
      <c r="N30" s="2653"/>
      <c r="O30" s="2664"/>
      <c r="P30" s="2653"/>
      <c r="Q30" s="2653"/>
      <c r="R30" s="2653"/>
      <c r="S30" s="2653"/>
      <c r="T30" s="2653"/>
      <c r="U30" s="2653"/>
      <c r="V30" s="2653"/>
    </row>
    <row r="31" spans="1:28">
      <c r="A31" s="3267" t="s">
        <v>2957</v>
      </c>
      <c r="B31" s="2636" t="s">
        <v>3170</v>
      </c>
      <c r="C31" s="2535" t="str">
        <f>IF(B31="现房","成新及维护状况正常否",IF(B31="在建","工程状态是否正常",IF(B31="土地","是否闲置","-")))</f>
        <v>成新及维护状况正常否</v>
      </c>
      <c r="D31" s="1547"/>
      <c r="E31" s="2637"/>
      <c r="F31" s="2879"/>
      <c r="G31" s="2879"/>
      <c r="H31" s="2879"/>
      <c r="I31" s="2879"/>
      <c r="J31" s="2653"/>
      <c r="K31" s="2829"/>
      <c r="L31" s="2827"/>
      <c r="M31" s="2827"/>
      <c r="N31" s="2653"/>
      <c r="O31" s="2664"/>
      <c r="P31" s="2653"/>
      <c r="Q31" s="2653"/>
      <c r="R31" s="2653"/>
      <c r="S31" s="2653"/>
      <c r="T31" s="2653"/>
      <c r="U31" s="2653"/>
      <c r="V31" s="2653"/>
    </row>
    <row r="32" spans="1:28">
      <c r="A32" s="3268"/>
      <c r="B32" s="2636"/>
      <c r="C32" s="2535" t="str">
        <f>IF(B32="现房","成新及维护状况是否正常",IF(B32="在建","工程状态是否正常",IF(B32="土地","是否闲置","-")))</f>
        <v>-</v>
      </c>
      <c r="D32" s="1547"/>
      <c r="E32" s="2637"/>
      <c r="F32" s="2879"/>
      <c r="G32" s="2879"/>
      <c r="H32" s="2879"/>
      <c r="I32" s="2879"/>
      <c r="J32" s="2653"/>
      <c r="K32" s="2830"/>
      <c r="L32" s="2827"/>
      <c r="M32" s="2827"/>
      <c r="N32" s="2653"/>
      <c r="O32" s="2664"/>
      <c r="P32" s="2653"/>
      <c r="Q32" s="2653"/>
      <c r="R32" s="2653"/>
      <c r="S32" s="2653"/>
      <c r="T32" s="2653"/>
      <c r="U32" s="2653"/>
      <c r="V32" s="2653"/>
    </row>
    <row r="33" spans="1:30">
      <c r="A33" s="3268"/>
      <c r="B33" s="2639"/>
      <c r="C33" s="1765" t="str">
        <f>IF(B33="现房","成新及维护状况是否正常",IF(B33="在建","工程状态是否正常",IF(B33="土地","是否闲置","-")))</f>
        <v>-</v>
      </c>
      <c r="D33" s="1539"/>
      <c r="E33" s="2640"/>
      <c r="F33" s="2879"/>
      <c r="G33" s="2879"/>
      <c r="H33" s="2879"/>
      <c r="I33" s="2879"/>
      <c r="J33" s="2653"/>
      <c r="K33" s="2830"/>
      <c r="L33" s="2827"/>
      <c r="M33" s="2827"/>
      <c r="N33" s="2653"/>
      <c r="O33" s="2664"/>
      <c r="P33" s="2653"/>
      <c r="Q33" s="2653"/>
      <c r="R33" s="2653"/>
      <c r="S33" s="2653"/>
      <c r="T33" s="2653"/>
      <c r="U33" s="2653"/>
      <c r="V33" s="2653"/>
    </row>
    <row r="34" spans="1:30">
      <c r="A34" s="308" t="s">
        <v>2958</v>
      </c>
      <c r="B34" s="2203" t="s">
        <v>3171</v>
      </c>
      <c r="C34" s="2203" t="s">
        <v>3172</v>
      </c>
      <c r="D34" s="2203" t="s">
        <v>3173</v>
      </c>
      <c r="E34" s="2203" t="s">
        <v>3174</v>
      </c>
      <c r="F34" s="2203" t="s">
        <v>3175</v>
      </c>
      <c r="G34" s="2203" t="s">
        <v>3176</v>
      </c>
      <c r="H34" s="2203" t="s">
        <v>3177</v>
      </c>
      <c r="I34" s="2879"/>
      <c r="J34" s="2653"/>
      <c r="K34" s="2641">
        <f>COUNTIF(B34:H34,"——")</f>
        <v>0</v>
      </c>
      <c r="L34" s="329" t="s">
        <v>2959</v>
      </c>
      <c r="M34" s="329" t="s">
        <v>2960</v>
      </c>
      <c r="N34" s="329" t="s">
        <v>2961</v>
      </c>
      <c r="O34" s="329" t="s">
        <v>2962</v>
      </c>
      <c r="P34" s="329" t="s">
        <v>2963</v>
      </c>
      <c r="Q34" s="329" t="s">
        <v>2964</v>
      </c>
      <c r="R34" s="329" t="s">
        <v>2965</v>
      </c>
      <c r="S34" s="3262" t="s">
        <v>2966</v>
      </c>
      <c r="T34" s="2642" t="str">
        <f>NUMBERSTRING(7-K34,1)&amp;"通"</f>
        <v>七通</v>
      </c>
      <c r="U34" s="2653"/>
      <c r="V34" s="2653"/>
    </row>
    <row r="35" spans="1:30">
      <c r="A35" s="2643"/>
      <c r="B35" s="3269" t="s">
        <v>2967</v>
      </c>
      <c r="C35" s="3269"/>
      <c r="D35" s="3269"/>
      <c r="E35" s="3269"/>
      <c r="F35" s="673">
        <f>C10</f>
        <v>0</v>
      </c>
      <c r="G35" s="2879"/>
      <c r="H35" s="2879"/>
      <c r="I35" s="2879"/>
      <c r="J35" s="265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62"/>
      <c r="T35" s="335" t="str">
        <f>IF(T34="一通",L35,IF(T34="二通",M35,IF(T34="三通",N35,IF(T34="四通",O35,IF(T34="五通",P35,IF(T34="六通",Q35,R35))))))</f>
        <v>通路、通电、通讯、通上水、通下水、通热、燃气</v>
      </c>
      <c r="U35" s="2653"/>
      <c r="V35" s="2653"/>
    </row>
    <row r="36" spans="1:30">
      <c r="A36" s="2644"/>
      <c r="B36" s="673" t="s">
        <v>2923</v>
      </c>
      <c r="C36" s="673" t="s">
        <v>2924</v>
      </c>
      <c r="D36" s="673" t="s">
        <v>2922</v>
      </c>
      <c r="E36" s="673" t="s">
        <v>2927</v>
      </c>
      <c r="F36" s="2884"/>
      <c r="G36" s="2879"/>
      <c r="H36" s="2879"/>
      <c r="I36" s="2879"/>
      <c r="J36" s="2653"/>
      <c r="K36" s="2830"/>
      <c r="L36" s="2827"/>
      <c r="M36" s="2827"/>
      <c r="N36" s="2653"/>
      <c r="O36" s="2664"/>
      <c r="P36" s="2653"/>
      <c r="Q36" s="2653"/>
      <c r="R36" s="2653"/>
      <c r="S36" s="2653"/>
      <c r="T36" s="2653"/>
      <c r="U36" s="2653"/>
      <c r="V36" s="2653"/>
    </row>
    <row r="37" spans="1:30">
      <c r="A37" s="2845" t="s">
        <v>2968</v>
      </c>
      <c r="B37" s="2645" t="s">
        <v>56</v>
      </c>
      <c r="C37" s="2645"/>
      <c r="D37" s="2645"/>
      <c r="E37" s="2645"/>
      <c r="F37" s="2884"/>
      <c r="G37" s="2879"/>
      <c r="H37" s="2879"/>
      <c r="I37" s="2879"/>
      <c r="J37" s="2653"/>
      <c r="K37" s="2830"/>
      <c r="L37" s="2827"/>
      <c r="M37" s="2827"/>
      <c r="N37" s="2653"/>
      <c r="O37" s="2664"/>
      <c r="P37" s="2653"/>
      <c r="Q37" s="2653"/>
      <c r="R37" s="2653"/>
      <c r="S37" s="2653"/>
      <c r="T37" s="2653"/>
      <c r="U37" s="2653"/>
      <c r="V37" s="2653"/>
    </row>
    <row r="38" spans="1:30" ht="13.5" thickBot="1">
      <c r="A38" s="2846" t="s">
        <v>2969</v>
      </c>
      <c r="B38" s="2646" t="s">
        <v>275</v>
      </c>
      <c r="C38" s="2646"/>
      <c r="D38" s="2646"/>
      <c r="E38" s="2646"/>
      <c r="F38" s="2885"/>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2970</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3"/>
      <c r="B40" s="2583"/>
      <c r="C40" s="2583"/>
      <c r="D40" s="2583"/>
      <c r="E40" s="2583"/>
      <c r="F40" s="2583"/>
      <c r="G40" s="2583"/>
      <c r="H40" s="2583"/>
      <c r="I40" s="1753"/>
      <c r="J40" s="2723"/>
      <c r="K40" s="2829"/>
      <c r="L40" s="2665"/>
      <c r="M40" s="2665"/>
      <c r="N40" s="2723"/>
      <c r="O40" s="2665"/>
      <c r="P40" s="2653"/>
      <c r="Q40" s="2653"/>
      <c r="R40" s="2653"/>
      <c r="S40" s="2653"/>
      <c r="T40" s="2653"/>
      <c r="U40" s="2653"/>
      <c r="V40" s="2653"/>
    </row>
    <row r="41" spans="1:30">
      <c r="A41" s="2650" t="s">
        <v>2971</v>
      </c>
      <c r="B41" s="1932"/>
      <c r="C41" s="1547"/>
      <c r="D41" s="2583"/>
      <c r="E41" s="2583"/>
      <c r="F41" s="2583"/>
      <c r="G41" s="2583"/>
      <c r="H41" s="2583"/>
      <c r="I41" s="1751"/>
      <c r="J41" s="2653"/>
      <c r="K41" s="2830"/>
      <c r="L41" s="2827"/>
      <c r="M41" s="2827"/>
      <c r="N41" s="2653"/>
      <c r="O41" s="2664"/>
      <c r="P41" s="2653"/>
      <c r="Q41" s="2653"/>
      <c r="R41" s="2653"/>
      <c r="S41" s="2653"/>
      <c r="T41" s="2653"/>
      <c r="U41" s="2653"/>
      <c r="V41" s="2653"/>
    </row>
    <row r="42" spans="1:30" ht="25.5">
      <c r="A42" s="329" t="s">
        <v>2972</v>
      </c>
      <c r="B42" s="11" t="s">
        <v>2973</v>
      </c>
      <c r="C42" s="11" t="s">
        <v>2974</v>
      </c>
      <c r="D42" s="11" t="s">
        <v>2975</v>
      </c>
      <c r="E42" s="11" t="s">
        <v>2976</v>
      </c>
      <c r="F42" s="11" t="s">
        <v>2977</v>
      </c>
      <c r="G42" s="11" t="s">
        <v>2978</v>
      </c>
      <c r="H42" s="11" t="s">
        <v>2979</v>
      </c>
      <c r="I42" s="11" t="s">
        <v>2980</v>
      </c>
      <c r="J42" s="2841" t="s">
        <v>2981</v>
      </c>
      <c r="K42" s="2842" t="s">
        <v>2982</v>
      </c>
      <c r="L42" s="2842" t="s">
        <v>2983</v>
      </c>
      <c r="M42" s="2842" t="s">
        <v>2984</v>
      </c>
      <c r="N42" s="2835" t="s">
        <v>2985</v>
      </c>
      <c r="O42" s="2835" t="s">
        <v>2986</v>
      </c>
      <c r="P42" s="2835" t="s">
        <v>2987</v>
      </c>
      <c r="Q42" s="2836" t="s">
        <v>2988</v>
      </c>
      <c r="R42" s="2836" t="s">
        <v>2989</v>
      </c>
      <c r="S42" s="2653"/>
      <c r="T42" s="2653"/>
      <c r="U42" s="2653"/>
      <c r="V42" s="2653"/>
    </row>
    <row r="43" spans="1:30" s="1918" customFormat="1">
      <c r="A43" s="1745"/>
      <c r="B43" s="1174"/>
      <c r="C43" s="1174"/>
      <c r="D43" s="1174"/>
      <c r="E43" s="1174"/>
      <c r="F43" s="1174"/>
      <c r="G43" s="1174"/>
      <c r="H43" s="1174"/>
      <c r="I43" s="1174"/>
      <c r="J43" s="2651"/>
      <c r="K43" s="2652"/>
      <c r="L43" s="2652"/>
      <c r="M43" s="1174"/>
      <c r="N43" s="1174"/>
      <c r="O43" s="1174"/>
      <c r="P43" s="1174"/>
      <c r="Q43" s="1174"/>
      <c r="R43" s="1174"/>
      <c r="S43" s="2653"/>
      <c r="T43" s="2653"/>
      <c r="U43" s="2653"/>
      <c r="V43" s="2653"/>
    </row>
    <row r="44" spans="1:30" s="1918" customFormat="1">
      <c r="A44" s="1745"/>
      <c r="B44" s="1745"/>
      <c r="C44" s="1174"/>
      <c r="D44" s="1174"/>
      <c r="E44" s="1174"/>
      <c r="F44" s="1174"/>
      <c r="G44" s="1174"/>
      <c r="H44" s="1174"/>
      <c r="I44" s="1174"/>
      <c r="J44" s="2651"/>
      <c r="K44" s="2652"/>
      <c r="L44" s="2652"/>
      <c r="M44" s="1174"/>
      <c r="N44" s="1174"/>
      <c r="O44" s="1174"/>
      <c r="P44" s="1174"/>
      <c r="Q44" s="1174"/>
      <c r="R44" s="1174"/>
      <c r="S44" s="2653"/>
      <c r="T44" s="2653"/>
      <c r="U44" s="2653"/>
      <c r="V44" s="2653"/>
    </row>
    <row r="45" spans="1:30" s="1918" customFormat="1">
      <c r="A45" s="1745"/>
      <c r="B45" s="1745"/>
      <c r="C45" s="1174"/>
      <c r="D45" s="1174"/>
      <c r="E45" s="1174"/>
      <c r="F45" s="1174"/>
      <c r="G45" s="1174"/>
      <c r="H45" s="1174"/>
      <c r="I45" s="1174"/>
      <c r="J45" s="2651"/>
      <c r="K45" s="2652"/>
      <c r="L45" s="2652"/>
      <c r="M45" s="1174"/>
      <c r="N45" s="1174"/>
      <c r="O45" s="1174"/>
      <c r="P45" s="1174"/>
      <c r="Q45" s="1174"/>
      <c r="R45" s="1174"/>
      <c r="S45" s="2653"/>
      <c r="T45" s="2653"/>
      <c r="U45" s="2653"/>
      <c r="V45" s="2653"/>
    </row>
    <row r="46" spans="1:30" s="1918" customFormat="1">
      <c r="A46" s="1745"/>
      <c r="B46" s="1745"/>
      <c r="C46" s="1174"/>
      <c r="D46" s="1174"/>
      <c r="E46" s="1174"/>
      <c r="F46" s="1174"/>
      <c r="G46" s="1174"/>
      <c r="H46" s="1174"/>
      <c r="I46" s="1174"/>
      <c r="J46" s="2651"/>
      <c r="K46" s="2652"/>
      <c r="L46" s="2652"/>
      <c r="M46" s="1174"/>
      <c r="N46" s="1174"/>
      <c r="O46" s="1174"/>
      <c r="P46" s="1174"/>
      <c r="Q46" s="1174"/>
      <c r="R46" s="1174"/>
      <c r="S46" s="2653"/>
      <c r="T46" s="2653"/>
      <c r="U46" s="2653"/>
      <c r="V46" s="2653"/>
    </row>
    <row r="47" spans="1:30" s="1918" customFormat="1">
      <c r="A47" s="1745"/>
      <c r="B47" s="1745"/>
      <c r="C47" s="1174"/>
      <c r="D47" s="1174"/>
      <c r="E47" s="1174"/>
      <c r="F47" s="1174"/>
      <c r="G47" s="1174"/>
      <c r="H47" s="1174"/>
      <c r="I47" s="1174"/>
      <c r="J47" s="2651"/>
      <c r="K47" s="2652"/>
      <c r="L47" s="2652"/>
      <c r="M47" s="1174"/>
      <c r="N47" s="1174"/>
      <c r="O47" s="1174"/>
      <c r="P47" s="1174"/>
      <c r="Q47" s="1174"/>
      <c r="R47" s="1174"/>
      <c r="S47" s="2653"/>
      <c r="T47" s="2653"/>
      <c r="U47" s="2653"/>
      <c r="V47" s="2653"/>
    </row>
    <row r="48" spans="1:30" s="1918" customFormat="1">
      <c r="A48" s="1745"/>
      <c r="B48" s="1745"/>
      <c r="C48" s="1174"/>
      <c r="D48" s="1174"/>
      <c r="E48" s="1174"/>
      <c r="F48" s="1174"/>
      <c r="G48" s="1174"/>
      <c r="H48" s="1174"/>
      <c r="I48" s="1174"/>
      <c r="J48" s="2651"/>
      <c r="K48" s="2652"/>
      <c r="L48" s="2652"/>
      <c r="M48" s="1174"/>
      <c r="N48" s="1174"/>
      <c r="O48" s="1174"/>
      <c r="P48" s="1174"/>
      <c r="Q48" s="1174"/>
      <c r="R48" s="1174"/>
      <c r="S48" s="2653"/>
      <c r="T48" s="2653"/>
      <c r="U48" s="2653"/>
      <c r="V48" s="2653"/>
    </row>
    <row r="49" spans="1:22" s="1918" customFormat="1">
      <c r="A49" s="1745"/>
      <c r="B49" s="1745"/>
      <c r="C49" s="1174"/>
      <c r="D49" s="1174"/>
      <c r="E49" s="1174"/>
      <c r="F49" s="1174"/>
      <c r="G49" s="1174"/>
      <c r="H49" s="1174"/>
      <c r="I49" s="1174"/>
      <c r="J49" s="2651"/>
      <c r="K49" s="2652"/>
      <c r="L49" s="2652"/>
      <c r="M49" s="1174"/>
      <c r="N49" s="1174"/>
      <c r="O49" s="1174"/>
      <c r="P49" s="1174"/>
      <c r="Q49" s="1174"/>
      <c r="R49" s="1174"/>
      <c r="S49" s="2653"/>
      <c r="T49" s="2653"/>
      <c r="U49" s="2653"/>
      <c r="V49" s="2653"/>
    </row>
    <row r="50" spans="1:22" s="1918" customFormat="1">
      <c r="A50" s="1745"/>
      <c r="B50" s="1745"/>
      <c r="C50" s="1174"/>
      <c r="D50" s="1174"/>
      <c r="E50" s="1174"/>
      <c r="F50" s="1174"/>
      <c r="G50" s="1174"/>
      <c r="H50" s="1174"/>
      <c r="I50" s="1174"/>
      <c r="J50" s="2651"/>
      <c r="K50" s="2652"/>
      <c r="L50" s="2652"/>
      <c r="M50" s="1174"/>
      <c r="N50" s="1174"/>
      <c r="O50" s="1174"/>
      <c r="P50" s="1174"/>
      <c r="Q50" s="1174"/>
      <c r="R50" s="1174"/>
      <c r="S50" s="2653"/>
      <c r="T50" s="2653"/>
      <c r="U50" s="2653"/>
      <c r="V50" s="2653"/>
    </row>
    <row r="51" spans="1:22" s="1918" customFormat="1">
      <c r="A51" s="1745"/>
      <c r="B51" s="1745"/>
      <c r="C51" s="1174"/>
      <c r="D51" s="1174"/>
      <c r="E51" s="1174"/>
      <c r="F51" s="1174"/>
      <c r="G51" s="1174"/>
      <c r="H51" s="1174"/>
      <c r="I51" s="1174"/>
      <c r="J51" s="2651"/>
      <c r="K51" s="2652"/>
      <c r="L51" s="2652"/>
      <c r="M51" s="1174"/>
      <c r="N51" s="1174"/>
      <c r="O51" s="1174"/>
      <c r="P51" s="1174"/>
      <c r="Q51" s="1174"/>
      <c r="R51" s="1174"/>
    </row>
    <row r="52" spans="1:22" s="1918" customFormat="1">
      <c r="A52" s="1745"/>
      <c r="B52" s="1745"/>
      <c r="C52" s="1745"/>
      <c r="D52" s="1745"/>
      <c r="E52" s="1745"/>
      <c r="F52" s="1174"/>
      <c r="G52" s="1745"/>
      <c r="H52" s="1745"/>
      <c r="I52" s="1745"/>
      <c r="J52" s="2654"/>
      <c r="K52" s="2652"/>
      <c r="L52" s="2652"/>
      <c r="M52" s="2652"/>
      <c r="N52" s="1745"/>
      <c r="O52" s="1745"/>
      <c r="P52" s="1745"/>
      <c r="Q52" s="1745"/>
      <c r="R52" s="1745"/>
    </row>
    <row r="53" spans="1:22" s="1918" customFormat="1">
      <c r="A53" s="1745"/>
      <c r="B53" s="1745"/>
      <c r="C53" s="1745"/>
      <c r="D53" s="1745"/>
      <c r="E53" s="1745"/>
      <c r="F53" s="1174"/>
      <c r="G53" s="1745"/>
      <c r="H53" s="1745"/>
      <c r="I53" s="1745"/>
      <c r="J53" s="2654"/>
      <c r="K53" s="2652"/>
      <c r="L53" s="2652"/>
      <c r="M53" s="2652"/>
      <c r="N53" s="1745"/>
      <c r="O53" s="1745"/>
      <c r="P53" s="1745"/>
      <c r="Q53" s="1745"/>
      <c r="R53" s="1745"/>
    </row>
    <row r="54" spans="1:22" s="1918" customFormat="1">
      <c r="A54" s="1745"/>
      <c r="B54" s="1745"/>
      <c r="C54" s="1745"/>
      <c r="D54" s="1745"/>
      <c r="E54" s="1745"/>
      <c r="F54" s="1174"/>
      <c r="G54" s="1745"/>
      <c r="H54" s="1745"/>
      <c r="I54" s="1745"/>
      <c r="J54" s="2654"/>
      <c r="K54" s="2652"/>
      <c r="L54" s="2652"/>
      <c r="M54" s="2652"/>
      <c r="N54" s="1745"/>
      <c r="O54" s="1745"/>
      <c r="P54" s="1745"/>
      <c r="Q54" s="1745"/>
      <c r="R54" s="1745"/>
    </row>
    <row r="55" spans="1:22" s="1918" customFormat="1">
      <c r="A55" s="1745"/>
      <c r="B55" s="1745"/>
      <c r="C55" s="1745"/>
      <c r="D55" s="1745"/>
      <c r="E55" s="1745"/>
      <c r="F55" s="1174"/>
      <c r="G55" s="1745"/>
      <c r="H55" s="1745"/>
      <c r="I55" s="1745"/>
      <c r="J55" s="2654"/>
      <c r="K55" s="2652"/>
      <c r="L55" s="2652"/>
      <c r="M55" s="2652"/>
      <c r="N55" s="1745"/>
      <c r="O55" s="1745"/>
      <c r="P55" s="1745"/>
      <c r="Q55" s="1745"/>
      <c r="R55" s="1745"/>
    </row>
    <row r="56" spans="1:22" s="1918" customFormat="1">
      <c r="A56" s="1745"/>
      <c r="B56" s="1745"/>
      <c r="C56" s="1745"/>
      <c r="D56" s="1745"/>
      <c r="E56" s="1745"/>
      <c r="F56" s="1174"/>
      <c r="G56" s="1745"/>
      <c r="H56" s="1745"/>
      <c r="I56" s="1745"/>
      <c r="J56" s="2654"/>
      <c r="K56" s="2652"/>
      <c r="L56" s="2652"/>
      <c r="M56" s="2652"/>
      <c r="N56" s="1745"/>
      <c r="O56" s="1745"/>
      <c r="P56" s="1745"/>
      <c r="Q56" s="1745"/>
      <c r="R56" s="17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17" sqref="G17"/>
      <selection pane="topRight" activeCell="G17" sqref="G17"/>
      <selection pane="bottomLeft" activeCell="G17" sqref="G17"/>
      <selection pane="bottomRight" activeCell="J28" sqref="J28"/>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4" width="9.5" style="1748" customWidth="1"/>
    <col min="15" max="15" width="9.875" style="1748" customWidth="1"/>
    <col min="16" max="16" width="9.75" style="1748"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1747</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1748</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1749</v>
      </c>
      <c r="B2" s="11" t="s">
        <v>1750</v>
      </c>
      <c r="C2" s="11" t="s">
        <v>1751</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71" t="s">
        <v>1752</v>
      </c>
      <c r="AZ2" s="1172" t="s">
        <v>1753</v>
      </c>
      <c r="BA2" s="11" t="s">
        <v>1754</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c r="B3" s="14">
        <f>IF(C3="否",G5-AT5,G5)</f>
        <v>998.81000000000006</v>
      </c>
      <c r="C3" s="1755" t="s">
        <v>1755</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3"/>
      <c r="AZ3" s="1174"/>
      <c r="BA3" s="1175"/>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1756</v>
      </c>
      <c r="B5" s="1521"/>
      <c r="C5" s="1521"/>
      <c r="D5" s="1523"/>
      <c r="E5" s="16" t="s">
        <v>1</v>
      </c>
      <c r="F5" s="16">
        <f>SUM(F13:F587)</f>
        <v>0</v>
      </c>
      <c r="G5" s="16">
        <f>SUM(G13:G587)</f>
        <v>998.81000000000006</v>
      </c>
      <c r="H5" s="16">
        <f t="shared" ref="H5:AT5" si="0">SUM(H13:H656)</f>
        <v>998.81000000000006</v>
      </c>
      <c r="I5" s="16">
        <f t="shared" si="0"/>
        <v>998.81000000000006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1756</v>
      </c>
      <c r="AW5" s="1521"/>
      <c r="AX5" s="1521"/>
      <c r="AY5" s="17" t="s">
        <v>3</v>
      </c>
      <c r="AZ5" s="18">
        <f t="shared" ref="AZ5:BT5" si="1">SUM(AZ13:AZ656)</f>
        <v>998.81000000000006</v>
      </c>
      <c r="BA5" s="18">
        <f t="shared" si="1"/>
        <v>998.81000000000006</v>
      </c>
      <c r="BB5" s="18">
        <f t="shared" si="1"/>
        <v>998.81000000000006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1757</v>
      </c>
      <c r="B6" s="1761"/>
      <c r="C6" s="1761"/>
      <c r="D6" s="176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1757</v>
      </c>
      <c r="AW6" s="1761"/>
      <c r="AX6" s="176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1758</v>
      </c>
      <c r="B7" s="1744" t="s">
        <v>1759</v>
      </c>
      <c r="C7" s="1744" t="s">
        <v>1760</v>
      </c>
      <c r="D7" s="1744" t="s">
        <v>1761</v>
      </c>
      <c r="E7" s="1744" t="s">
        <v>1762</v>
      </c>
      <c r="F7" s="1744" t="s">
        <v>1763</v>
      </c>
      <c r="G7" s="1765" t="s">
        <v>1764</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1765</v>
      </c>
      <c r="AV7" s="23" t="s">
        <v>1766</v>
      </c>
      <c r="AW7" s="1753" t="s">
        <v>1767</v>
      </c>
      <c r="AX7" s="23" t="s">
        <v>1760</v>
      </c>
      <c r="AY7" s="1521" t="s">
        <v>1768</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1769</v>
      </c>
      <c r="H8" s="1771" t="s">
        <v>1770</v>
      </c>
      <c r="I8" s="1772"/>
      <c r="J8" s="1534"/>
      <c r="K8" s="1534"/>
      <c r="L8" s="1534"/>
      <c r="M8" s="1534"/>
      <c r="N8" s="1534"/>
      <c r="O8" s="1534"/>
      <c r="P8" s="1534"/>
      <c r="Q8" s="1534"/>
      <c r="R8" s="1534"/>
      <c r="S8" s="1534"/>
      <c r="T8" s="1534"/>
      <c r="U8" s="1534"/>
      <c r="V8" s="1773"/>
      <c r="W8" s="1534"/>
      <c r="X8" s="1534"/>
      <c r="Y8" s="1534"/>
      <c r="Z8" s="1534"/>
      <c r="AA8" s="1773"/>
      <c r="AB8" s="1774"/>
      <c r="AC8" s="912" t="s">
        <v>1771</v>
      </c>
      <c r="AD8" s="1775"/>
      <c r="AE8" s="1767"/>
      <c r="AF8" s="1534"/>
      <c r="AG8" s="1534"/>
      <c r="AH8" s="1534"/>
      <c r="AI8" s="1534"/>
      <c r="AJ8" s="1534"/>
      <c r="AK8" s="1534"/>
      <c r="AL8" s="1534"/>
      <c r="AM8" s="1534"/>
      <c r="AN8" s="1534"/>
      <c r="AO8" s="1534"/>
      <c r="AP8" s="1534"/>
      <c r="AQ8" s="1534"/>
      <c r="AR8" s="1534"/>
      <c r="AS8" s="1534"/>
      <c r="AT8" s="1194" t="s">
        <v>1772</v>
      </c>
      <c r="AU8" s="1769" t="s">
        <v>1773</v>
      </c>
      <c r="AV8" s="1194"/>
      <c r="AW8" s="1752"/>
      <c r="AX8" s="1194"/>
      <c r="AY8" s="1753" t="s">
        <v>1774</v>
      </c>
      <c r="AZ8" s="1533" t="s">
        <v>1775</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4"/>
      <c r="H9" s="1777" t="s">
        <v>1776</v>
      </c>
      <c r="I9" s="1778" t="s">
        <v>3180</v>
      </c>
      <c r="J9" s="912"/>
      <c r="K9" s="1778" t="s">
        <v>3180</v>
      </c>
      <c r="L9" s="912"/>
      <c r="M9" s="1778" t="s">
        <v>3180</v>
      </c>
      <c r="N9" s="912"/>
      <c r="O9" s="1778"/>
      <c r="P9" s="912"/>
      <c r="Q9" s="1778"/>
      <c r="R9" s="912"/>
      <c r="S9" s="1778"/>
      <c r="T9" s="912"/>
      <c r="U9" s="1778"/>
      <c r="V9" s="912"/>
      <c r="W9" s="1778"/>
      <c r="X9" s="1779"/>
      <c r="Y9" s="1778"/>
      <c r="Z9" s="912"/>
      <c r="AA9" s="1778"/>
      <c r="AB9" s="912"/>
      <c r="AC9" s="1770"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0"/>
      <c r="AT9" s="1769"/>
      <c r="AU9" s="1769" t="s">
        <v>1779</v>
      </c>
      <c r="AV9" s="1194"/>
      <c r="AW9" s="1752"/>
      <c r="AX9" s="1194"/>
      <c r="AY9" s="28"/>
      <c r="AZ9" s="28" t="s">
        <v>1769</v>
      </c>
      <c r="BA9" s="1781" t="s">
        <v>1780</v>
      </c>
      <c r="BB9" s="1782"/>
      <c r="BC9" s="1240"/>
      <c r="BD9" s="1240"/>
      <c r="BE9" s="1240"/>
      <c r="BF9" s="1240"/>
      <c r="BG9" s="1240"/>
      <c r="BH9" s="1240"/>
      <c r="BI9" s="1240"/>
      <c r="BJ9" s="1240"/>
      <c r="BK9" s="1783"/>
      <c r="BL9" s="15" t="s">
        <v>1781</v>
      </c>
      <c r="BM9" s="1534"/>
      <c r="BN9" s="1772"/>
      <c r="BO9" s="1534"/>
      <c r="BP9" s="1534"/>
      <c r="BQ9" s="1534"/>
      <c r="BR9" s="1534"/>
      <c r="BS9" s="1534"/>
      <c r="BT9" s="26"/>
    </row>
    <row r="10" spans="1:72" s="1776" customFormat="1" ht="12.75">
      <c r="A10" s="1769"/>
      <c r="B10" s="1769"/>
      <c r="C10" s="1769"/>
      <c r="D10" s="1769"/>
      <c r="E10" s="1769"/>
      <c r="F10" s="1769"/>
      <c r="G10" s="1194"/>
      <c r="H10" s="28"/>
      <c r="I10" s="1778" t="s">
        <v>1343</v>
      </c>
      <c r="J10" s="912"/>
      <c r="K10" s="1784" t="s">
        <v>27</v>
      </c>
      <c r="L10" s="912"/>
      <c r="M10" s="1784" t="s">
        <v>1343</v>
      </c>
      <c r="N10" s="912"/>
      <c r="O10" s="1784"/>
      <c r="P10" s="912"/>
      <c r="Q10" s="1784"/>
      <c r="R10" s="912"/>
      <c r="S10" s="1784"/>
      <c r="T10" s="912"/>
      <c r="U10" s="1784"/>
      <c r="V10" s="912"/>
      <c r="W10" s="1784"/>
      <c r="X10" s="912"/>
      <c r="Y10" s="1784"/>
      <c r="Z10" s="912"/>
      <c r="AA10" s="1784"/>
      <c r="AB10" s="912"/>
      <c r="AC10" s="1194"/>
      <c r="AD10" s="15" t="s">
        <v>1782</v>
      </c>
      <c r="AE10" s="1785"/>
      <c r="AF10" s="15" t="s">
        <v>1782</v>
      </c>
      <c r="AG10" s="1785"/>
      <c r="AH10" s="15" t="s">
        <v>1783</v>
      </c>
      <c r="AI10" s="1785"/>
      <c r="AJ10" s="15" t="s">
        <v>1783</v>
      </c>
      <c r="AK10" s="1785"/>
      <c r="AL10" s="15" t="s">
        <v>1784</v>
      </c>
      <c r="AM10" s="1200"/>
      <c r="AN10" s="15" t="s">
        <v>1784</v>
      </c>
      <c r="AO10" s="1200"/>
      <c r="AP10" s="15" t="s">
        <v>1785</v>
      </c>
      <c r="AQ10" s="1200"/>
      <c r="AR10" s="15" t="s">
        <v>1785</v>
      </c>
      <c r="AS10" s="1200"/>
      <c r="AT10" s="1769"/>
      <c r="AU10" s="1769"/>
      <c r="AV10" s="1194"/>
      <c r="AW10" s="1752"/>
      <c r="AX10" s="1194"/>
      <c r="AY10" s="28"/>
      <c r="AZ10" s="28"/>
      <c r="BA10" s="1786" t="s">
        <v>1776</v>
      </c>
      <c r="BB10" s="1787" t="str">
        <f>I9</f>
        <v>地上</v>
      </c>
      <c r="BC10" s="29" t="str">
        <f>K9</f>
        <v>地上</v>
      </c>
      <c r="BD10" s="29" t="str">
        <f>M9</f>
        <v>地上</v>
      </c>
      <c r="BE10" s="29">
        <f>O9</f>
        <v>0</v>
      </c>
      <c r="BF10" s="29">
        <f>Q9</f>
        <v>0</v>
      </c>
      <c r="BG10" s="29">
        <f>S9</f>
        <v>0</v>
      </c>
      <c r="BH10" s="29">
        <f>U9</f>
        <v>0</v>
      </c>
      <c r="BI10" s="29">
        <f>W9</f>
        <v>0</v>
      </c>
      <c r="BJ10" s="29">
        <f>Y9</f>
        <v>0</v>
      </c>
      <c r="BK10" s="29">
        <f>AA9</f>
        <v>0</v>
      </c>
      <c r="BL10" s="25" t="s">
        <v>1776</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4"/>
      <c r="H11" s="1786"/>
      <c r="I11" s="1789" t="s">
        <v>3313</v>
      </c>
      <c r="J11" s="1790"/>
      <c r="K11" s="1789" t="s">
        <v>3182</v>
      </c>
      <c r="L11" s="1790"/>
      <c r="M11" s="1789" t="s">
        <v>3183</v>
      </c>
      <c r="N11" s="1790"/>
      <c r="O11" s="1789"/>
      <c r="P11" s="1790"/>
      <c r="Q11" s="1789"/>
      <c r="R11" s="1790"/>
      <c r="S11" s="1789"/>
      <c r="T11" s="1790"/>
      <c r="U11" s="1789"/>
      <c r="V11" s="1790"/>
      <c r="W11" s="1789"/>
      <c r="X11" s="1790"/>
      <c r="Y11" s="1789"/>
      <c r="Z11" s="1790"/>
      <c r="AA11" s="1789"/>
      <c r="AB11" s="1790"/>
      <c r="AC11" s="1194"/>
      <c r="AD11" s="1791" t="s">
        <v>1786</v>
      </c>
      <c r="AE11" s="1535"/>
      <c r="AF11" s="1791" t="s">
        <v>1786</v>
      </c>
      <c r="AG11" s="1535"/>
      <c r="AH11" s="1791" t="s">
        <v>1787</v>
      </c>
      <c r="AI11" s="1792"/>
      <c r="AJ11" s="1791" t="s">
        <v>1787</v>
      </c>
      <c r="AK11" s="1535"/>
      <c r="AL11" s="1533"/>
      <c r="AM11" s="1535"/>
      <c r="AN11" s="1533"/>
      <c r="AO11" s="1535"/>
      <c r="AP11" s="1533"/>
      <c r="AQ11" s="1535"/>
      <c r="AR11" s="1533"/>
      <c r="AS11" s="1535"/>
      <c r="AT11" s="1752"/>
      <c r="AU11" s="1769"/>
      <c r="AV11" s="1194"/>
      <c r="AW11" s="1752"/>
      <c r="AX11" s="1194"/>
      <c r="AY11" s="28"/>
      <c r="AZ11" s="28"/>
      <c r="BA11" s="28"/>
      <c r="BB11" s="1774" t="str">
        <f>I10</f>
        <v>商业</v>
      </c>
      <c r="BC11" s="1774" t="str">
        <f>K10</f>
        <v>办公</v>
      </c>
      <c r="BD11" s="1774" t="str">
        <f>M10</f>
        <v>商业</v>
      </c>
      <c r="BE11" s="1774">
        <f>O10</f>
        <v>0</v>
      </c>
      <c r="BF11" s="1774">
        <f>Q10</f>
        <v>0</v>
      </c>
      <c r="BG11" s="1774">
        <f>S10</f>
        <v>0</v>
      </c>
      <c r="BH11" s="1774">
        <f>U10</f>
        <v>0</v>
      </c>
      <c r="BI11" s="1774">
        <f>W10</f>
        <v>0</v>
      </c>
      <c r="BJ11" s="1774">
        <f>Y10</f>
        <v>0</v>
      </c>
      <c r="BK11" s="1774">
        <f>AA10</f>
        <v>0</v>
      </c>
      <c r="BL11" s="1194"/>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0" t="s">
        <v>1789</v>
      </c>
      <c r="W12" s="11" t="s">
        <v>1788</v>
      </c>
      <c r="X12" s="11" t="s">
        <v>1789</v>
      </c>
      <c r="Y12" s="11" t="s">
        <v>1788</v>
      </c>
      <c r="Z12" s="11" t="s">
        <v>1789</v>
      </c>
      <c r="AA12" s="11" t="s">
        <v>1788</v>
      </c>
      <c r="AB12" s="11" t="s">
        <v>1789</v>
      </c>
      <c r="AC12" s="1796"/>
      <c r="AD12" s="152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4" t="s">
        <v>1789</v>
      </c>
      <c r="AT12" s="1797"/>
      <c r="AU12" s="1794"/>
      <c r="AV12" s="31"/>
      <c r="AW12" s="1753"/>
      <c r="AX12" s="31"/>
      <c r="AY12" s="1798"/>
      <c r="AZ12" s="28"/>
      <c r="BA12" s="1786"/>
      <c r="BB12" s="24" t="str">
        <f>I11</f>
        <v>底商</v>
      </c>
      <c r="BC12" s="1799" t="str">
        <f>K11</f>
        <v>办公楼</v>
      </c>
      <c r="BD12" s="1799" t="str">
        <f>M11</f>
        <v>独立商业</v>
      </c>
      <c r="BE12" s="1774">
        <f>O11</f>
        <v>0</v>
      </c>
      <c r="BF12" s="1774">
        <f>Q11</f>
        <v>0</v>
      </c>
      <c r="BG12" s="1774">
        <f>S11</f>
        <v>0</v>
      </c>
      <c r="BH12" s="1774">
        <f>U11</f>
        <v>0</v>
      </c>
      <c r="BI12" s="1774">
        <f>W11</f>
        <v>0</v>
      </c>
      <c r="BJ12" s="1774">
        <f>Y11</f>
        <v>0</v>
      </c>
      <c r="BK12" s="1774">
        <f>AA11</f>
        <v>0</v>
      </c>
      <c r="BL12" s="1194"/>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4"/>
      <c r="B13" s="1174"/>
      <c r="C13" s="1174"/>
      <c r="D13" s="1800" t="s">
        <v>3179</v>
      </c>
      <c r="E13" s="16">
        <f>IF($C$3="是",ROUND($A$3*G13/$B$3,2),ROUND($A$3*(G13-AT13)/$B$3,2))</f>
        <v>0</v>
      </c>
      <c r="F13" s="32"/>
      <c r="G13" s="33">
        <f>H13+AC13+AT13</f>
        <v>290.99</v>
      </c>
      <c r="H13" s="20">
        <f>SUMIF(I$12:AB$12,"总值",I13:AB13)</f>
        <v>290.99</v>
      </c>
      <c r="I13" s="1801">
        <f>面积指标!E5</f>
        <v>290.99</v>
      </c>
      <c r="J13" s="1801"/>
      <c r="K13" s="1801"/>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0</v>
      </c>
      <c r="AX13" s="11">
        <f t="shared" si="6"/>
        <v>0</v>
      </c>
      <c r="AY13" s="1523">
        <f>ROUND($AY$6*AZ13/$AZ$5,2)</f>
        <v>0</v>
      </c>
      <c r="AZ13" s="16">
        <f>BA13+BL13</f>
        <v>290.99</v>
      </c>
      <c r="BA13" s="16">
        <f>SUM(BB13:BK13)</f>
        <v>290.99</v>
      </c>
      <c r="BB13" s="16">
        <f>IF($D13="是",I13-J13,0)</f>
        <v>290.99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1174"/>
      <c r="B14" s="1174"/>
      <c r="C14" s="1745"/>
      <c r="D14" s="1800" t="s">
        <v>3179</v>
      </c>
      <c r="E14" s="16">
        <f>IF($C$3="是",ROUND($A$3*G14/$B$3,2),ROUND($A$3*(G14-AT14)/$B$3,2))</f>
        <v>0</v>
      </c>
      <c r="F14" s="32"/>
      <c r="G14" s="33">
        <f>H14+AC14+AT14</f>
        <v>707.82</v>
      </c>
      <c r="H14" s="20">
        <f>SUMIF(I$12:AB$12,"总值",I14:AB14)</f>
        <v>707.82</v>
      </c>
      <c r="I14" s="1801">
        <f>面积指标!E6+面积指标!E7+面积指标!E8+面积指标!E9</f>
        <v>707.82</v>
      </c>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0</v>
      </c>
      <c r="AX14" s="11">
        <f t="shared" si="6"/>
        <v>0</v>
      </c>
      <c r="AY14" s="1523">
        <f>ROUND($AY$6*AZ14/$AZ$5,2)</f>
        <v>0</v>
      </c>
      <c r="AZ14" s="16">
        <f>BA14+BL14</f>
        <v>707.82</v>
      </c>
      <c r="BA14" s="16">
        <f>SUM(BB14:BK14)</f>
        <v>707.82</v>
      </c>
      <c r="BB14" s="16">
        <f>IF($D14="是",I14-J14,0)</f>
        <v>707.82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4"/>
      <c r="B15" s="1174"/>
      <c r="C15" s="1745"/>
      <c r="D15" s="1800"/>
      <c r="E15" s="16">
        <f>IF($C$3="是",ROUND($A$3*G15/$B$3,2),ROUND($A$3*(G15-AT15)/$B$3,2))</f>
        <v>0</v>
      </c>
      <c r="F15" s="32"/>
      <c r="G15" s="33">
        <f>H15+AC15+AT15</f>
        <v>0</v>
      </c>
      <c r="H15" s="20">
        <f>SUMIF(I$12:AB$12,"总值",I15:AB15)</f>
        <v>0</v>
      </c>
      <c r="I15" s="1801"/>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0</v>
      </c>
      <c r="AX15" s="11">
        <f t="shared" si="6"/>
        <v>0</v>
      </c>
      <c r="AY15" s="152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4"/>
      <c r="B16" s="1174"/>
      <c r="C16" s="1745"/>
      <c r="D16" s="1800"/>
      <c r="E16" s="16">
        <f>IF($C$3="是",ROUND($A$3*G16/$B$3,2),ROUND($A$3*(G16-AT16)/$B$3,2))</f>
        <v>0</v>
      </c>
      <c r="F16" s="32"/>
      <c r="G16" s="33">
        <f>H16+AC16+AT16</f>
        <v>0</v>
      </c>
      <c r="H16" s="20">
        <f>SUMIF(I$12:AB$12,"总值",I16:AB16)</f>
        <v>0</v>
      </c>
      <c r="I16" s="180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4"/>
      <c r="B17" s="1174"/>
      <c r="C17" s="1745"/>
      <c r="D17" s="1800"/>
      <c r="E17" s="16">
        <f>IF($C$3="是",ROUND($A$3*G17/$B$3,2),ROUND($A$3*(G17-AT17)/$B$3,2))</f>
        <v>0</v>
      </c>
      <c r="F17" s="32"/>
      <c r="G17" s="33">
        <f>H17+AC17+AT17</f>
        <v>0</v>
      </c>
      <c r="H17" s="20">
        <f>SUMIF(I$12:AB$12,"总值",I17:AB17)</f>
        <v>0</v>
      </c>
      <c r="I17" s="180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0" t="s">
        <v>0</v>
      </c>
      <c r="B1" s="3270" t="s">
        <v>4</v>
      </c>
      <c r="C1" s="3270" t="s">
        <v>5</v>
      </c>
      <c r="D1" s="3271" t="s">
        <v>53</v>
      </c>
      <c r="E1" s="3271" t="s">
        <v>54</v>
      </c>
      <c r="F1" s="3271"/>
      <c r="G1" s="3271"/>
      <c r="H1" s="3271"/>
      <c r="I1" s="3271"/>
      <c r="J1" s="3271"/>
      <c r="K1" s="3271"/>
      <c r="L1" s="3271"/>
      <c r="M1" s="3271"/>
    </row>
    <row r="2" spans="1:13" ht="27" customHeight="1">
      <c r="A2" s="3270"/>
      <c r="B2" s="3270"/>
      <c r="C2" s="3270"/>
      <c r="D2" s="3271"/>
      <c r="E2" s="3271" t="s">
        <v>37</v>
      </c>
      <c r="F2" s="3271" t="s">
        <v>38</v>
      </c>
      <c r="G2" s="3271"/>
      <c r="H2" s="3271"/>
      <c r="I2" s="3271"/>
      <c r="J2" s="3271" t="s">
        <v>39</v>
      </c>
      <c r="K2" s="3271"/>
      <c r="L2" s="3271"/>
      <c r="M2" s="3271"/>
    </row>
    <row r="3" spans="1:13" ht="28.5">
      <c r="A3" s="3270"/>
      <c r="B3" s="3270"/>
      <c r="C3" s="3270"/>
      <c r="D3" s="3271"/>
      <c r="E3" s="32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1" t="s">
        <v>55</v>
      </c>
      <c r="B9" s="3271"/>
      <c r="C9" s="32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4"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1815</v>
      </c>
      <c r="B1" s="1293"/>
      <c r="C1" s="1293"/>
      <c r="D1" s="1293"/>
      <c r="E1" s="1293"/>
      <c r="F1" s="1293"/>
      <c r="G1" s="1293"/>
      <c r="H1" s="1293"/>
      <c r="I1" s="1293"/>
      <c r="J1" s="1293"/>
      <c r="K1" s="1293"/>
      <c r="L1" s="1293"/>
      <c r="M1" s="1293"/>
      <c r="N1" s="1293"/>
      <c r="O1" s="1293"/>
      <c r="P1" s="1293"/>
    </row>
    <row r="2" spans="1:16" ht="15">
      <c r="A2" s="3281" t="s">
        <v>1816</v>
      </c>
      <c r="B2" s="3281"/>
      <c r="C2" s="3281"/>
      <c r="D2" s="898" t="s">
        <v>1792</v>
      </c>
      <c r="E2" s="1814" t="s">
        <v>1793</v>
      </c>
      <c r="F2" s="2874"/>
      <c r="G2" s="2865"/>
      <c r="H2" s="2866"/>
      <c r="I2" s="2537" t="s">
        <v>1817</v>
      </c>
      <c r="J2" s="2874"/>
      <c r="K2" s="2874"/>
      <c r="L2" s="2874"/>
      <c r="M2" s="2874"/>
      <c r="N2" s="2876"/>
      <c r="O2" s="2874"/>
      <c r="P2" s="2874"/>
    </row>
    <row r="3" spans="1:16" ht="15.75" thickBot="1">
      <c r="A3" s="3282" t="s">
        <v>1790</v>
      </c>
      <c r="B3" s="3282"/>
      <c r="C3" s="3282"/>
      <c r="D3" s="46">
        <f>'数据-基础表'!AY6</f>
        <v>0</v>
      </c>
      <c r="E3" s="46">
        <f>'数据-基础表'!AZ5</f>
        <v>998.81000000000006</v>
      </c>
      <c r="F3" s="2874"/>
      <c r="G3" s="1299"/>
      <c r="H3" s="1149" t="s">
        <v>1791</v>
      </c>
      <c r="I3" s="958" t="e">
        <f>ROUND('数据-基础表'!B3/'数据-基础表'!A3,2)</f>
        <v>#DIV/0!</v>
      </c>
      <c r="J3" s="2874"/>
      <c r="K3" s="2874"/>
      <c r="L3" s="2874"/>
      <c r="M3" s="2874"/>
      <c r="N3" s="2876"/>
      <c r="O3" s="2874"/>
      <c r="P3" s="2874"/>
    </row>
    <row r="4" spans="1:16" ht="15">
      <c r="A4" s="3283"/>
      <c r="B4" s="3284"/>
      <c r="C4" s="3285"/>
      <c r="D4" s="1816" t="s">
        <v>1792</v>
      </c>
      <c r="E4" s="1817" t="s">
        <v>1793</v>
      </c>
      <c r="F4" s="2874"/>
      <c r="G4" s="2867" t="s">
        <v>1818</v>
      </c>
      <c r="H4" s="1149" t="s">
        <v>1798</v>
      </c>
      <c r="I4" s="958" t="e">
        <f>ROUND(SUMIF('数据-基础表'!I9:AS9,"地上",'数据-基础表'!I5:AS5)/'数据-基础表'!A3,2)</f>
        <v>#DIV/0!</v>
      </c>
      <c r="J4" s="2874"/>
      <c r="K4" s="2874"/>
      <c r="L4" s="2874"/>
      <c r="M4" s="2874"/>
      <c r="N4" s="2876"/>
      <c r="O4" s="2874"/>
      <c r="P4" s="2874"/>
    </row>
    <row r="5" spans="1:16">
      <c r="A5" s="47" t="s">
        <v>1794</v>
      </c>
      <c r="B5" s="3286" t="s">
        <v>1795</v>
      </c>
      <c r="C5" s="3286"/>
      <c r="D5" s="48">
        <f>ROUND($D$3*E5/$E$3,2)</f>
        <v>0</v>
      </c>
      <c r="E5" s="49">
        <f>SUMIF('数据-基础表'!$11:$11,"住宅",'数据-基础表'!$5:$5)</f>
        <v>0</v>
      </c>
      <c r="F5" s="2874"/>
      <c r="G5" s="1299"/>
      <c r="H5" s="1149" t="s">
        <v>1791</v>
      </c>
      <c r="I5" s="958" t="e">
        <f>ROUND(E31/D31,2)</f>
        <v>#DIV/0!</v>
      </c>
      <c r="J5" s="2874"/>
      <c r="K5" s="2874"/>
      <c r="L5" s="2874"/>
      <c r="M5" s="2874"/>
      <c r="N5" s="2874"/>
      <c r="O5" s="2874"/>
      <c r="P5" s="2874"/>
    </row>
    <row r="6" spans="1:16" ht="15" thickBot="1">
      <c r="A6" s="1819"/>
      <c r="B6" s="3286" t="s">
        <v>1796</v>
      </c>
      <c r="C6" s="3286"/>
      <c r="D6" s="48">
        <f>ROUND($D$3*E6/$E$3,2)</f>
        <v>0</v>
      </c>
      <c r="E6" s="49">
        <f>E3-E5</f>
        <v>998.81000000000006</v>
      </c>
      <c r="F6" s="2874"/>
      <c r="G6" s="2868" t="s">
        <v>1797</v>
      </c>
      <c r="H6" s="1300" t="s">
        <v>1798</v>
      </c>
      <c r="I6" s="2869" t="e">
        <f>ROUND(F31/D31,2)</f>
        <v>#DIV/0!</v>
      </c>
      <c r="J6" s="2874"/>
      <c r="K6" s="2874"/>
      <c r="L6" s="2874"/>
      <c r="M6" s="2874"/>
      <c r="N6" s="2874"/>
      <c r="O6" s="2874"/>
      <c r="P6" s="2874"/>
    </row>
    <row r="7" spans="1:16" ht="15.75" thickBot="1">
      <c r="A7" s="3278"/>
      <c r="B7" s="3279"/>
      <c r="C7" s="3280"/>
      <c r="D7" s="1816" t="s">
        <v>1792</v>
      </c>
      <c r="E7" s="1820"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998.81000000000006</v>
      </c>
      <c r="F8" s="2874"/>
      <c r="G8" s="2875"/>
      <c r="H8" s="2875"/>
      <c r="I8" s="2874"/>
      <c r="J8" s="2874"/>
      <c r="K8" s="2874"/>
      <c r="L8" s="2874"/>
      <c r="M8" s="2874"/>
      <c r="N8" s="2874"/>
      <c r="O8" s="2874"/>
      <c r="P8" s="2874"/>
    </row>
    <row r="9" spans="1:16">
      <c r="A9" s="1821"/>
      <c r="B9" s="1822"/>
      <c r="C9" s="48" t="s">
        <v>1804</v>
      </c>
      <c r="D9" s="48">
        <f t="shared" si="0"/>
        <v>0</v>
      </c>
      <c r="E9" s="52">
        <v>0</v>
      </c>
      <c r="F9" s="2874"/>
      <c r="G9" s="2875"/>
      <c r="H9" s="2875"/>
      <c r="I9" s="2874"/>
      <c r="J9" s="2874"/>
      <c r="K9" s="2874"/>
      <c r="L9" s="2874"/>
      <c r="M9" s="2874"/>
      <c r="N9" s="2874"/>
      <c r="O9" s="2874"/>
      <c r="P9" s="2874"/>
    </row>
    <row r="10" spans="1:16">
      <c r="A10" s="1821"/>
      <c r="B10" s="182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1"/>
      <c r="B11" s="182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1"/>
      <c r="B12" s="1822"/>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1"/>
      <c r="B13" s="182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1"/>
      <c r="B14" s="182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1"/>
      <c r="B15" s="182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19"/>
      <c r="B16" s="1822"/>
      <c r="C16" s="50" t="s">
        <v>1808</v>
      </c>
      <c r="D16" s="50">
        <f>SUM(D8:D15)</f>
        <v>0</v>
      </c>
      <c r="E16" s="53">
        <f>SUM(E8:E15)</f>
        <v>998.81000000000006</v>
      </c>
      <c r="F16" s="2874"/>
      <c r="G16" s="2875"/>
      <c r="H16" s="1823" t="s">
        <v>1820</v>
      </c>
      <c r="I16" s="1824"/>
      <c r="J16" s="1293"/>
      <c r="K16" s="3275" t="s">
        <v>1820</v>
      </c>
      <c r="L16" s="3276"/>
      <c r="M16" s="3276"/>
      <c r="N16" s="3276"/>
      <c r="O16" s="3276"/>
      <c r="P16" s="3277"/>
    </row>
    <row r="17" spans="1:19" ht="15">
      <c r="A17" s="1825" t="s">
        <v>1821</v>
      </c>
      <c r="B17" s="1826" t="s">
        <v>1822</v>
      </c>
      <c r="C17" s="1827" t="s">
        <v>1823</v>
      </c>
      <c r="D17" s="1828" t="s">
        <v>1811</v>
      </c>
      <c r="E17" s="1829" t="s">
        <v>1812</v>
      </c>
      <c r="F17" s="1830"/>
      <c r="G17" s="1831"/>
      <c r="H17" s="1832" t="s">
        <v>1824</v>
      </c>
      <c r="I17" s="1833" t="s">
        <v>1809</v>
      </c>
      <c r="J17" s="1293"/>
      <c r="K17" s="3272" t="s">
        <v>1825</v>
      </c>
      <c r="L17" s="3273"/>
      <c r="M17" s="3274"/>
      <c r="N17" s="3272" t="s">
        <v>1826</v>
      </c>
      <c r="O17" s="3273"/>
      <c r="P17" s="3274"/>
      <c r="R17" s="1815" t="s">
        <v>1827</v>
      </c>
      <c r="S17" s="60"/>
    </row>
    <row r="18" spans="1:19" ht="15">
      <c r="A18" s="1821"/>
      <c r="B18" s="1834"/>
      <c r="C18" s="1835"/>
      <c r="D18" s="1836"/>
      <c r="E18" s="1837" t="s">
        <v>1828</v>
      </c>
      <c r="F18" s="1838" t="s">
        <v>1829</v>
      </c>
      <c r="G18" s="1839" t="s">
        <v>1830</v>
      </c>
      <c r="H18" s="1164" t="s">
        <v>1831</v>
      </c>
      <c r="I18" s="1840" t="s">
        <v>1832</v>
      </c>
      <c r="J18" s="1293"/>
      <c r="K18" s="1164" t="s">
        <v>1833</v>
      </c>
      <c r="L18" s="1841" t="s">
        <v>1834</v>
      </c>
      <c r="M18" s="958" t="s">
        <v>1835</v>
      </c>
      <c r="N18" s="1164" t="s">
        <v>1833</v>
      </c>
      <c r="O18" s="1841" t="s">
        <v>1834</v>
      </c>
      <c r="P18" s="958" t="s">
        <v>1835</v>
      </c>
      <c r="R18" s="1149" t="s">
        <v>1836</v>
      </c>
      <c r="S18" s="1149" t="s">
        <v>1837</v>
      </c>
    </row>
    <row r="19" spans="1:19">
      <c r="A19" s="1842"/>
      <c r="B19" s="50" t="s">
        <v>1810</v>
      </c>
      <c r="C19" s="3191" t="s">
        <v>3446</v>
      </c>
      <c r="D19" s="48">
        <f>ROUND($D$3*E19/$E$3,2)</f>
        <v>0</v>
      </c>
      <c r="E19" s="56">
        <f t="shared" ref="E19:E26" si="1">SUM(F19:G19)</f>
        <v>641.44000000000005</v>
      </c>
      <c r="F19" s="3013">
        <f>租赁台账!I7+租赁台账!I9</f>
        <v>641.44000000000005</v>
      </c>
      <c r="G19" s="3014"/>
      <c r="H19" s="679">
        <f>ROUND($D$3*I19/$E$3,2)</f>
        <v>0</v>
      </c>
      <c r="I19" s="51">
        <f t="shared" ref="I19:I26" si="2">IF($I$17="自定义",P19,M19)</f>
        <v>0</v>
      </c>
      <c r="J19" s="1293"/>
      <c r="K19" s="1292">
        <f t="shared" ref="K19:K26" si="3">ROUND(E$28*E19/E$27,2)</f>
        <v>0</v>
      </c>
      <c r="L19" s="1149">
        <f t="shared" ref="L19:L26" si="4">ROUND(IF(COUNTIF(C19,"*住宅*")&gt;0,E$29*E19/E$32,0),2)</f>
        <v>0</v>
      </c>
      <c r="M19" s="1304">
        <f>K19+L19</f>
        <v>0</v>
      </c>
      <c r="N19" s="1843"/>
      <c r="O19" s="1844"/>
      <c r="P19" s="1304">
        <f>N19+O19</f>
        <v>0</v>
      </c>
      <c r="R19" s="1149">
        <f t="shared" ref="R19:S26" si="5">D19+H19</f>
        <v>0</v>
      </c>
      <c r="S19" s="1150">
        <f t="shared" si="5"/>
        <v>641.44000000000005</v>
      </c>
    </row>
    <row r="20" spans="1:19">
      <c r="A20" s="1845"/>
      <c r="B20" s="50" t="s">
        <v>1838</v>
      </c>
      <c r="C20" s="3191" t="s">
        <v>3448</v>
      </c>
      <c r="D20" s="48">
        <f t="shared" ref="D20:D26" si="6">ROUND($D$3*E20/$E$3,2)</f>
        <v>0</v>
      </c>
      <c r="E20" s="56">
        <f t="shared" si="1"/>
        <v>357.37</v>
      </c>
      <c r="F20" s="3015">
        <f>租赁台账!I4+租赁台账!I5+租赁台账!I6</f>
        <v>357.37</v>
      </c>
      <c r="G20" s="3014"/>
      <c r="H20" s="679">
        <f t="shared" ref="H20:H26" si="7">ROUND($D$3*I20/$E$3,2)</f>
        <v>0</v>
      </c>
      <c r="I20" s="51">
        <f t="shared" si="2"/>
        <v>0</v>
      </c>
      <c r="J20" s="1293"/>
      <c r="K20" s="1292">
        <f t="shared" si="3"/>
        <v>0</v>
      </c>
      <c r="L20" s="1149">
        <f t="shared" si="4"/>
        <v>0</v>
      </c>
      <c r="M20" s="1304">
        <f t="shared" ref="M20:M26" si="8">K20+L20</f>
        <v>0</v>
      </c>
      <c r="N20" s="1843"/>
      <c r="O20" s="1844"/>
      <c r="P20" s="1304">
        <f t="shared" ref="P20:P26" si="9">N20+O20</f>
        <v>0</v>
      </c>
      <c r="R20" s="1149">
        <f t="shared" si="5"/>
        <v>0</v>
      </c>
      <c r="S20" s="1150">
        <f t="shared" si="5"/>
        <v>357.37</v>
      </c>
    </row>
    <row r="21" spans="1:19">
      <c r="A21" s="1845"/>
      <c r="B21" s="50" t="s">
        <v>1838</v>
      </c>
      <c r="C21" s="58"/>
      <c r="D21" s="48">
        <f t="shared" si="6"/>
        <v>0</v>
      </c>
      <c r="E21" s="56">
        <f t="shared" si="1"/>
        <v>0</v>
      </c>
      <c r="F21" s="3015"/>
      <c r="G21" s="3014"/>
      <c r="H21" s="679">
        <f t="shared" si="7"/>
        <v>0</v>
      </c>
      <c r="I21" s="51">
        <f t="shared" si="2"/>
        <v>0</v>
      </c>
      <c r="J21" s="1293"/>
      <c r="K21" s="1292">
        <f t="shared" si="3"/>
        <v>0</v>
      </c>
      <c r="L21" s="1149">
        <f t="shared" si="4"/>
        <v>0</v>
      </c>
      <c r="M21" s="1304">
        <f t="shared" si="8"/>
        <v>0</v>
      </c>
      <c r="N21" s="1843"/>
      <c r="O21" s="1844"/>
      <c r="P21" s="1304">
        <f t="shared" si="9"/>
        <v>0</v>
      </c>
      <c r="R21" s="1149">
        <f t="shared" si="5"/>
        <v>0</v>
      </c>
      <c r="S21" s="1150">
        <f t="shared" si="5"/>
        <v>0</v>
      </c>
    </row>
    <row r="22" spans="1:19">
      <c r="A22" s="1845"/>
      <c r="B22" s="50" t="s">
        <v>1838</v>
      </c>
      <c r="C22" s="58"/>
      <c r="D22" s="48">
        <f t="shared" si="6"/>
        <v>0</v>
      </c>
      <c r="E22" s="56">
        <f t="shared" si="1"/>
        <v>0</v>
      </c>
      <c r="F22" s="3015"/>
      <c r="G22" s="3016"/>
      <c r="H22" s="679">
        <f t="shared" si="7"/>
        <v>0</v>
      </c>
      <c r="I22" s="51">
        <f t="shared" si="2"/>
        <v>0</v>
      </c>
      <c r="J22" s="1293"/>
      <c r="K22" s="1292">
        <f t="shared" si="3"/>
        <v>0</v>
      </c>
      <c r="L22" s="1149">
        <f t="shared" si="4"/>
        <v>0</v>
      </c>
      <c r="M22" s="1304">
        <f t="shared" si="8"/>
        <v>0</v>
      </c>
      <c r="N22" s="1843"/>
      <c r="O22" s="1844"/>
      <c r="P22" s="1304">
        <f t="shared" si="9"/>
        <v>0</v>
      </c>
      <c r="R22" s="1149">
        <f t="shared" si="5"/>
        <v>0</v>
      </c>
      <c r="S22" s="1150">
        <f t="shared" si="5"/>
        <v>0</v>
      </c>
    </row>
    <row r="23" spans="1:19">
      <c r="A23" s="1845"/>
      <c r="B23" s="50" t="s">
        <v>1838</v>
      </c>
      <c r="C23" s="58"/>
      <c r="D23" s="48">
        <f>ROUND($D$3*E23/$E$3,2)</f>
        <v>0</v>
      </c>
      <c r="E23" s="56">
        <f>SUM(F23:G23)</f>
        <v>0</v>
      </c>
      <c r="F23" s="3015"/>
      <c r="G23" s="3016"/>
      <c r="H23" s="679">
        <f>ROUND($D$3*I23/$E$3,2)</f>
        <v>0</v>
      </c>
      <c r="I23" s="51">
        <f t="shared" si="2"/>
        <v>0</v>
      </c>
      <c r="J23" s="1293"/>
      <c r="K23" s="1292">
        <f t="shared" si="3"/>
        <v>0</v>
      </c>
      <c r="L23" s="1149">
        <f t="shared" si="4"/>
        <v>0</v>
      </c>
      <c r="M23" s="1304">
        <f t="shared" si="8"/>
        <v>0</v>
      </c>
      <c r="N23" s="1843"/>
      <c r="O23" s="1844"/>
      <c r="P23" s="1304">
        <f t="shared" si="9"/>
        <v>0</v>
      </c>
      <c r="R23" s="1149">
        <f t="shared" si="5"/>
        <v>0</v>
      </c>
      <c r="S23" s="1150">
        <f t="shared" si="5"/>
        <v>0</v>
      </c>
    </row>
    <row r="24" spans="1:19">
      <c r="A24" s="1845"/>
      <c r="B24" s="50" t="s">
        <v>1838</v>
      </c>
      <c r="C24" s="58"/>
      <c r="D24" s="48">
        <f>ROUND($D$3*E24/$E$3,2)</f>
        <v>0</v>
      </c>
      <c r="E24" s="56">
        <f>SUM(F24:G24)</f>
        <v>0</v>
      </c>
      <c r="F24" s="3015"/>
      <c r="G24" s="3016"/>
      <c r="H24" s="679">
        <f>ROUND($D$3*I24/$E$3,2)</f>
        <v>0</v>
      </c>
      <c r="I24" s="51">
        <f t="shared" si="2"/>
        <v>0</v>
      </c>
      <c r="J24" s="1293"/>
      <c r="K24" s="1292">
        <f t="shared" si="3"/>
        <v>0</v>
      </c>
      <c r="L24" s="1149">
        <f t="shared" si="4"/>
        <v>0</v>
      </c>
      <c r="M24" s="1304">
        <f t="shared" si="8"/>
        <v>0</v>
      </c>
      <c r="N24" s="1843"/>
      <c r="O24" s="1844"/>
      <c r="P24" s="1304">
        <f t="shared" si="9"/>
        <v>0</v>
      </c>
      <c r="R24" s="1149">
        <f t="shared" si="5"/>
        <v>0</v>
      </c>
      <c r="S24" s="1150">
        <f t="shared" si="5"/>
        <v>0</v>
      </c>
    </row>
    <row r="25" spans="1:19">
      <c r="A25" s="1845"/>
      <c r="B25" s="50" t="s">
        <v>1838</v>
      </c>
      <c r="C25" s="58"/>
      <c r="D25" s="48">
        <f t="shared" si="6"/>
        <v>0</v>
      </c>
      <c r="E25" s="56">
        <f t="shared" si="1"/>
        <v>0</v>
      </c>
      <c r="F25" s="3015"/>
      <c r="G25" s="3016"/>
      <c r="H25" s="47">
        <f t="shared" si="7"/>
        <v>0</v>
      </c>
      <c r="I25" s="51">
        <f t="shared" si="2"/>
        <v>0</v>
      </c>
      <c r="J25" s="1293"/>
      <c r="K25" s="1292">
        <f t="shared" si="3"/>
        <v>0</v>
      </c>
      <c r="L25" s="1149">
        <f t="shared" si="4"/>
        <v>0</v>
      </c>
      <c r="M25" s="1304">
        <f t="shared" si="8"/>
        <v>0</v>
      </c>
      <c r="N25" s="1843"/>
      <c r="O25" s="1844"/>
      <c r="P25" s="1304">
        <f t="shared" si="9"/>
        <v>0</v>
      </c>
      <c r="R25" s="1149">
        <f t="shared" si="5"/>
        <v>0</v>
      </c>
      <c r="S25" s="1150">
        <f t="shared" si="5"/>
        <v>0</v>
      </c>
    </row>
    <row r="26" spans="1:19">
      <c r="A26" s="1845"/>
      <c r="B26" s="50" t="s">
        <v>1838</v>
      </c>
      <c r="C26" s="59"/>
      <c r="D26" s="48">
        <f t="shared" si="6"/>
        <v>0</v>
      </c>
      <c r="E26" s="56">
        <f t="shared" si="1"/>
        <v>0</v>
      </c>
      <c r="F26" s="3015"/>
      <c r="G26" s="3016"/>
      <c r="H26" s="47">
        <f t="shared" si="7"/>
        <v>0</v>
      </c>
      <c r="I26" s="51">
        <f t="shared" si="2"/>
        <v>0</v>
      </c>
      <c r="J26" s="1293"/>
      <c r="K26" s="1299">
        <f t="shared" si="3"/>
        <v>0</v>
      </c>
      <c r="L26" s="1300">
        <f t="shared" si="4"/>
        <v>0</v>
      </c>
      <c r="M26" s="63">
        <f t="shared" si="8"/>
        <v>0</v>
      </c>
      <c r="N26" s="1846"/>
      <c r="O26" s="1847"/>
      <c r="P26" s="63">
        <f t="shared" si="9"/>
        <v>0</v>
      </c>
      <c r="R26" s="1149">
        <f t="shared" si="5"/>
        <v>0</v>
      </c>
      <c r="S26" s="1150">
        <f t="shared" si="5"/>
        <v>0</v>
      </c>
    </row>
    <row r="27" spans="1:19" ht="15.75" thickBot="1">
      <c r="A27" s="1845"/>
      <c r="B27" s="48"/>
      <c r="C27" s="1848" t="s">
        <v>1839</v>
      </c>
      <c r="D27" s="1294">
        <f>SUM(D19:D26)</f>
        <v>0</v>
      </c>
      <c r="E27" s="1295">
        <f>IF(SUM(E19:E26)='数据-基础表'!BA5,SUM(E19:E26),IF(F27="地上面积有误","面积有误","地下面积有误"))</f>
        <v>998.81000000000006</v>
      </c>
      <c r="F27" s="1294">
        <f>IF(SUM(F19:F26)=E8,SUM(F19:F26),"地上面积有误")</f>
        <v>998.81000000000006</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0</v>
      </c>
      <c r="S27" s="1149">
        <f>IF(SUM(S19:S26)=$E$3,SUM(S19:S26),SUM(S19:S26)&amp;"误差"&amp;ROUND(SUM(S19:S26)-E3,2))</f>
        <v>998.81000000000006</v>
      </c>
    </row>
    <row r="28" spans="1:19">
      <c r="A28" s="1845"/>
      <c r="B28" s="50" t="s">
        <v>1840</v>
      </c>
      <c r="C28" s="1161"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45"/>
      <c r="B29" s="50" t="s">
        <v>1840</v>
      </c>
      <c r="C29" s="184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5"/>
      <c r="B30" s="50"/>
      <c r="C30" s="1850" t="s">
        <v>1839</v>
      </c>
      <c r="D30" s="1294">
        <f>SUM(D28:D29)</f>
        <v>0</v>
      </c>
      <c r="E30" s="1294">
        <f>SUM(E28:E29)</f>
        <v>0</v>
      </c>
      <c r="F30" s="1294">
        <f>SUM(F28:F29)</f>
        <v>0</v>
      </c>
      <c r="G30" s="1296">
        <f>SUM(G28:G29)</f>
        <v>0</v>
      </c>
      <c r="H30" s="2874"/>
      <c r="I30" s="2874"/>
      <c r="J30" s="2874"/>
      <c r="K30" s="2874"/>
      <c r="L30" s="2874"/>
      <c r="M30" s="2874"/>
      <c r="N30" s="2874"/>
      <c r="O30" s="2874"/>
      <c r="P30" s="2874"/>
    </row>
    <row r="31" spans="1:19" ht="15.75" thickBot="1">
      <c r="A31" s="1851"/>
      <c r="B31" s="1852"/>
      <c r="C31" s="938" t="s">
        <v>1843</v>
      </c>
      <c r="D31" s="685">
        <f>D27+D30</f>
        <v>0</v>
      </c>
      <c r="E31" s="685">
        <f>E27+E30</f>
        <v>998.81000000000006</v>
      </c>
      <c r="F31" s="686">
        <f>F27+F30</f>
        <v>998.81000000000006</v>
      </c>
      <c r="G31" s="687">
        <f>G27+G30</f>
        <v>0</v>
      </c>
      <c r="H31" s="2874"/>
      <c r="I31" s="2874"/>
      <c r="J31" s="2874"/>
      <c r="K31" s="2874"/>
      <c r="L31" s="2874"/>
      <c r="M31" s="2874"/>
      <c r="N31" s="2874"/>
      <c r="O31" s="2874"/>
      <c r="P31" s="2874"/>
    </row>
    <row r="32" spans="1:19">
      <c r="A32" s="1818"/>
      <c r="B32" s="1818" t="s">
        <v>1844</v>
      </c>
      <c r="C32" s="1818"/>
      <c r="D32" s="1818"/>
      <c r="E32" s="1176">
        <f>SUMIF(C19:C26,"*住宅*",E19:E26)</f>
        <v>0</v>
      </c>
      <c r="F32" s="1818"/>
      <c r="G32" s="1818"/>
      <c r="H32" s="2874"/>
      <c r="I32" s="2874"/>
      <c r="J32" s="2874"/>
      <c r="K32" s="2874"/>
      <c r="L32" s="2874"/>
      <c r="M32" s="2874"/>
      <c r="N32" s="2874"/>
      <c r="O32" s="2874"/>
      <c r="P32" s="2874"/>
    </row>
    <row r="33" spans="4:4">
      <c r="D33" s="18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G17" sqref="G17"/>
      <selection pane="topRight" activeCell="G17" sqref="G17"/>
      <selection pane="bottomLeft" activeCell="G17" sqref="G17"/>
      <selection pane="bottomRight" activeCell="AA33" sqref="AA33"/>
    </sheetView>
  </sheetViews>
  <sheetFormatPr defaultColWidth="13.75" defaultRowHeight="12.75"/>
  <cols>
    <col min="1" max="1" width="20.875" style="1920" customWidth="1"/>
    <col min="2" max="2" width="12" style="1857" customWidth="1"/>
    <col min="3" max="3" width="12.75" style="1857" customWidth="1"/>
    <col min="4" max="4" width="9.125" style="1921" customWidth="1"/>
    <col min="5" max="5" width="15" style="1857" bestFit="1" customWidth="1"/>
    <col min="6" max="10" width="8.875" style="1857" customWidth="1"/>
    <col min="11" max="12" width="12.375" style="1776" customWidth="1"/>
    <col min="13" max="13" width="8.625" style="1857" customWidth="1"/>
    <col min="14" max="14" width="11.875" style="1857" customWidth="1"/>
    <col min="15" max="15" width="8.5" style="1857" customWidth="1"/>
    <col min="16" max="17" width="10.875" style="1857" customWidth="1"/>
    <col min="18" max="19" width="12.5" style="1857" customWidth="1"/>
    <col min="20" max="20" width="12.125" style="1857" customWidth="1"/>
    <col min="21" max="21" width="10.875" style="1857" customWidth="1"/>
    <col min="22" max="22" width="6.375" style="1857" customWidth="1"/>
    <col min="23" max="30" width="6.75" style="1857" customWidth="1"/>
    <col min="31" max="31" width="8" style="1857" customWidth="1"/>
    <col min="32" max="34" width="7.25" style="1857" customWidth="1"/>
    <col min="35" max="39" width="8" style="1857" customWidth="1"/>
    <col min="40" max="40" width="13.75" style="1856"/>
    <col min="41" max="41" width="11.625" style="1856" customWidth="1"/>
    <col min="42" max="42" width="9.75" style="1856" customWidth="1"/>
    <col min="43" max="67" width="13.75" style="1856"/>
    <col min="68" max="16384" width="13.75" style="1857"/>
  </cols>
  <sheetData>
    <row r="1" spans="1:67" ht="19.5" thickBot="1">
      <c r="A1" s="1854" t="s">
        <v>1845</v>
      </c>
      <c r="B1" s="688"/>
      <c r="C1" s="1344"/>
      <c r="D1" s="1855"/>
      <c r="E1" s="1344"/>
      <c r="F1" s="1344"/>
      <c r="G1" s="1344"/>
      <c r="H1" s="1344"/>
      <c r="I1" s="1344"/>
      <c r="J1" s="1344"/>
      <c r="K1" s="164"/>
      <c r="L1" s="16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87"/>
      <c r="AO1" s="2887"/>
      <c r="AP1" s="2887"/>
      <c r="AQ1" s="2887"/>
      <c r="AR1" s="2887"/>
    </row>
    <row r="2" spans="1:67" s="1734" customFormat="1" ht="15.75" thickBot="1">
      <c r="A2" s="1858" t="s">
        <v>1846</v>
      </c>
      <c r="B2" s="1168">
        <f>项目基本情况!D3</f>
        <v>44523</v>
      </c>
      <c r="C2" s="1859"/>
      <c r="D2" s="1860"/>
      <c r="E2" s="1859"/>
      <c r="F2" s="1859"/>
      <c r="G2" s="1859"/>
      <c r="H2" s="1859"/>
      <c r="I2" s="1859"/>
      <c r="J2" s="1859"/>
      <c r="K2" s="1322"/>
      <c r="L2" s="1322"/>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2889"/>
      <c r="AO2" s="2889"/>
      <c r="AP2" s="2889"/>
      <c r="AQ2" s="2889"/>
      <c r="AR2" s="2889"/>
      <c r="AS2" s="1861"/>
      <c r="AT2" s="1861"/>
      <c r="AU2" s="1861"/>
      <c r="AV2" s="1861"/>
      <c r="AW2" s="1861"/>
      <c r="AX2" s="1861"/>
      <c r="AY2" s="1861"/>
      <c r="AZ2" s="1861"/>
      <c r="BA2" s="1861"/>
      <c r="BB2" s="1861"/>
      <c r="BC2" s="1861"/>
      <c r="BD2" s="1861"/>
      <c r="BE2" s="1861"/>
      <c r="BF2" s="1861"/>
      <c r="BG2" s="1861"/>
      <c r="BH2" s="1861"/>
      <c r="BI2" s="1861"/>
      <c r="BJ2" s="1861"/>
      <c r="BK2" s="1861"/>
      <c r="BL2" s="1861"/>
      <c r="BM2" s="1861"/>
      <c r="BN2" s="1861"/>
      <c r="BO2" s="1861"/>
    </row>
    <row r="3" spans="1:67" s="1734" customFormat="1" ht="15" thickBot="1">
      <c r="A3" s="1732"/>
      <c r="B3" s="1862"/>
      <c r="C3" s="1859"/>
      <c r="D3" s="1860"/>
      <c r="E3" s="1859"/>
      <c r="F3" s="1859"/>
      <c r="G3" s="1859"/>
      <c r="H3" s="1859"/>
      <c r="I3" s="1859"/>
      <c r="J3" s="1859"/>
      <c r="K3" s="1322"/>
      <c r="L3" s="1322"/>
      <c r="M3" s="1859"/>
      <c r="N3" s="1859"/>
      <c r="O3" s="1859"/>
      <c r="P3" s="1859"/>
      <c r="Q3" s="1859"/>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2889"/>
      <c r="AO3" s="2889"/>
      <c r="AP3" s="2889"/>
      <c r="AQ3" s="2889"/>
      <c r="AR3" s="2889"/>
      <c r="AS3" s="1861"/>
      <c r="AT3" s="1861"/>
      <c r="AU3" s="1861"/>
      <c r="AV3" s="1861"/>
      <c r="AW3" s="1861"/>
      <c r="AX3" s="1861"/>
      <c r="AY3" s="1861"/>
      <c r="AZ3" s="1861"/>
      <c r="BA3" s="1861"/>
      <c r="BB3" s="1861"/>
      <c r="BC3" s="1861"/>
      <c r="BD3" s="1861"/>
      <c r="BE3" s="1861"/>
      <c r="BF3" s="1861"/>
      <c r="BG3" s="1861"/>
      <c r="BH3" s="1861"/>
      <c r="BI3" s="1861"/>
      <c r="BJ3" s="1861"/>
      <c r="BK3" s="1861"/>
      <c r="BL3" s="1861"/>
      <c r="BM3" s="1861"/>
      <c r="BN3" s="1861"/>
      <c r="BO3" s="1861"/>
    </row>
    <row r="4" spans="1:67" s="1734" customFormat="1" ht="15" thickBot="1">
      <c r="A4" s="64" t="s">
        <v>1847</v>
      </c>
      <c r="B4" s="1863"/>
      <c r="C4" s="1864"/>
      <c r="D4" s="1865"/>
      <c r="E4" s="1864" t="s">
        <v>1848</v>
      </c>
      <c r="F4" s="1864"/>
      <c r="G4" s="1864"/>
      <c r="H4" s="1864"/>
      <c r="I4" s="1864"/>
      <c r="J4" s="1866"/>
      <c r="K4" s="1867"/>
      <c r="L4" s="1868"/>
      <c r="M4" s="1864"/>
      <c r="N4" s="1864" t="s">
        <v>1849</v>
      </c>
      <c r="O4" s="1864"/>
      <c r="P4" s="1864"/>
      <c r="Q4" s="1864"/>
      <c r="R4" s="1864"/>
      <c r="S4" s="1866"/>
      <c r="T4" s="2873" t="str">
        <f>'数据-汇总表'!I17</f>
        <v>按面积比例</v>
      </c>
      <c r="U4" s="1863" t="s">
        <v>1850</v>
      </c>
      <c r="V4" s="1864"/>
      <c r="W4" s="1864"/>
      <c r="X4" s="1864"/>
      <c r="Y4" s="1866"/>
      <c r="Z4" s="1827" t="s">
        <v>1851</v>
      </c>
      <c r="AA4" s="1827"/>
      <c r="AB4" s="1827"/>
      <c r="AC4" s="1827"/>
      <c r="AD4" s="1827"/>
      <c r="AE4" s="1825" t="s">
        <v>1852</v>
      </c>
      <c r="AF4" s="1827"/>
      <c r="AG4" s="1869"/>
      <c r="AH4" s="1863"/>
      <c r="AI4" s="1864"/>
      <c r="AJ4" s="1864"/>
      <c r="AK4" s="1864"/>
      <c r="AL4" s="1864"/>
      <c r="AM4" s="1866"/>
      <c r="AN4" s="2889"/>
      <c r="AO4" s="2889"/>
      <c r="AP4" s="2889"/>
      <c r="AQ4" s="2889"/>
      <c r="AR4" s="2889"/>
      <c r="AS4" s="1861"/>
      <c r="AT4" s="1861"/>
      <c r="AU4" s="1861"/>
      <c r="AV4" s="1861"/>
      <c r="AW4" s="1861"/>
      <c r="AX4" s="1861"/>
      <c r="AY4" s="1861"/>
      <c r="AZ4" s="1861"/>
      <c r="BA4" s="1861"/>
      <c r="BB4" s="1861"/>
      <c r="BC4" s="1861"/>
      <c r="BD4" s="1861"/>
      <c r="BE4" s="1861"/>
      <c r="BF4" s="1861"/>
      <c r="BG4" s="1861"/>
      <c r="BH4" s="1861"/>
      <c r="BI4" s="1861"/>
      <c r="BJ4" s="1861"/>
      <c r="BK4" s="1861"/>
      <c r="BL4" s="1861"/>
      <c r="BM4" s="1861"/>
      <c r="BN4" s="1861"/>
      <c r="BO4" s="1861"/>
    </row>
    <row r="5" spans="1:67" s="1735" customFormat="1" ht="42">
      <c r="A5" s="1870" t="s">
        <v>1853</v>
      </c>
      <c r="B5" s="1871" t="s">
        <v>1854</v>
      </c>
      <c r="C5" s="1872" t="s">
        <v>1855</v>
      </c>
      <c r="D5" s="1873" t="s">
        <v>1856</v>
      </c>
      <c r="E5" s="1170" t="s">
        <v>1857</v>
      </c>
      <c r="F5" s="1874" t="s">
        <v>1858</v>
      </c>
      <c r="G5" s="1170" t="s">
        <v>1859</v>
      </c>
      <c r="H5" s="1170" t="s">
        <v>1860</v>
      </c>
      <c r="I5" s="1170" t="s">
        <v>1861</v>
      </c>
      <c r="J5" s="1875" t="s">
        <v>1862</v>
      </c>
      <c r="K5" s="1876" t="s">
        <v>1863</v>
      </c>
      <c r="L5" s="1877" t="s">
        <v>1864</v>
      </c>
      <c r="M5" s="1878" t="s">
        <v>1865</v>
      </c>
      <c r="N5" s="1879" t="s">
        <v>3269</v>
      </c>
      <c r="O5" s="1877" t="s">
        <v>1866</v>
      </c>
      <c r="P5" s="1880" t="s">
        <v>1867</v>
      </c>
      <c r="Q5" s="65" t="s">
        <v>1868</v>
      </c>
      <c r="R5" s="1881" t="s">
        <v>1869</v>
      </c>
      <c r="S5" s="1882" t="s">
        <v>1870</v>
      </c>
      <c r="T5" s="1883" t="s">
        <v>1871</v>
      </c>
      <c r="U5" s="1169" t="s">
        <v>1872</v>
      </c>
      <c r="V5" s="1170" t="s">
        <v>1873</v>
      </c>
      <c r="W5" s="1170" t="s">
        <v>1874</v>
      </c>
      <c r="X5" s="67"/>
      <c r="Y5" s="66" t="s">
        <v>1875</v>
      </c>
      <c r="Z5" s="1884" t="s">
        <v>1872</v>
      </c>
      <c r="AA5" s="1170" t="s">
        <v>1873</v>
      </c>
      <c r="AB5" s="1170" t="s">
        <v>1874</v>
      </c>
      <c r="AC5" s="67"/>
      <c r="AD5" s="67" t="s">
        <v>1875</v>
      </c>
      <c r="AE5" s="1169" t="s">
        <v>1876</v>
      </c>
      <c r="AF5" s="1170" t="s">
        <v>1877</v>
      </c>
      <c r="AG5" s="66" t="s">
        <v>1878</v>
      </c>
      <c r="AH5" s="1169" t="s">
        <v>1879</v>
      </c>
      <c r="AI5" s="1884" t="s">
        <v>1880</v>
      </c>
      <c r="AJ5" s="1884" t="s">
        <v>1881</v>
      </c>
      <c r="AK5" s="1170" t="s">
        <v>1882</v>
      </c>
      <c r="AL5" s="1170" t="s">
        <v>1883</v>
      </c>
      <c r="AM5" s="66" t="s">
        <v>1884</v>
      </c>
      <c r="AN5" s="1885" t="s">
        <v>1885</v>
      </c>
      <c r="AO5" s="1737" t="s">
        <v>1886</v>
      </c>
      <c r="AP5" s="1151" t="s">
        <v>1887</v>
      </c>
      <c r="AQ5" s="1886" t="s">
        <v>1888</v>
      </c>
      <c r="AR5" s="1886" t="s">
        <v>1889</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7" t="str">
        <f>'数据-汇总表'!C19</f>
        <v>有租约</v>
      </c>
      <c r="B6" s="1888" t="str">
        <f>IF(A6=0,"","经营性")</f>
        <v>经营性</v>
      </c>
      <c r="C6" s="1889" t="s">
        <v>1343</v>
      </c>
      <c r="D6" s="961">
        <f>SUMIF(项目基本情况!D$12:I$12,C6,项目基本情况!D$14:I$14)</f>
        <v>40</v>
      </c>
      <c r="E6" s="960">
        <f>IF(B6="","",SUMIF(项目基本情况!D$12:I$12,C6,项目基本情况!D$13:I$13))</f>
        <v>56203</v>
      </c>
      <c r="F6" s="68">
        <f>SUMIF(项目基本情况!D$12:I$12,C6,项目基本情况!D$15:I$15)</f>
        <v>32</v>
      </c>
      <c r="G6" s="69">
        <f>IF(ISERROR(ROUND(POWER(1+H6,D6-F6)*(POWER(1+H6,F6)-1)/(POWER(1+H6,D6)-1),3)),0,ROUND(POWER(1+H6,D6-F6)*(POWER(1+H6,F6)-1)/(POWER(1+H6,D6)-1),3))</f>
        <v>0.92900000000000005</v>
      </c>
      <c r="H6" s="741">
        <v>5.5E-2</v>
      </c>
      <c r="I6" s="741">
        <v>0.06</v>
      </c>
      <c r="J6" s="70">
        <v>8.5000000000000006E-2</v>
      </c>
      <c r="K6" s="1153">
        <f>SUMIF('数据-汇总表'!C$19:C$33,A6,'数据-汇总表'!E$19:E$33)</f>
        <v>641.44000000000005</v>
      </c>
      <c r="L6" s="742">
        <v>3500</v>
      </c>
      <c r="M6" s="71">
        <f t="shared" ref="M6:M14" si="0">ROUND(K6*L6/10000,0)</f>
        <v>225</v>
      </c>
      <c r="N6" s="740">
        <f>ROUND(1-(1-0%)*(2021-N18)/60,2)</f>
        <v>0.9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26">
        <f>ROUND($L$14*S6/10000,0)</f>
        <v>0</v>
      </c>
      <c r="U6" s="3178">
        <v>2.1</v>
      </c>
      <c r="V6" s="75">
        <v>0</v>
      </c>
      <c r="W6" s="75">
        <v>0</v>
      </c>
      <c r="X6" s="1163"/>
      <c r="Y6" s="76">
        <f>N6</f>
        <v>0.9</v>
      </c>
      <c r="Z6" s="77">
        <f>ROUND(X25*(1+AA6)^AF6,1)</f>
        <v>3.2</v>
      </c>
      <c r="AA6" s="70">
        <v>2.5000000000000001E-2</v>
      </c>
      <c r="AB6" s="70">
        <v>0.1</v>
      </c>
      <c r="AC6" s="1163"/>
      <c r="AD6" s="78">
        <f>ROUND(1-(1-0%)*(2031-N18)/60,2)</f>
        <v>0.73</v>
      </c>
      <c r="AE6" s="1164">
        <f ca="1">IF(AN6="",0,SUMIF(INDIRECT("'"&amp;AN6&amp;"'"&amp;"!E:E"),$AE$5,INDIRECT("'"&amp;AN6&amp;"'"&amp;"!F:F")))</f>
        <v>32</v>
      </c>
      <c r="AF6" s="3131">
        <f>项目基本情况!I15</f>
        <v>9.6</v>
      </c>
      <c r="AG6" s="143">
        <f ca="1">IF(AF6="",0,AE6-AF6)</f>
        <v>22.4</v>
      </c>
      <c r="AH6" s="744"/>
      <c r="AI6" s="81">
        <v>365</v>
      </c>
      <c r="AJ6" s="82"/>
      <c r="AK6" s="83">
        <v>0.01</v>
      </c>
      <c r="AL6" s="84">
        <v>1.5E-3</v>
      </c>
      <c r="AM6" s="85">
        <v>0.01</v>
      </c>
      <c r="AN6" s="1890" t="s">
        <v>3451</v>
      </c>
      <c r="AO6" s="55">
        <f ca="1">SUMIF(INDIRECT("'"&amp;AN6&amp;"'"&amp;"!A:A"),"总价",INDIRECT("'"&amp;AN6&amp;"'"&amp;"!B:B"))</f>
        <v>713</v>
      </c>
      <c r="AP6" s="1891">
        <f>IF(C6="住宅",K6*L6,0)</f>
        <v>0</v>
      </c>
      <c r="AQ6" s="55">
        <f>ROUND($L$14*$N$14*S6/10000,0)</f>
        <v>0</v>
      </c>
      <c r="AR6" s="55">
        <f>ROUND($L$14*(1-$N$14)*S6/10000,0)</f>
        <v>0</v>
      </c>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row>
    <row r="7" spans="1:67" s="1734" customFormat="1" ht="14.25">
      <c r="A7" s="1887" t="str">
        <f>'数据-汇总表'!C20</f>
        <v>无租约</v>
      </c>
      <c r="B7" s="1888" t="str">
        <f t="shared" ref="B7:B13" si="1">IF(A7=0,"","经营性")</f>
        <v>经营性</v>
      </c>
      <c r="C7" s="1889" t="s">
        <v>1343</v>
      </c>
      <c r="D7" s="961">
        <f>SUMIF(项目基本情况!D$12:I$12,C7,项目基本情况!D$14:I$14)</f>
        <v>40</v>
      </c>
      <c r="E7" s="960">
        <f>IF(B7="","",SUMIF(项目基本情况!D$12:I$12,C7,项目基本情况!D$13:I$13))</f>
        <v>56203</v>
      </c>
      <c r="F7" s="68">
        <f>SUMIF(项目基本情况!D$12:I$12,C7,项目基本情况!D$15:I$15)</f>
        <v>32</v>
      </c>
      <c r="G7" s="69">
        <f t="shared" ref="G7:G11" si="2">IF(ISERROR(ROUND(POWER(1+H7,D7-F7)*(POWER(1+H7,F7)-1)/(POWER(1+H7,D7)-1),3)),0,ROUND(POWER(1+H7,D7-F7)*(POWER(1+H7,F7)-1)/(POWER(1+H7,D7)-1),3))</f>
        <v>0.92900000000000005</v>
      </c>
      <c r="H7" s="741">
        <f>H6</f>
        <v>5.5E-2</v>
      </c>
      <c r="I7" s="741">
        <f>I6</f>
        <v>0.06</v>
      </c>
      <c r="J7" s="741">
        <f>J6</f>
        <v>8.5000000000000006E-2</v>
      </c>
      <c r="K7" s="1153">
        <f>SUMIF('数据-汇总表'!C$19:C$33,A7,'数据-汇总表'!E$19:E$33)</f>
        <v>357.37</v>
      </c>
      <c r="L7" s="742">
        <f>L6</f>
        <v>3500</v>
      </c>
      <c r="M7" s="71">
        <f t="shared" si="0"/>
        <v>125</v>
      </c>
      <c r="N7" s="740">
        <f>N6</f>
        <v>0.9</v>
      </c>
      <c r="O7" s="71" t="str">
        <f t="shared" ref="O7:O14" si="3">IF($N$5="成新度","——",ROUND(M7*N7,0))</f>
        <v>——</v>
      </c>
      <c r="P7" s="72" t="str">
        <f t="shared" ref="P7:P14" si="4">IF($N$5="成新度","——",M7-O7)</f>
        <v>——</v>
      </c>
      <c r="Q7" s="86">
        <f>Q6</f>
        <v>0.15</v>
      </c>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74">
        <f>Y25</f>
        <v>3.4</v>
      </c>
      <c r="V7" s="75">
        <f>AA6</f>
        <v>2.5000000000000001E-2</v>
      </c>
      <c r="W7" s="75">
        <f>AB6</f>
        <v>0.1</v>
      </c>
      <c r="X7" s="1163"/>
      <c r="Y7" s="76">
        <f>Y6</f>
        <v>0.9</v>
      </c>
      <c r="Z7" s="77"/>
      <c r="AA7" s="70"/>
      <c r="AB7" s="70"/>
      <c r="AC7" s="1163"/>
      <c r="AD7" s="78"/>
      <c r="AE7" s="1164">
        <f t="shared" ref="AE7:AE13" ca="1" si="6">IF(AN7="",0,SUMIF(INDIRECT("'"&amp;AN7&amp;"'"&amp;"!E:E"),$AE$5,INDIRECT("'"&amp;AN7&amp;"'"&amp;"!F:F")))</f>
        <v>32</v>
      </c>
      <c r="AF7" s="3131"/>
      <c r="AG7" s="143">
        <f t="shared" ref="AG7:AG13" si="7">IF(AF7="",0,AE7-AF7)</f>
        <v>0</v>
      </c>
      <c r="AH7" s="744"/>
      <c r="AI7" s="81">
        <v>365</v>
      </c>
      <c r="AJ7" s="82"/>
      <c r="AK7" s="83">
        <f>AK6</f>
        <v>0.01</v>
      </c>
      <c r="AL7" s="83">
        <f>AL6</f>
        <v>1.5E-3</v>
      </c>
      <c r="AM7" s="83">
        <f>AM6</f>
        <v>0.01</v>
      </c>
      <c r="AN7" s="1890" t="s">
        <v>3452</v>
      </c>
      <c r="AO7" s="55">
        <f t="shared" ref="AO7:AO13" ca="1" si="8">SUMIF(INDIRECT("'"&amp;AN7&amp;"'"&amp;"!A:A"),"总价",INDIRECT("'"&amp;AN7&amp;"'"&amp;"!B:B"))</f>
        <v>583</v>
      </c>
      <c r="AP7" s="1891">
        <f t="shared" ref="AP7:AP13" si="9">IF(C7="住宅",K7*L7,0)</f>
        <v>0</v>
      </c>
      <c r="AQ7" s="55">
        <f t="shared" ref="AQ7:AQ13" si="10">ROUND($L$14*$N$14*S7/10000,0)</f>
        <v>0</v>
      </c>
      <c r="AR7" s="55">
        <f t="shared" ref="AR7:AR13" si="11">ROUND($L$14*(1-$N$14)*S7/10000,0)</f>
        <v>0</v>
      </c>
      <c r="AS7" s="1861"/>
      <c r="AT7" s="1861"/>
      <c r="AU7" s="1861"/>
      <c r="AV7" s="1861"/>
      <c r="AW7" s="1861"/>
      <c r="AX7" s="1861"/>
      <c r="AY7" s="1861"/>
      <c r="AZ7" s="1861"/>
      <c r="BA7" s="1861"/>
      <c r="BB7" s="1861"/>
      <c r="BC7" s="1861"/>
      <c r="BD7" s="1861"/>
      <c r="BE7" s="1861"/>
      <c r="BF7" s="1861"/>
      <c r="BG7" s="1861"/>
      <c r="BH7" s="1861"/>
      <c r="BI7" s="1861"/>
      <c r="BJ7" s="1861"/>
      <c r="BK7" s="1861"/>
      <c r="BL7" s="1861"/>
      <c r="BM7" s="1861"/>
      <c r="BN7" s="1861"/>
      <c r="BO7" s="1861"/>
    </row>
    <row r="8" spans="1:67" s="1734" customFormat="1" ht="14.25">
      <c r="A8" s="1887">
        <f>'数据-汇总表'!C21</f>
        <v>0</v>
      </c>
      <c r="B8" s="1888" t="str">
        <f t="shared" si="1"/>
        <v/>
      </c>
      <c r="C8" s="1889"/>
      <c r="D8" s="961">
        <f>SUMIF(项目基本情况!D$12:I$12,C8,项目基本情况!D$14:I$14)</f>
        <v>0</v>
      </c>
      <c r="E8" s="960" t="str">
        <f>IF(B8="","",SUMIF(项目基本情况!D$12:I$12,C8,项目基本情况!D$13:I$13))</f>
        <v/>
      </c>
      <c r="F8" s="68">
        <f>SUMIF(项目基本情况!D$12:I$12,C8,项目基本情况!D$15:I$15)</f>
        <v>0</v>
      </c>
      <c r="G8" s="69">
        <f t="shared" si="2"/>
        <v>0</v>
      </c>
      <c r="H8" s="741"/>
      <c r="I8" s="741"/>
      <c r="J8" s="70"/>
      <c r="K8" s="1153">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6">
        <f t="shared" si="5"/>
        <v>0</v>
      </c>
      <c r="U8" s="74"/>
      <c r="V8" s="75"/>
      <c r="W8" s="75"/>
      <c r="X8" s="1163"/>
      <c r="Y8" s="76"/>
      <c r="Z8" s="77"/>
      <c r="AA8" s="70"/>
      <c r="AB8" s="70"/>
      <c r="AC8" s="1163"/>
      <c r="AD8" s="78"/>
      <c r="AE8" s="1164">
        <f t="shared" ca="1" si="6"/>
        <v>0</v>
      </c>
      <c r="AF8" s="1522"/>
      <c r="AG8" s="143">
        <f t="shared" si="7"/>
        <v>0</v>
      </c>
      <c r="AH8" s="744"/>
      <c r="AI8" s="81"/>
      <c r="AJ8" s="82"/>
      <c r="AK8" s="83"/>
      <c r="AL8" s="84"/>
      <c r="AM8" s="85"/>
      <c r="AN8" s="1890"/>
      <c r="AO8" s="55" t="e">
        <f t="shared" ca="1" si="8"/>
        <v>#REF!</v>
      </c>
      <c r="AP8" s="1891">
        <f t="shared" si="9"/>
        <v>0</v>
      </c>
      <c r="AQ8" s="55">
        <f t="shared" si="10"/>
        <v>0</v>
      </c>
      <c r="AR8" s="55">
        <f t="shared" si="11"/>
        <v>0</v>
      </c>
      <c r="AS8" s="1861"/>
      <c r="AT8" s="1861"/>
      <c r="AU8" s="1861"/>
      <c r="AV8" s="1861"/>
      <c r="AW8" s="1861"/>
      <c r="AX8" s="1861"/>
      <c r="AY8" s="1861"/>
      <c r="AZ8" s="1861"/>
      <c r="BA8" s="1861"/>
      <c r="BB8" s="1861"/>
      <c r="BC8" s="1861"/>
      <c r="BD8" s="1861"/>
      <c r="BE8" s="1861"/>
      <c r="BF8" s="1861"/>
      <c r="BG8" s="1861"/>
      <c r="BH8" s="1861"/>
      <c r="BI8" s="1861"/>
      <c r="BJ8" s="1861"/>
      <c r="BK8" s="1861"/>
      <c r="BL8" s="1861"/>
      <c r="BM8" s="1861"/>
      <c r="BN8" s="1861"/>
      <c r="BO8" s="1861"/>
    </row>
    <row r="9" spans="1:67" s="1734" customFormat="1" ht="14.25">
      <c r="A9" s="1887">
        <f>'数据-汇总表'!C22</f>
        <v>0</v>
      </c>
      <c r="B9" s="1888" t="str">
        <f t="shared" si="1"/>
        <v/>
      </c>
      <c r="C9" s="1889"/>
      <c r="D9" s="961">
        <f>SUMIF(项目基本情况!D$12:I$12,C9,项目基本情况!D$14:I$14)</f>
        <v>0</v>
      </c>
      <c r="E9" s="960" t="str">
        <f>IF(B9="","",SUMIF(项目基本情况!D$12:I$12,C9,项目基本情况!D$13:I$13))</f>
        <v/>
      </c>
      <c r="F9" s="68">
        <f>SUMIF(项目基本情况!D$12:I$12,C9,项目基本情况!D$15:I$15)</f>
        <v>0</v>
      </c>
      <c r="G9" s="69">
        <f t="shared" si="2"/>
        <v>0</v>
      </c>
      <c r="H9" s="741"/>
      <c r="I9" s="741"/>
      <c r="J9" s="70"/>
      <c r="K9" s="1153">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2"/>
      <c r="AG9" s="143">
        <f t="shared" si="7"/>
        <v>0</v>
      </c>
      <c r="AH9" s="79"/>
      <c r="AI9" s="81"/>
      <c r="AJ9" s="82"/>
      <c r="AK9" s="83"/>
      <c r="AL9" s="84"/>
      <c r="AM9" s="85"/>
      <c r="AN9" s="1890"/>
      <c r="AO9" s="55" t="e">
        <f t="shared" ca="1" si="8"/>
        <v>#REF!</v>
      </c>
      <c r="AP9" s="1891">
        <f t="shared" si="9"/>
        <v>0</v>
      </c>
      <c r="AQ9" s="55">
        <f t="shared" si="10"/>
        <v>0</v>
      </c>
      <c r="AR9" s="55">
        <f t="shared" si="11"/>
        <v>0</v>
      </c>
      <c r="AS9" s="1861"/>
      <c r="AT9" s="1861"/>
      <c r="AU9" s="1861"/>
      <c r="AV9" s="1861"/>
      <c r="AW9" s="1861"/>
      <c r="AX9" s="1861"/>
      <c r="AY9" s="1861"/>
      <c r="AZ9" s="1861"/>
      <c r="BA9" s="1861"/>
      <c r="BB9" s="1861"/>
      <c r="BC9" s="1861"/>
      <c r="BD9" s="1861"/>
      <c r="BE9" s="1861"/>
      <c r="BF9" s="1861"/>
      <c r="BG9" s="1861"/>
      <c r="BH9" s="1861"/>
      <c r="BI9" s="1861"/>
      <c r="BJ9" s="1861"/>
      <c r="BK9" s="1861"/>
      <c r="BL9" s="1861"/>
      <c r="BM9" s="1861"/>
      <c r="BN9" s="1861"/>
      <c r="BO9" s="1861"/>
    </row>
    <row r="10" spans="1:67" s="1734" customFormat="1" ht="14.25">
      <c r="A10" s="1887">
        <f>'数据-汇总表'!C23</f>
        <v>0</v>
      </c>
      <c r="B10" s="1888" t="str">
        <f t="shared" si="1"/>
        <v/>
      </c>
      <c r="C10" s="1889"/>
      <c r="D10" s="961">
        <f>SUMIF(项目基本情况!D$12:I$12,C10,项目基本情况!D$14:I$14)</f>
        <v>0</v>
      </c>
      <c r="E10" s="960" t="str">
        <f>IF(B10="","",SUMIF(项目基本情况!D$12:I$12,C10,项目基本情况!D$13:I$13))</f>
        <v/>
      </c>
      <c r="F10" s="68">
        <f>SUMIF(项目基本情况!D$12:I$12,C10,项目基本情况!D$15:I$15)</f>
        <v>0</v>
      </c>
      <c r="G10" s="69">
        <f t="shared" si="2"/>
        <v>0</v>
      </c>
      <c r="H10" s="741"/>
      <c r="I10" s="741"/>
      <c r="J10" s="70"/>
      <c r="K10" s="1153">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2"/>
      <c r="AG10" s="143">
        <f t="shared" si="7"/>
        <v>0</v>
      </c>
      <c r="AH10" s="79"/>
      <c r="AI10" s="81"/>
      <c r="AJ10" s="82"/>
      <c r="AK10" s="83"/>
      <c r="AL10" s="84"/>
      <c r="AM10" s="85"/>
      <c r="AN10" s="1890"/>
      <c r="AO10" s="55" t="e">
        <f t="shared" ca="1" si="8"/>
        <v>#REF!</v>
      </c>
      <c r="AP10" s="1891">
        <f t="shared" si="9"/>
        <v>0</v>
      </c>
      <c r="AQ10" s="55">
        <f t="shared" si="10"/>
        <v>0</v>
      </c>
      <c r="AR10" s="55">
        <f t="shared" si="11"/>
        <v>0</v>
      </c>
      <c r="AS10" s="1861"/>
      <c r="AT10" s="1861"/>
      <c r="AU10" s="1861"/>
      <c r="AV10" s="1861"/>
      <c r="AW10" s="1861"/>
      <c r="AX10" s="1861"/>
      <c r="AY10" s="1861"/>
      <c r="AZ10" s="1861"/>
      <c r="BA10" s="1861"/>
      <c r="BB10" s="1861"/>
      <c r="BC10" s="1861"/>
      <c r="BD10" s="1861"/>
      <c r="BE10" s="1861"/>
      <c r="BF10" s="1861"/>
      <c r="BG10" s="1861"/>
      <c r="BH10" s="1861"/>
      <c r="BI10" s="1861"/>
      <c r="BJ10" s="1861"/>
      <c r="BK10" s="1861"/>
      <c r="BL10" s="1861"/>
      <c r="BM10" s="1861"/>
      <c r="BN10" s="1861"/>
      <c r="BO10" s="1861"/>
    </row>
    <row r="11" spans="1:67" s="1734" customFormat="1" ht="14.25">
      <c r="A11" s="1887">
        <f>'数据-汇总表'!C24</f>
        <v>0</v>
      </c>
      <c r="B11" s="1888" t="str">
        <f t="shared" si="1"/>
        <v/>
      </c>
      <c r="C11" s="1889"/>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2"/>
      <c r="AG11" s="143">
        <f t="shared" si="7"/>
        <v>0</v>
      </c>
      <c r="AH11" s="79"/>
      <c r="AI11" s="81"/>
      <c r="AJ11" s="82"/>
      <c r="AK11" s="90"/>
      <c r="AL11" s="91"/>
      <c r="AM11" s="92"/>
      <c r="AN11" s="1890"/>
      <c r="AO11" s="55" t="e">
        <f t="shared" ca="1" si="8"/>
        <v>#REF!</v>
      </c>
      <c r="AP11" s="1891">
        <f t="shared" si="9"/>
        <v>0</v>
      </c>
      <c r="AQ11" s="55">
        <f t="shared" si="10"/>
        <v>0</v>
      </c>
      <c r="AR11" s="55">
        <f t="shared" si="11"/>
        <v>0</v>
      </c>
      <c r="AS11" s="1861"/>
      <c r="AT11" s="1861"/>
      <c r="AU11" s="1861"/>
      <c r="AV11" s="1861"/>
      <c r="AW11" s="1861"/>
      <c r="AX11" s="1861"/>
      <c r="AY11" s="1861"/>
      <c r="AZ11" s="1861"/>
      <c r="BA11" s="1861"/>
      <c r="BB11" s="1861"/>
      <c r="BC11" s="1861"/>
      <c r="BD11" s="1861"/>
      <c r="BE11" s="1861"/>
      <c r="BF11" s="1861"/>
      <c r="BG11" s="1861"/>
      <c r="BH11" s="1861"/>
      <c r="BI11" s="1861"/>
      <c r="BJ11" s="1861"/>
      <c r="BK11" s="1861"/>
      <c r="BL11" s="1861"/>
      <c r="BM11" s="1861"/>
      <c r="BN11" s="1861"/>
      <c r="BO11" s="1861"/>
    </row>
    <row r="12" spans="1:67" s="1734" customFormat="1" ht="14.25">
      <c r="A12" s="1887">
        <f>'数据-汇总表'!C25</f>
        <v>0</v>
      </c>
      <c r="B12" s="1888" t="str">
        <f t="shared" si="1"/>
        <v/>
      </c>
      <c r="C12" s="1889"/>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2"/>
      <c r="AG12" s="143">
        <f t="shared" si="7"/>
        <v>0</v>
      </c>
      <c r="AH12" s="79"/>
      <c r="AI12" s="81"/>
      <c r="AJ12" s="82"/>
      <c r="AK12" s="90"/>
      <c r="AL12" s="91"/>
      <c r="AM12" s="92"/>
      <c r="AN12" s="1890"/>
      <c r="AO12" s="55" t="e">
        <f t="shared" ca="1" si="8"/>
        <v>#REF!</v>
      </c>
      <c r="AP12" s="1891">
        <f t="shared" si="9"/>
        <v>0</v>
      </c>
      <c r="AQ12" s="55">
        <f t="shared" si="10"/>
        <v>0</v>
      </c>
      <c r="AR12" s="55">
        <f t="shared" si="11"/>
        <v>0</v>
      </c>
      <c r="AS12" s="1861"/>
      <c r="AT12" s="1861"/>
      <c r="AU12" s="1861"/>
      <c r="AV12" s="1861"/>
      <c r="AW12" s="1861"/>
      <c r="AX12" s="1861"/>
      <c r="AY12" s="1861"/>
      <c r="AZ12" s="1861"/>
      <c r="BA12" s="1861"/>
      <c r="BB12" s="1861"/>
      <c r="BC12" s="1861"/>
      <c r="BD12" s="1861"/>
      <c r="BE12" s="1861"/>
      <c r="BF12" s="1861"/>
      <c r="BG12" s="1861"/>
      <c r="BH12" s="1861"/>
      <c r="BI12" s="1861"/>
      <c r="BJ12" s="1861"/>
      <c r="BK12" s="1861"/>
      <c r="BL12" s="1861"/>
      <c r="BM12" s="1861"/>
      <c r="BN12" s="1861"/>
      <c r="BO12" s="1861"/>
    </row>
    <row r="13" spans="1:67" s="1734" customFormat="1" ht="14.25">
      <c r="A13" s="1887">
        <f>'数据-汇总表'!C26</f>
        <v>0</v>
      </c>
      <c r="B13" s="1888" t="str">
        <f t="shared" si="1"/>
        <v/>
      </c>
      <c r="C13" s="1889"/>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2"/>
      <c r="AG13" s="143">
        <f t="shared" si="7"/>
        <v>0</v>
      </c>
      <c r="AH13" s="79"/>
      <c r="AI13" s="81"/>
      <c r="AJ13" s="82"/>
      <c r="AK13" s="83"/>
      <c r="AL13" s="84"/>
      <c r="AM13" s="85"/>
      <c r="AN13" s="1890"/>
      <c r="AO13" s="55" t="e">
        <f t="shared" ca="1" si="8"/>
        <v>#REF!</v>
      </c>
      <c r="AP13" s="1891">
        <f t="shared" si="9"/>
        <v>0</v>
      </c>
      <c r="AQ13" s="55">
        <f t="shared" si="10"/>
        <v>0</v>
      </c>
      <c r="AR13" s="55">
        <f t="shared" si="11"/>
        <v>0</v>
      </c>
      <c r="AS13" s="1861"/>
      <c r="AT13" s="1861"/>
      <c r="AU13" s="1861"/>
      <c r="AV13" s="1861"/>
      <c r="AW13" s="1861"/>
      <c r="AX13" s="1861"/>
      <c r="AY13" s="1861"/>
      <c r="AZ13" s="1861"/>
      <c r="BA13" s="1861"/>
      <c r="BB13" s="1861"/>
      <c r="BC13" s="1861"/>
      <c r="BD13" s="1861"/>
      <c r="BE13" s="1861"/>
      <c r="BF13" s="1861"/>
      <c r="BG13" s="1861"/>
      <c r="BH13" s="1861"/>
      <c r="BI13" s="1861"/>
      <c r="BJ13" s="1861"/>
      <c r="BK13" s="1861"/>
      <c r="BL13" s="1861"/>
      <c r="BM13" s="1861"/>
      <c r="BN13" s="1861"/>
      <c r="BO13" s="1861"/>
    </row>
    <row r="14" spans="1:67" s="1734" customFormat="1" ht="14.25">
      <c r="A14" s="1892" t="s">
        <v>1890</v>
      </c>
      <c r="B14" s="1888" t="s">
        <v>1891</v>
      </c>
      <c r="C14" s="1893" t="s">
        <v>1890</v>
      </c>
      <c r="D14" s="961"/>
      <c r="E14" s="960"/>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9"/>
      <c r="V14" s="1158"/>
      <c r="W14" s="1158"/>
      <c r="X14" s="1159"/>
      <c r="Y14" s="1160"/>
      <c r="Z14" s="1161"/>
      <c r="AA14" s="1162"/>
      <c r="AB14" s="1162"/>
      <c r="AC14" s="1163"/>
      <c r="AD14" s="1159"/>
      <c r="AE14" s="1164"/>
      <c r="AF14" s="55"/>
      <c r="AG14" s="143"/>
      <c r="AH14" s="1164"/>
      <c r="AI14" s="1531"/>
      <c r="AJ14" s="713"/>
      <c r="AK14" s="1165"/>
      <c r="AL14" s="1166"/>
      <c r="AM14" s="1167"/>
      <c r="AN14" s="2887"/>
      <c r="AO14" s="2889"/>
      <c r="AP14" s="2889"/>
      <c r="AQ14" s="2889"/>
      <c r="AR14" s="2889"/>
      <c r="AS14" s="1861"/>
      <c r="AT14" s="1861"/>
      <c r="AU14" s="1861"/>
      <c r="AV14" s="1861"/>
      <c r="AW14" s="1861"/>
      <c r="AX14" s="1861"/>
      <c r="AY14" s="1861"/>
      <c r="AZ14" s="1861"/>
      <c r="BA14" s="1861"/>
      <c r="BB14" s="1861"/>
      <c r="BC14" s="1861"/>
      <c r="BD14" s="1861"/>
      <c r="BE14" s="1861"/>
      <c r="BF14" s="1861"/>
      <c r="BG14" s="1861"/>
      <c r="BH14" s="1861"/>
      <c r="BI14" s="1861"/>
      <c r="BJ14" s="1861"/>
      <c r="BK14" s="1861"/>
      <c r="BL14" s="1861"/>
      <c r="BM14" s="1861"/>
      <c r="BN14" s="1861"/>
      <c r="BO14" s="1861"/>
    </row>
    <row r="15" spans="1:67" s="1734" customFormat="1" ht="27">
      <c r="A15" s="1892" t="s">
        <v>1892</v>
      </c>
      <c r="B15" s="1888" t="s">
        <v>1891</v>
      </c>
      <c r="C15" s="1893" t="s">
        <v>1893</v>
      </c>
      <c r="D15" s="961"/>
      <c r="E15" s="960"/>
      <c r="F15" s="68"/>
      <c r="G15" s="69"/>
      <c r="H15" s="1152"/>
      <c r="I15" s="1152"/>
      <c r="J15" s="1152"/>
      <c r="K15" s="1153">
        <f>SUMIF('数据-汇总表'!C$19:C$33,A15,'数据-汇总表'!E$19:E$33)</f>
        <v>0</v>
      </c>
      <c r="L15" s="1154"/>
      <c r="M15" s="71"/>
      <c r="N15" s="1155"/>
      <c r="O15" s="71"/>
      <c r="P15" s="72"/>
      <c r="Q15" s="1156"/>
      <c r="R15" s="73"/>
      <c r="S15" s="54"/>
      <c r="T15" s="1326"/>
      <c r="U15" s="679"/>
      <c r="V15" s="1158"/>
      <c r="W15" s="1158"/>
      <c r="X15" s="1159"/>
      <c r="Y15" s="1160"/>
      <c r="Z15" s="1161"/>
      <c r="AA15" s="1162"/>
      <c r="AB15" s="1162"/>
      <c r="AC15" s="1163"/>
      <c r="AD15" s="1159"/>
      <c r="AE15" s="1164"/>
      <c r="AF15" s="55"/>
      <c r="AG15" s="143"/>
      <c r="AH15" s="1164"/>
      <c r="AI15" s="1531"/>
      <c r="AJ15" s="713"/>
      <c r="AK15" s="1165"/>
      <c r="AL15" s="1166"/>
      <c r="AM15" s="1167"/>
      <c r="AN15" s="2887"/>
      <c r="AO15" s="2889"/>
      <c r="AP15" s="2889"/>
      <c r="AQ15" s="2889"/>
      <c r="AR15" s="2889"/>
      <c r="AS15" s="1861"/>
      <c r="AT15" s="1861"/>
      <c r="AU15" s="1861"/>
      <c r="AV15" s="1861"/>
      <c r="AW15" s="1861"/>
      <c r="AX15" s="1861"/>
      <c r="AY15" s="1861"/>
      <c r="AZ15" s="1861"/>
      <c r="BA15" s="1861"/>
      <c r="BB15" s="1861"/>
      <c r="BC15" s="1861"/>
      <c r="BD15" s="1861"/>
      <c r="BE15" s="1861"/>
      <c r="BF15" s="1861"/>
      <c r="BG15" s="1861"/>
      <c r="BH15" s="1861"/>
      <c r="BI15" s="1861"/>
      <c r="BJ15" s="1861"/>
      <c r="BK15" s="1861"/>
      <c r="BL15" s="1861"/>
      <c r="BM15" s="1861"/>
      <c r="BN15" s="1861"/>
      <c r="BO15" s="1861"/>
    </row>
    <row r="16" spans="1:67" s="1734" customFormat="1" ht="15.75" thickBot="1">
      <c r="A16" s="1894" t="s">
        <v>1894</v>
      </c>
      <c r="B16" s="93"/>
      <c r="C16" s="936"/>
      <c r="D16" s="1895"/>
      <c r="E16" s="93"/>
      <c r="F16" s="93"/>
      <c r="G16" s="94">
        <f>ROUND(SUMPRODUCT(G6:G13,K6:K13)/SUMPRODUCT((G6:G13&gt;0)*(K6:K13)),3)</f>
        <v>0.92900000000000005</v>
      </c>
      <c r="H16" s="95">
        <f>ROUND(SUMPRODUCT(H6:H13,K6:K13)/SUMPRODUCT((H6:H13&gt;0)*(K6:K13)),3)</f>
        <v>5.5E-2</v>
      </c>
      <c r="I16" s="96"/>
      <c r="J16" s="96"/>
      <c r="K16" s="97">
        <f>SUM(K6:K15)</f>
        <v>998.81000000000006</v>
      </c>
      <c r="L16" s="98">
        <f>ROUND(M16*10000/SUM(K6:K14),0)</f>
        <v>3504</v>
      </c>
      <c r="M16" s="98">
        <f>SUM(M6:M14)</f>
        <v>350</v>
      </c>
      <c r="N16" s="99">
        <f>ROUND(SUMPRODUCT(M6:M14,N6:N14)/M16,3)</f>
        <v>0.9</v>
      </c>
      <c r="O16" s="98">
        <f>SUM(O6:O14)</f>
        <v>0</v>
      </c>
      <c r="P16" s="98">
        <f>SUM(P6:P14)</f>
        <v>0</v>
      </c>
      <c r="Q16" s="100">
        <f>ROUND(SUMPRODUCT(Q6:Q13,K6:K13)/SUMPRODUCT((Q6:Q13&gt;0)*(K6:K13)),2)</f>
        <v>0.15</v>
      </c>
      <c r="R16" s="1157">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1"/>
      <c r="AT16" s="1861"/>
      <c r="AU16" s="1861"/>
      <c r="AV16" s="1861"/>
      <c r="AW16" s="1861"/>
      <c r="AX16" s="1861"/>
      <c r="AY16" s="1861"/>
      <c r="AZ16" s="1861"/>
      <c r="BA16" s="1861"/>
      <c r="BB16" s="1861"/>
      <c r="BC16" s="1861"/>
      <c r="BD16" s="1861"/>
      <c r="BE16" s="1861"/>
      <c r="BF16" s="1861"/>
      <c r="BG16" s="1861"/>
      <c r="BH16" s="1861"/>
      <c r="BI16" s="1861"/>
      <c r="BJ16" s="1861"/>
      <c r="BK16" s="1861"/>
      <c r="BL16" s="1861"/>
      <c r="BM16" s="1861"/>
      <c r="BN16" s="1861"/>
      <c r="BO16" s="1861"/>
    </row>
    <row r="17" spans="1:67" ht="13.5" thickBot="1">
      <c r="A17" s="1896"/>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v>2015</v>
      </c>
      <c r="O18" s="3118" t="s">
        <v>3270</v>
      </c>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897" t="s">
        <v>1896</v>
      </c>
      <c r="B19" s="108">
        <v>0</v>
      </c>
      <c r="C19" s="3017" t="s">
        <v>3039</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898" t="s">
        <v>1897</v>
      </c>
      <c r="B20" s="109">
        <v>2</v>
      </c>
      <c r="C20" s="3018" t="s">
        <v>3037</v>
      </c>
      <c r="D20" s="2892"/>
      <c r="E20" s="2889"/>
      <c r="F20" s="2889"/>
      <c r="G20" s="2889"/>
      <c r="H20" s="2889"/>
      <c r="I20" s="2889"/>
      <c r="J20" s="2889"/>
      <c r="K20" s="2888"/>
      <c r="L20" s="2888"/>
      <c r="M20" s="2887"/>
      <c r="N20" s="2887"/>
      <c r="O20" s="2887"/>
      <c r="P20" s="2887"/>
      <c r="Q20" s="2887"/>
      <c r="R20" s="2887"/>
      <c r="S20" s="2887"/>
      <c r="T20" s="2887"/>
      <c r="U20" s="2887"/>
      <c r="V20" s="2887"/>
      <c r="W20" s="2887"/>
      <c r="X20" s="3118" t="s">
        <v>3450</v>
      </c>
      <c r="Y20" s="3118" t="s">
        <v>3449</v>
      </c>
      <c r="Z20" s="3118" t="s">
        <v>3340</v>
      </c>
      <c r="AA20" s="3118" t="s">
        <v>3339</v>
      </c>
      <c r="AB20" s="3118" t="s">
        <v>3341</v>
      </c>
      <c r="AC20" s="3118" t="s">
        <v>3342</v>
      </c>
      <c r="AD20" s="2887"/>
      <c r="AE20" s="2887"/>
      <c r="AF20" s="2887"/>
      <c r="AG20" s="2887"/>
      <c r="AH20" s="2887"/>
      <c r="AI20" s="2887"/>
      <c r="AJ20" s="2887"/>
      <c r="AK20" s="2887"/>
      <c r="AL20" s="2887"/>
      <c r="AM20" s="2887"/>
      <c r="AN20" s="2887"/>
      <c r="AO20" s="2887"/>
      <c r="AP20" s="2887"/>
      <c r="AQ20" s="2887"/>
      <c r="AR20" s="2887"/>
    </row>
    <row r="21" spans="1:67" ht="14.25">
      <c r="A21" s="1899" t="s">
        <v>1898</v>
      </c>
      <c r="B21" s="109">
        <f>B20</f>
        <v>2</v>
      </c>
      <c r="C21" s="2889"/>
      <c r="D21" s="2892"/>
      <c r="E21" s="2889"/>
      <c r="F21" s="2889"/>
      <c r="G21" s="2889"/>
      <c r="H21" s="2889"/>
      <c r="I21" s="2889"/>
      <c r="J21" s="2889"/>
      <c r="K21" s="2888"/>
      <c r="L21" s="2888"/>
      <c r="M21" s="2887"/>
      <c r="N21" s="2887"/>
      <c r="O21" s="2887"/>
      <c r="P21" s="2887"/>
      <c r="Q21" s="2887"/>
      <c r="R21" s="2887"/>
      <c r="S21" s="2887"/>
      <c r="T21" s="2887"/>
      <c r="U21" s="2897"/>
      <c r="V21" s="2897"/>
      <c r="W21" s="2897"/>
      <c r="X21" s="2897">
        <v>0</v>
      </c>
      <c r="Y21" s="2887">
        <f>AA21</f>
        <v>176.37</v>
      </c>
      <c r="Z21" s="2887" t="s">
        <v>3343</v>
      </c>
      <c r="AA21" s="2887">
        <f>面积指标!E9+面积指标!E8</f>
        <v>176.37</v>
      </c>
      <c r="AB21" s="2887">
        <v>1</v>
      </c>
      <c r="AC21" s="2887">
        <v>3.5</v>
      </c>
      <c r="AD21" s="2887"/>
      <c r="AE21" s="2887"/>
      <c r="AF21" s="2887"/>
      <c r="AG21" s="2887"/>
      <c r="AH21" s="2887"/>
      <c r="AI21" s="2887"/>
      <c r="AJ21" s="2887"/>
      <c r="AK21" s="2887"/>
      <c r="AL21" s="2887"/>
      <c r="AM21" s="2887"/>
      <c r="AN21" s="2887"/>
      <c r="AO21" s="2887"/>
      <c r="AP21" s="2887"/>
      <c r="AQ21" s="2887"/>
      <c r="AR21" s="2887"/>
    </row>
    <row r="22" spans="1:67" ht="14.25">
      <c r="A22" s="1898" t="s">
        <v>1899</v>
      </c>
      <c r="B22" s="110">
        <f>B19+B20</f>
        <v>2</v>
      </c>
      <c r="C22" s="2889"/>
      <c r="D22" s="2892"/>
      <c r="E22" s="2889"/>
      <c r="F22" s="2889"/>
      <c r="G22" s="2889"/>
      <c r="H22" s="2889"/>
      <c r="I22" s="2889"/>
      <c r="J22" s="2889"/>
      <c r="K22" s="2888"/>
      <c r="L22" s="2888"/>
      <c r="M22" s="2887"/>
      <c r="N22" s="2887"/>
      <c r="O22" s="2887"/>
      <c r="P22" s="2887"/>
      <c r="Q22" s="2887"/>
      <c r="R22" s="2887"/>
      <c r="S22" s="2887"/>
      <c r="T22" s="2887"/>
      <c r="U22" s="2897"/>
      <c r="V22" s="2897"/>
      <c r="W22" s="2897"/>
      <c r="X22" s="3196">
        <f>AA22-Y22</f>
        <v>131.02999999999997</v>
      </c>
      <c r="Y22" s="2887">
        <f>租赁台账!I4</f>
        <v>181</v>
      </c>
      <c r="Z22" s="2887" t="s">
        <v>3344</v>
      </c>
      <c r="AA22" s="3179">
        <f>面积指标!E5/2+面积指标!E6/2</f>
        <v>312.02999999999997</v>
      </c>
      <c r="AB22" s="2887">
        <v>0.95</v>
      </c>
      <c r="AC22" s="2887">
        <f>ROUND($AC$21*AB22,1)</f>
        <v>3.3</v>
      </c>
      <c r="AD22" s="2887"/>
      <c r="AE22" s="2887"/>
      <c r="AF22" s="2887"/>
      <c r="AG22" s="2887"/>
      <c r="AH22" s="2887"/>
      <c r="AI22" s="2887"/>
      <c r="AJ22" s="2887"/>
      <c r="AK22" s="2887"/>
      <c r="AL22" s="2887"/>
      <c r="AM22" s="2887"/>
      <c r="AN22" s="2887"/>
      <c r="AO22" s="2887"/>
      <c r="AP22" s="2887"/>
      <c r="AQ22" s="2887"/>
      <c r="AR22" s="2887"/>
    </row>
    <row r="23" spans="1:67" ht="14.25">
      <c r="A23" s="1899" t="s">
        <v>1900</v>
      </c>
      <c r="B23" s="110">
        <f>B19+B21</f>
        <v>2</v>
      </c>
      <c r="C23" s="2889"/>
      <c r="D23" s="2892"/>
      <c r="E23" s="2889"/>
      <c r="F23" s="2889"/>
      <c r="G23" s="2889"/>
      <c r="H23" s="2889"/>
      <c r="I23" s="2889"/>
      <c r="J23" s="2889"/>
      <c r="K23" s="2888"/>
      <c r="L23" s="2888"/>
      <c r="M23" s="2887"/>
      <c r="N23" s="2887"/>
      <c r="O23" s="2887"/>
      <c r="P23" s="2887"/>
      <c r="Q23" s="2887"/>
      <c r="R23" s="2887"/>
      <c r="S23" s="2887"/>
      <c r="T23" s="2887"/>
      <c r="U23" s="2897"/>
      <c r="V23" s="2897"/>
      <c r="W23" s="2897"/>
      <c r="X23" s="3196">
        <f>AA23</f>
        <v>510.41000000000008</v>
      </c>
      <c r="Y23" s="2887"/>
      <c r="Z23" s="2887" t="s">
        <v>3345</v>
      </c>
      <c r="AA23" s="3179">
        <f>K16-AA21-AA22</f>
        <v>510.41000000000008</v>
      </c>
      <c r="AB23" s="2887">
        <f>AB22*0.7</f>
        <v>0.66499999999999992</v>
      </c>
      <c r="AC23" s="2887">
        <f>ROUND($AC$21*AB23,1)</f>
        <v>2.2999999999999998</v>
      </c>
      <c r="AD23" s="2887"/>
      <c r="AE23" s="2887"/>
      <c r="AF23" s="2887"/>
      <c r="AG23" s="2887"/>
      <c r="AH23" s="2887"/>
      <c r="AI23" s="2887"/>
      <c r="AJ23" s="2887"/>
      <c r="AK23" s="2887"/>
      <c r="AL23" s="2887"/>
      <c r="AM23" s="2887"/>
      <c r="AN23" s="2887"/>
      <c r="AO23" s="2887"/>
      <c r="AP23" s="2887"/>
      <c r="AQ23" s="2887"/>
      <c r="AR23" s="2887"/>
    </row>
    <row r="24" spans="1:67" ht="15" thickBot="1">
      <c r="A24" s="1900"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97"/>
      <c r="V24" s="2897"/>
      <c r="W24" s="2897"/>
      <c r="X24" s="2887">
        <f>SUM(X21:X23)</f>
        <v>641.44000000000005</v>
      </c>
      <c r="Y24" s="2887">
        <f>SUM(Y21:Y23)</f>
        <v>357.37</v>
      </c>
      <c r="Z24" s="2887"/>
      <c r="AA24" s="3179">
        <f>K16</f>
        <v>998.81000000000006</v>
      </c>
      <c r="AB24" s="2887"/>
      <c r="AC24" s="2887">
        <f>ROUND(AA21/AA24*AC21+AA22/AA24*AC22+AA23/AA24*AC23,1)</f>
        <v>2.8</v>
      </c>
      <c r="AD24" s="2887"/>
      <c r="AE24" s="2887"/>
      <c r="AF24" s="2887"/>
      <c r="AG24" s="2887"/>
      <c r="AH24" s="2887"/>
      <c r="AI24" s="2887"/>
      <c r="AJ24" s="2887"/>
      <c r="AK24" s="2887"/>
      <c r="AL24" s="2887"/>
      <c r="AM24" s="2887"/>
      <c r="AN24" s="2887"/>
      <c r="AO24" s="2887"/>
      <c r="AP24" s="2887"/>
      <c r="AQ24" s="2887"/>
      <c r="AR24" s="2887"/>
    </row>
    <row r="25" spans="1:67" ht="15" thickBot="1">
      <c r="A25" s="1732"/>
      <c r="B25" s="1862"/>
      <c r="C25" s="2889"/>
      <c r="D25" s="2892"/>
      <c r="E25" s="2889"/>
      <c r="F25" s="2889"/>
      <c r="G25" s="2889"/>
      <c r="H25" s="2889"/>
      <c r="I25" s="2889"/>
      <c r="J25" s="2889"/>
      <c r="K25" s="2888"/>
      <c r="L25" s="2888"/>
      <c r="M25" s="2887"/>
      <c r="N25" s="2887"/>
      <c r="O25" s="2887"/>
      <c r="P25" s="2887"/>
      <c r="Q25" s="2887"/>
      <c r="R25" s="2887"/>
      <c r="S25" s="2887"/>
      <c r="T25" s="2887"/>
      <c r="U25" s="2897"/>
      <c r="V25" s="2897"/>
      <c r="W25" s="2897"/>
      <c r="X25" s="2887">
        <f>ROUND(X23/X24*AC23+X22/X24*AC22,1)</f>
        <v>2.5</v>
      </c>
      <c r="Y25" s="2887">
        <f>ROUND(Y21/Y24*AC21+Y22/Y24*AC22,1)</f>
        <v>3.4</v>
      </c>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58" t="s">
        <v>1902</v>
      </c>
      <c r="B26" s="1901"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3" customFormat="1" ht="27.75">
      <c r="A27" s="1902" t="s">
        <v>1905</v>
      </c>
      <c r="B27" s="112">
        <v>160</v>
      </c>
      <c r="C27" s="3019" t="s">
        <v>3041</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3" customFormat="1" ht="27.75">
      <c r="A28" s="1904" t="s">
        <v>1906</v>
      </c>
      <c r="B28" s="115">
        <v>200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f>3.2*0.75</f>
        <v>2.4000000000000004</v>
      </c>
      <c r="AC28" s="2887"/>
      <c r="AD28" s="2887"/>
      <c r="AE28" s="2887"/>
      <c r="AF28" s="2887"/>
      <c r="AG28" s="2887"/>
      <c r="AH28" s="2887"/>
      <c r="AI28" s="2887"/>
      <c r="AJ28" s="2887"/>
      <c r="AK28" s="2887"/>
      <c r="AL28" s="2887"/>
      <c r="AM28" s="2887"/>
      <c r="AN28" s="2887"/>
      <c r="AO28" s="2887"/>
      <c r="AP28" s="2887"/>
      <c r="AQ28" s="2887"/>
      <c r="AR28" s="2887"/>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3" customFormat="1" ht="28.5" thickBot="1">
      <c r="A29" s="1905" t="s">
        <v>1907</v>
      </c>
      <c r="B29" s="117">
        <f ca="1">成本法!C10</f>
        <v>20</v>
      </c>
      <c r="C29" s="3020" t="s">
        <v>3028</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3" customFormat="1" ht="27">
      <c r="A30" s="1906" t="s">
        <v>1908</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3" customFormat="1" ht="27">
      <c r="A31" s="1904"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3" customFormat="1" ht="27.75" thickBot="1">
      <c r="A32" s="1907" t="s">
        <v>1910</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3" customFormat="1" ht="14.25">
      <c r="A33" s="1902" t="s">
        <v>1911</v>
      </c>
      <c r="B33" s="682">
        <v>0.05</v>
      </c>
      <c r="C33" s="3021" t="s">
        <v>3029</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3" customFormat="1" ht="14.25">
      <c r="A34" s="1904" t="s">
        <v>1912</v>
      </c>
      <c r="B34" s="118">
        <v>0</v>
      </c>
      <c r="C34" s="3021" t="s">
        <v>3030</v>
      </c>
      <c r="D34" s="2900" t="s">
        <v>3038</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3" customFormat="1" ht="14.25">
      <c r="A35" s="1904" t="s">
        <v>1913</v>
      </c>
      <c r="B35" s="115">
        <f>B30</f>
        <v>200</v>
      </c>
      <c r="C35" s="3021" t="s">
        <v>3031</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5" t="s">
        <v>1914</v>
      </c>
      <c r="B36" s="119">
        <v>1.4999999999999999E-2</v>
      </c>
      <c r="C36" s="3021" t="s">
        <v>3032</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06" t="s">
        <v>1915</v>
      </c>
      <c r="B37" s="120">
        <v>0.02</v>
      </c>
      <c r="C37" s="3021" t="s">
        <v>3033</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04" t="s">
        <v>1916</v>
      </c>
      <c r="B38" s="118">
        <v>0.02</v>
      </c>
      <c r="C38" s="3021" t="s">
        <v>3033</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07"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3280</v>
      </c>
      <c r="B40" s="1202">
        <f ca="1">IF(A40="利息：取LPR",存贷款利率!G1,存贷款利率!G1+C40)</f>
        <v>4.3499999999999997E-2</v>
      </c>
      <c r="C40" s="3032">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2"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08"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08"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09" t="s">
        <v>1921</v>
      </c>
      <c r="B44" s="124">
        <v>7.0000000000000007E-2</v>
      </c>
      <c r="C44" s="3021" t="s">
        <v>3042</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09" t="s">
        <v>1922</v>
      </c>
      <c r="B45" s="122">
        <v>0.03</v>
      </c>
      <c r="C45" s="3020" t="s">
        <v>3034</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09" t="s">
        <v>1923</v>
      </c>
      <c r="B46" s="122">
        <v>0.02</v>
      </c>
      <c r="C46" s="3020" t="s">
        <v>3035</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0" t="s">
        <v>1924</v>
      </c>
      <c r="B47" s="125">
        <v>0</v>
      </c>
      <c r="C47" s="3023" t="s">
        <v>3043</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1" t="s">
        <v>1925</v>
      </c>
      <c r="B48" s="126">
        <v>0.03</v>
      </c>
      <c r="C48" s="3020" t="s">
        <v>3034</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07" t="s">
        <v>1926</v>
      </c>
      <c r="B49" s="122">
        <v>5.0000000000000001E-4</v>
      </c>
      <c r="C49" s="3020" t="s">
        <v>3036</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2"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05"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2" t="s">
        <v>1929</v>
      </c>
      <c r="B52" s="129">
        <f>SUMIF(A54:A63,B53,B54:B63)</f>
        <v>3</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04" t="s">
        <v>1930</v>
      </c>
      <c r="B53" s="1913" t="s">
        <v>523</v>
      </c>
      <c r="C53" s="2876" t="s">
        <v>1931</v>
      </c>
      <c r="D53" s="3022" t="s">
        <v>3040</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14" t="s">
        <v>1932</v>
      </c>
      <c r="B54" s="80"/>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14" t="s">
        <v>1933</v>
      </c>
      <c r="B55" s="80"/>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14" t="s">
        <v>1934</v>
      </c>
      <c r="B56" s="80"/>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14" t="s">
        <v>1935</v>
      </c>
      <c r="B57" s="80"/>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14" t="s">
        <v>1936</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14" t="s">
        <v>1937</v>
      </c>
      <c r="B59" s="80"/>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14"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14"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14"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15"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5"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5"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5"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5"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5"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5" customFormat="1">
      <c r="A69" s="1916"/>
      <c r="D69" s="1917"/>
      <c r="K69" s="737"/>
      <c r="L69" s="737"/>
    </row>
    <row r="70" spans="1:44" s="895" customFormat="1">
      <c r="A70" s="1916"/>
      <c r="D70" s="1917"/>
      <c r="K70" s="737"/>
      <c r="L70" s="737"/>
    </row>
    <row r="71" spans="1:44" s="895" customFormat="1">
      <c r="A71" s="1916"/>
      <c r="D71" s="1917"/>
      <c r="K71" s="737"/>
      <c r="L71" s="737"/>
    </row>
    <row r="72" spans="1:44" s="895" customFormat="1">
      <c r="A72" s="1916"/>
      <c r="D72" s="1917"/>
      <c r="K72" s="737"/>
      <c r="L72" s="737"/>
    </row>
    <row r="73" spans="1:44" s="895" customFormat="1">
      <c r="A73" s="1916"/>
      <c r="D73" s="1917"/>
      <c r="K73" s="737"/>
      <c r="L73" s="737"/>
    </row>
    <row r="74" spans="1:44" s="895" customFormat="1">
      <c r="A74" s="1916"/>
      <c r="D74" s="1917"/>
      <c r="K74" s="737"/>
      <c r="L74" s="737"/>
    </row>
    <row r="75" spans="1:44" s="895" customFormat="1">
      <c r="A75" s="1916"/>
      <c r="D75" s="1917"/>
      <c r="K75" s="737"/>
      <c r="L75" s="737"/>
    </row>
    <row r="76" spans="1:44" s="895" customFormat="1">
      <c r="A76" s="1916"/>
      <c r="D76" s="1917"/>
      <c r="K76" s="737"/>
      <c r="L76" s="737"/>
    </row>
    <row r="77" spans="1:44" s="895" customFormat="1">
      <c r="A77" s="1916"/>
      <c r="D77" s="1917"/>
      <c r="K77" s="737"/>
      <c r="L77" s="737"/>
    </row>
    <row r="78" spans="1:44" s="895" customFormat="1">
      <c r="A78" s="1916"/>
      <c r="D78" s="1917"/>
      <c r="K78" s="737"/>
      <c r="L78" s="737"/>
    </row>
    <row r="79" spans="1:44" s="895" customFormat="1">
      <c r="A79" s="1916"/>
      <c r="D79" s="1917"/>
      <c r="K79" s="737"/>
      <c r="L79" s="737"/>
    </row>
    <row r="80" spans="1:44" s="895" customFormat="1">
      <c r="A80" s="1916"/>
      <c r="D80" s="1917"/>
      <c r="K80" s="737"/>
      <c r="L80" s="737"/>
    </row>
    <row r="81" spans="1:12" s="895" customFormat="1">
      <c r="A81" s="1916"/>
      <c r="D81" s="1917"/>
      <c r="K81" s="737"/>
      <c r="L81" s="737"/>
    </row>
    <row r="82" spans="1:12" s="895" customFormat="1">
      <c r="A82" s="1916"/>
      <c r="D82" s="1917"/>
      <c r="K82" s="737"/>
      <c r="L82" s="737"/>
    </row>
    <row r="83" spans="1:12" s="895" customFormat="1">
      <c r="A83" s="1916"/>
      <c r="D83" s="1917"/>
      <c r="K83" s="737"/>
      <c r="L83" s="737"/>
    </row>
    <row r="84" spans="1:12" s="895" customFormat="1">
      <c r="A84" s="1916"/>
      <c r="D84" s="1917"/>
      <c r="K84" s="737"/>
      <c r="L84" s="737"/>
    </row>
    <row r="85" spans="1:12" s="895" customFormat="1">
      <c r="A85" s="1916"/>
      <c r="D85" s="1917"/>
      <c r="K85" s="737"/>
      <c r="L85" s="737"/>
    </row>
    <row r="86" spans="1:12" s="895" customFormat="1">
      <c r="A86" s="1916"/>
      <c r="D86" s="1917"/>
      <c r="K86" s="737"/>
      <c r="L86" s="737"/>
    </row>
    <row r="87" spans="1:12" s="895" customFormat="1">
      <c r="A87" s="1916"/>
      <c r="D87" s="1917"/>
      <c r="K87" s="737"/>
      <c r="L87" s="737"/>
    </row>
    <row r="88" spans="1:12" s="895" customFormat="1">
      <c r="A88" s="1916"/>
      <c r="D88" s="1917"/>
      <c r="K88" s="737"/>
      <c r="L88" s="737"/>
    </row>
    <row r="89" spans="1:12" s="895" customFormat="1">
      <c r="A89" s="1916"/>
      <c r="D89" s="1917"/>
      <c r="K89" s="737"/>
      <c r="L89" s="737"/>
    </row>
    <row r="90" spans="1:12" s="895" customFormat="1">
      <c r="A90" s="1916"/>
      <c r="D90" s="1917"/>
      <c r="K90" s="737"/>
      <c r="L90" s="737"/>
    </row>
    <row r="91" spans="1:12" s="895" customFormat="1">
      <c r="A91" s="1916"/>
      <c r="D91" s="1917"/>
      <c r="K91" s="737"/>
      <c r="L91" s="737"/>
    </row>
    <row r="92" spans="1:12" s="895" customFormat="1">
      <c r="A92" s="1916"/>
      <c r="D92" s="1917"/>
      <c r="K92" s="737"/>
      <c r="L92" s="737"/>
    </row>
    <row r="93" spans="1:12" s="895" customFormat="1">
      <c r="A93" s="1916"/>
      <c r="D93" s="1917"/>
      <c r="K93" s="737"/>
      <c r="L93" s="737"/>
    </row>
    <row r="94" spans="1:12" s="895" customFormat="1">
      <c r="A94" s="1916"/>
      <c r="D94" s="1917"/>
      <c r="K94" s="737"/>
      <c r="L94" s="737"/>
    </row>
    <row r="95" spans="1:12" s="895" customFormat="1">
      <c r="A95" s="1916"/>
      <c r="D95" s="1917"/>
      <c r="K95" s="737"/>
      <c r="L95" s="737"/>
    </row>
    <row r="96" spans="1:12" s="895" customFormat="1">
      <c r="A96" s="1916"/>
      <c r="D96" s="1917"/>
      <c r="K96" s="737"/>
      <c r="L96" s="737"/>
    </row>
    <row r="97" spans="1:12" s="895" customFormat="1">
      <c r="A97" s="1916"/>
      <c r="D97" s="1917"/>
      <c r="K97" s="737"/>
      <c r="L97" s="737"/>
    </row>
    <row r="98" spans="1:12" s="895" customFormat="1">
      <c r="A98" s="1916"/>
      <c r="D98" s="1917"/>
      <c r="K98" s="737"/>
      <c r="L98" s="737"/>
    </row>
    <row r="99" spans="1:12" s="895" customFormat="1">
      <c r="A99" s="1916"/>
      <c r="D99" s="1917"/>
      <c r="K99" s="737"/>
      <c r="L99" s="737"/>
    </row>
    <row r="100" spans="1:12" s="895" customFormat="1">
      <c r="A100" s="1916"/>
      <c r="D100" s="1917"/>
      <c r="K100" s="737"/>
      <c r="L100" s="737"/>
    </row>
    <row r="101" spans="1:12" s="895" customFormat="1">
      <c r="A101" s="1916"/>
      <c r="D101" s="1917"/>
      <c r="K101" s="737"/>
      <c r="L101" s="737"/>
    </row>
    <row r="102" spans="1:12" s="895" customFormat="1">
      <c r="A102" s="1916"/>
      <c r="D102" s="1917"/>
      <c r="K102" s="737"/>
      <c r="L102" s="737"/>
    </row>
    <row r="103" spans="1:12" s="895" customFormat="1">
      <c r="A103" s="1916"/>
      <c r="D103" s="1917"/>
      <c r="K103" s="737"/>
      <c r="L103" s="737"/>
    </row>
    <row r="104" spans="1:12" s="895" customFormat="1">
      <c r="A104" s="1916"/>
      <c r="D104" s="1917"/>
      <c r="K104" s="737"/>
      <c r="L104" s="737"/>
    </row>
    <row r="105" spans="1:12" s="895" customFormat="1">
      <c r="A105" s="1916"/>
      <c r="D105" s="1917"/>
      <c r="K105" s="737"/>
      <c r="L105" s="737"/>
    </row>
    <row r="106" spans="1:12" s="895" customFormat="1">
      <c r="A106" s="1916"/>
      <c r="D106" s="1917"/>
      <c r="K106" s="737"/>
      <c r="L106" s="737"/>
    </row>
    <row r="107" spans="1:12" s="895" customFormat="1">
      <c r="A107" s="1916"/>
      <c r="D107" s="1917"/>
      <c r="K107" s="737"/>
      <c r="L107" s="737"/>
    </row>
    <row r="108" spans="1:12" s="895" customFormat="1">
      <c r="A108" s="1916"/>
      <c r="D108" s="1917"/>
      <c r="K108" s="737"/>
      <c r="L108" s="737"/>
    </row>
    <row r="109" spans="1:12" s="895" customFormat="1">
      <c r="A109" s="1916"/>
      <c r="D109" s="1917"/>
      <c r="K109" s="737"/>
      <c r="L109" s="737"/>
    </row>
    <row r="110" spans="1:12" s="895" customFormat="1">
      <c r="A110" s="1916"/>
      <c r="D110" s="1917"/>
      <c r="K110" s="737"/>
      <c r="L110" s="737"/>
    </row>
    <row r="111" spans="1:12" s="895" customFormat="1">
      <c r="A111" s="1916"/>
      <c r="D111" s="1917"/>
      <c r="K111" s="737"/>
      <c r="L111" s="737"/>
    </row>
    <row r="112" spans="1:12" s="895" customFormat="1">
      <c r="A112" s="1916"/>
      <c r="D112" s="1917"/>
      <c r="K112" s="737"/>
      <c r="L112" s="737"/>
    </row>
    <row r="113" spans="1:12" s="895" customFormat="1">
      <c r="A113" s="1916"/>
      <c r="D113" s="1917"/>
      <c r="K113" s="737"/>
      <c r="L113" s="737"/>
    </row>
    <row r="114" spans="1:12" s="895" customFormat="1">
      <c r="A114" s="1916"/>
      <c r="D114" s="1917"/>
      <c r="K114" s="737"/>
      <c r="L114" s="737"/>
    </row>
    <row r="115" spans="1:12" s="895" customFormat="1">
      <c r="A115" s="1916"/>
      <c r="D115" s="1917"/>
      <c r="K115" s="737"/>
      <c r="L115" s="737"/>
    </row>
    <row r="116" spans="1:12" s="895" customFormat="1">
      <c r="A116" s="1916"/>
      <c r="D116" s="1917"/>
      <c r="K116" s="737"/>
      <c r="L116" s="737"/>
    </row>
    <row r="117" spans="1:12" s="895" customFormat="1">
      <c r="A117" s="1916"/>
      <c r="D117" s="1917"/>
      <c r="K117" s="737"/>
      <c r="L117" s="737"/>
    </row>
    <row r="118" spans="1:12" s="895" customFormat="1">
      <c r="A118" s="1916"/>
      <c r="D118" s="1917"/>
      <c r="K118" s="737"/>
      <c r="L118" s="737"/>
    </row>
    <row r="119" spans="1:12" s="895" customFormat="1">
      <c r="A119" s="1916"/>
      <c r="D119" s="1917"/>
      <c r="K119" s="737"/>
      <c r="L119" s="737"/>
    </row>
    <row r="120" spans="1:12" s="895" customFormat="1">
      <c r="A120" s="1916"/>
      <c r="D120" s="1917"/>
      <c r="K120" s="737"/>
      <c r="L120" s="737"/>
    </row>
    <row r="121" spans="1:12" s="895" customFormat="1">
      <c r="A121" s="1916"/>
      <c r="D121" s="1917"/>
      <c r="K121" s="737"/>
      <c r="L121" s="737"/>
    </row>
    <row r="122" spans="1:12" s="895" customFormat="1">
      <c r="A122" s="1916"/>
      <c r="D122" s="1917"/>
      <c r="K122" s="737"/>
      <c r="L122" s="737"/>
    </row>
    <row r="123" spans="1:12" s="895" customFormat="1">
      <c r="A123" s="1916"/>
      <c r="D123" s="1917"/>
      <c r="K123" s="737"/>
      <c r="L123" s="737"/>
    </row>
    <row r="124" spans="1:12" s="895" customFormat="1">
      <c r="A124" s="1916"/>
      <c r="D124" s="1917"/>
      <c r="K124" s="737"/>
      <c r="L124" s="737"/>
    </row>
    <row r="125" spans="1:12" s="895" customFormat="1">
      <c r="A125" s="1916"/>
      <c r="D125" s="1917"/>
      <c r="K125" s="737"/>
      <c r="L125" s="737"/>
    </row>
    <row r="126" spans="1:12" s="895" customFormat="1">
      <c r="A126" s="1916"/>
      <c r="D126" s="1917"/>
      <c r="K126" s="737"/>
      <c r="L126" s="737"/>
    </row>
    <row r="127" spans="1:12" s="895" customFormat="1">
      <c r="A127" s="1916"/>
      <c r="D127" s="1917"/>
      <c r="K127" s="737"/>
      <c r="L127" s="737"/>
    </row>
    <row r="128" spans="1:12" s="895" customFormat="1">
      <c r="A128" s="1916"/>
      <c r="D128" s="1917"/>
      <c r="K128" s="737"/>
      <c r="L128" s="737"/>
    </row>
    <row r="129" spans="1:12" s="895" customFormat="1">
      <c r="A129" s="1916"/>
      <c r="D129" s="1917"/>
      <c r="K129" s="737"/>
      <c r="L129" s="737"/>
    </row>
    <row r="130" spans="1:12" s="895" customFormat="1">
      <c r="A130" s="1916"/>
      <c r="D130" s="1917"/>
      <c r="K130" s="737"/>
      <c r="L130" s="737"/>
    </row>
    <row r="131" spans="1:12" s="895" customFormat="1">
      <c r="A131" s="1916"/>
      <c r="D131" s="1917"/>
      <c r="K131" s="737"/>
      <c r="L131" s="737"/>
    </row>
    <row r="132" spans="1:12" s="895" customFormat="1">
      <c r="A132" s="1916"/>
      <c r="D132" s="1917"/>
      <c r="K132" s="737"/>
      <c r="L132" s="737"/>
    </row>
    <row r="133" spans="1:12" s="895" customFormat="1">
      <c r="A133" s="1916"/>
      <c r="D133" s="1917"/>
      <c r="K133" s="737"/>
      <c r="L133" s="737"/>
    </row>
    <row r="134" spans="1:12" s="1856" customFormat="1">
      <c r="A134" s="1918"/>
      <c r="D134" s="1919"/>
      <c r="K134" s="27"/>
      <c r="L134" s="27"/>
    </row>
    <row r="135" spans="1:12" s="1856" customFormat="1">
      <c r="A135" s="1918"/>
      <c r="D135" s="1919"/>
      <c r="K135" s="27"/>
      <c r="L135" s="27"/>
    </row>
    <row r="136" spans="1:12" s="1856" customFormat="1">
      <c r="A136" s="1918"/>
      <c r="D136" s="1919"/>
      <c r="K136" s="27"/>
      <c r="L136" s="27"/>
    </row>
    <row r="137" spans="1:12" s="1856" customFormat="1">
      <c r="A137" s="1918"/>
      <c r="D137" s="1919"/>
      <c r="K137" s="27"/>
      <c r="L137" s="27"/>
    </row>
    <row r="138" spans="1:12" s="1856" customFormat="1">
      <c r="A138" s="1918"/>
      <c r="D138" s="1919"/>
      <c r="K138" s="27"/>
      <c r="L138" s="27"/>
    </row>
    <row r="139" spans="1:12" s="1856" customFormat="1">
      <c r="A139" s="1918"/>
      <c r="D139" s="1919"/>
      <c r="K139" s="27"/>
      <c r="L139" s="27"/>
    </row>
    <row r="140" spans="1:12" s="1856" customFormat="1">
      <c r="A140" s="1918"/>
      <c r="D140" s="1919"/>
      <c r="K140" s="27"/>
      <c r="L140" s="27"/>
    </row>
    <row r="141" spans="1:12" s="1856" customFormat="1">
      <c r="A141" s="1918"/>
      <c r="D141" s="1919"/>
      <c r="K141" s="27"/>
      <c r="L141" s="27"/>
    </row>
    <row r="142" spans="1:12" s="1856" customFormat="1">
      <c r="A142" s="1918"/>
      <c r="D142" s="1919"/>
      <c r="K142" s="27"/>
      <c r="L142" s="27"/>
    </row>
    <row r="143" spans="1:12" s="1856" customFormat="1">
      <c r="A143" s="1918"/>
      <c r="D143" s="1919"/>
      <c r="K143" s="27"/>
      <c r="L143" s="27"/>
    </row>
    <row r="144" spans="1:12" s="1856" customFormat="1">
      <c r="A144" s="1918"/>
      <c r="D144" s="1919"/>
      <c r="K144" s="27"/>
      <c r="L144" s="27"/>
    </row>
    <row r="145" spans="1:12" s="1856" customFormat="1">
      <c r="A145" s="1918"/>
      <c r="D145" s="1919"/>
      <c r="K145" s="27"/>
      <c r="L145" s="27"/>
    </row>
    <row r="146" spans="1:12" s="1856" customFormat="1">
      <c r="A146" s="1918"/>
      <c r="D146" s="1919"/>
      <c r="K146" s="27"/>
      <c r="L146" s="27"/>
    </row>
    <row r="147" spans="1:12" s="1856" customFormat="1">
      <c r="A147" s="1918"/>
      <c r="D147" s="1919"/>
      <c r="K147" s="27"/>
      <c r="L147" s="27"/>
    </row>
    <row r="148" spans="1:12" s="1856" customFormat="1">
      <c r="A148" s="1918"/>
      <c r="D148" s="1919"/>
      <c r="K148" s="27"/>
      <c r="L148" s="27"/>
    </row>
    <row r="149" spans="1:12" s="1856" customFormat="1">
      <c r="A149" s="1918"/>
      <c r="D149" s="1919"/>
      <c r="K149" s="27"/>
      <c r="L149" s="27"/>
    </row>
    <row r="150" spans="1:12" s="1856" customFormat="1">
      <c r="A150" s="1918"/>
      <c r="D150" s="1919"/>
      <c r="K150" s="27"/>
      <c r="L150" s="27"/>
    </row>
    <row r="151" spans="1:12" s="1856" customFormat="1">
      <c r="A151" s="1918"/>
      <c r="D151" s="1919"/>
      <c r="K151" s="27"/>
      <c r="L151" s="27"/>
    </row>
    <row r="152" spans="1:12" s="1856" customFormat="1">
      <c r="A152" s="1918"/>
      <c r="D152" s="1919"/>
      <c r="K152" s="27"/>
      <c r="L152" s="27"/>
    </row>
    <row r="153" spans="1:12" s="1856" customFormat="1">
      <c r="A153" s="1918"/>
      <c r="D153" s="1919"/>
      <c r="K153" s="27"/>
      <c r="L153" s="27"/>
    </row>
    <row r="154" spans="1:12" s="1856" customFormat="1">
      <c r="A154" s="1918"/>
      <c r="D154" s="1919"/>
      <c r="K154" s="27"/>
      <c r="L154" s="27"/>
    </row>
    <row r="155" spans="1:12" s="1856" customFormat="1">
      <c r="A155" s="1918"/>
      <c r="D155" s="1919"/>
      <c r="K155" s="27"/>
      <c r="L155" s="27"/>
    </row>
    <row r="156" spans="1:12" s="1856" customFormat="1">
      <c r="A156" s="1918"/>
      <c r="D156" s="1919"/>
      <c r="K156" s="27"/>
      <c r="L156" s="27"/>
    </row>
    <row r="157" spans="1:12" s="1856" customFormat="1">
      <c r="A157" s="1918"/>
      <c r="D157" s="1919"/>
      <c r="K157" s="27"/>
      <c r="L157" s="27"/>
    </row>
    <row r="158" spans="1:12" s="1856" customFormat="1">
      <c r="A158" s="1918"/>
      <c r="D158" s="1919"/>
      <c r="K158" s="27"/>
      <c r="L158" s="27"/>
    </row>
    <row r="159" spans="1:12" s="1856" customFormat="1">
      <c r="A159" s="1918"/>
      <c r="D159" s="1919"/>
      <c r="K159" s="27"/>
      <c r="L159" s="27"/>
    </row>
    <row r="160" spans="1:12" s="1856" customFormat="1">
      <c r="A160" s="1918"/>
      <c r="D160" s="1919"/>
      <c r="K160" s="27"/>
      <c r="L160" s="27"/>
    </row>
    <row r="161" spans="1:12" s="1856" customFormat="1">
      <c r="A161" s="1918"/>
      <c r="D161" s="1919"/>
      <c r="K161" s="27"/>
      <c r="L161" s="27"/>
    </row>
    <row r="162" spans="1:12" s="1856" customFormat="1">
      <c r="A162" s="1918"/>
      <c r="D162" s="1919"/>
      <c r="K162" s="27"/>
      <c r="L162" s="27"/>
    </row>
    <row r="163" spans="1:12" s="1856" customFormat="1">
      <c r="A163" s="1918"/>
      <c r="D163" s="1919"/>
      <c r="K163" s="27"/>
      <c r="L163" s="27"/>
    </row>
    <row r="164" spans="1:12" s="1856" customFormat="1">
      <c r="A164" s="1918"/>
      <c r="D164" s="1919"/>
      <c r="K164" s="27"/>
      <c r="L164" s="27"/>
    </row>
    <row r="165" spans="1:12" s="1856" customFormat="1">
      <c r="A165" s="1918"/>
      <c r="D165" s="1919"/>
      <c r="K165" s="27"/>
      <c r="L165" s="27"/>
    </row>
    <row r="166" spans="1:12" s="1856" customFormat="1">
      <c r="A166" s="1918"/>
      <c r="D166" s="1919"/>
      <c r="K166" s="27"/>
      <c r="L166" s="27"/>
    </row>
    <row r="167" spans="1:12" s="1856" customFormat="1">
      <c r="A167" s="1918"/>
      <c r="D167" s="1919"/>
      <c r="K167" s="27"/>
      <c r="L167" s="27"/>
    </row>
    <row r="168" spans="1:12" s="1856" customFormat="1">
      <c r="A168" s="1918"/>
      <c r="D168" s="1919"/>
      <c r="K168" s="27"/>
      <c r="L168" s="27"/>
    </row>
    <row r="169" spans="1:12" s="1856" customFormat="1">
      <c r="A169" s="1918"/>
      <c r="D169" s="1919"/>
      <c r="K169" s="27"/>
      <c r="L169" s="27"/>
    </row>
    <row r="170" spans="1:12" s="1856" customFormat="1">
      <c r="A170" s="1918"/>
      <c r="D170" s="1919"/>
      <c r="K170" s="27"/>
      <c r="L170" s="27"/>
    </row>
    <row r="171" spans="1:12" s="1856" customFormat="1">
      <c r="A171" s="1918"/>
      <c r="D171" s="1919"/>
      <c r="K171" s="27"/>
      <c r="L171" s="27"/>
    </row>
    <row r="172" spans="1:12" s="1856" customFormat="1">
      <c r="A172" s="1918"/>
      <c r="D172" s="1919"/>
      <c r="K172" s="27"/>
      <c r="L172" s="27"/>
    </row>
    <row r="173" spans="1:12" s="1856" customFormat="1">
      <c r="A173" s="1918"/>
      <c r="D173" s="1919"/>
      <c r="K173" s="27"/>
      <c r="L173" s="27"/>
    </row>
    <row r="174" spans="1:12" s="1856" customFormat="1">
      <c r="A174" s="1918"/>
      <c r="D174" s="191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L28" sqref="L28"/>
    </sheetView>
  </sheetViews>
  <sheetFormatPr defaultColWidth="9" defaultRowHeight="14.25"/>
  <cols>
    <col min="1" max="1" width="9.5" style="1861" customWidth="1"/>
    <col min="2" max="2" width="24.5" style="1747" customWidth="1"/>
    <col min="3" max="3" width="24.5" style="2724" customWidth="1"/>
    <col min="4" max="4" width="2.625" style="2724" customWidth="1"/>
    <col min="5" max="5" width="5.875" style="2724" customWidth="1"/>
    <col min="6" max="6" width="27" style="174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1"/>
    <col min="30" max="16384" width="9" style="1861"/>
  </cols>
  <sheetData>
    <row r="1" spans="1:29" s="2671" customFormat="1" ht="18.75" thickBot="1">
      <c r="A1" s="3287" t="s">
        <v>3020</v>
      </c>
      <c r="B1" s="3288"/>
      <c r="C1" s="3288"/>
      <c r="D1" s="3288"/>
      <c r="E1" s="3288"/>
      <c r="F1" s="3288"/>
      <c r="G1" s="3288"/>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3016</v>
      </c>
      <c r="D2" s="2675"/>
      <c r="E2" s="2672"/>
      <c r="F2" s="2676"/>
      <c r="G2" s="2674" t="s">
        <v>3017</v>
      </c>
      <c r="H2" s="901"/>
      <c r="I2" s="901"/>
      <c r="J2" s="901"/>
      <c r="K2" s="901"/>
      <c r="L2" s="901"/>
      <c r="M2" s="901"/>
      <c r="N2" s="901"/>
      <c r="O2" s="901"/>
      <c r="P2" s="901"/>
      <c r="Q2" s="901"/>
      <c r="R2" s="901"/>
    </row>
    <row r="3" spans="1:29" ht="25.5">
      <c r="A3" s="2655" t="s">
        <v>3018</v>
      </c>
      <c r="B3" s="2677" t="s">
        <v>2990</v>
      </c>
      <c r="C3" s="2678" t="s">
        <v>3264</v>
      </c>
      <c r="D3" s="2679"/>
      <c r="E3" s="2656" t="s">
        <v>3018</v>
      </c>
      <c r="F3" s="2680" t="s">
        <v>2991</v>
      </c>
      <c r="G3" s="2681" t="s">
        <v>3019</v>
      </c>
      <c r="H3" s="901"/>
      <c r="I3" s="901"/>
      <c r="J3" s="901"/>
      <c r="K3" s="901"/>
      <c r="L3" s="901"/>
      <c r="M3" s="901"/>
      <c r="N3" s="901"/>
      <c r="O3" s="901"/>
      <c r="P3" s="901"/>
      <c r="Q3" s="901"/>
      <c r="R3" s="901"/>
    </row>
    <row r="4" spans="1:29" ht="36">
      <c r="A4" s="2656"/>
      <c r="B4" s="329" t="s">
        <v>2992</v>
      </c>
      <c r="C4" s="2682" t="s">
        <v>3265</v>
      </c>
      <c r="D4" s="2679"/>
      <c r="E4" s="2683"/>
      <c r="F4" s="1547" t="s">
        <v>2993</v>
      </c>
      <c r="G4" s="2684" t="s">
        <v>2994</v>
      </c>
      <c r="H4" s="901"/>
      <c r="I4" s="901"/>
      <c r="J4" s="901"/>
      <c r="K4" s="901"/>
      <c r="L4" s="901"/>
      <c r="M4" s="901"/>
      <c r="N4" s="901"/>
      <c r="O4" s="901"/>
      <c r="P4" s="901"/>
      <c r="Q4" s="901"/>
      <c r="R4" s="901"/>
    </row>
    <row r="5" spans="1:29" ht="24">
      <c r="A5" s="2656"/>
      <c r="B5" s="329" t="s">
        <v>2995</v>
      </c>
      <c r="C5" s="2682" t="s">
        <v>3265</v>
      </c>
      <c r="D5" s="2679"/>
      <c r="E5" s="2683"/>
      <c r="F5" s="329" t="s">
        <v>2996</v>
      </c>
      <c r="G5" s="2684" t="s">
        <v>2997</v>
      </c>
      <c r="H5" s="901"/>
      <c r="I5" s="901"/>
      <c r="J5" s="901"/>
      <c r="K5" s="901"/>
      <c r="L5" s="901"/>
      <c r="M5" s="901"/>
      <c r="N5" s="901"/>
      <c r="O5" s="901"/>
      <c r="P5" s="901"/>
      <c r="Q5" s="901"/>
      <c r="R5" s="901"/>
    </row>
    <row r="6" spans="1:29">
      <c r="A6" s="2656"/>
      <c r="B6" s="329" t="s">
        <v>2998</v>
      </c>
      <c r="C6" s="2684" t="s">
        <v>3265</v>
      </c>
      <c r="D6" s="2679"/>
      <c r="E6" s="2683"/>
      <c r="F6" s="329" t="s">
        <v>2999</v>
      </c>
      <c r="G6" s="2684" t="s">
        <v>3000</v>
      </c>
      <c r="H6" s="901"/>
      <c r="I6" s="901"/>
      <c r="J6" s="901"/>
      <c r="K6" s="901"/>
      <c r="L6" s="901"/>
      <c r="M6" s="901"/>
      <c r="N6" s="901"/>
      <c r="O6" s="901"/>
      <c r="P6" s="901"/>
      <c r="Q6" s="901"/>
      <c r="R6" s="901"/>
    </row>
    <row r="7" spans="1:29" ht="24.75" thickBot="1">
      <c r="A7" s="2656"/>
      <c r="B7" s="329" t="s">
        <v>2996</v>
      </c>
      <c r="C7" s="2684" t="s">
        <v>3265</v>
      </c>
      <c r="D7" s="2685"/>
      <c r="E7" s="2686"/>
      <c r="F7" s="2687" t="s">
        <v>3001</v>
      </c>
      <c r="G7" s="2688" t="s">
        <v>3002</v>
      </c>
      <c r="H7" s="901"/>
      <c r="I7" s="901"/>
      <c r="J7" s="901"/>
      <c r="K7" s="901"/>
      <c r="L7" s="901"/>
      <c r="M7" s="901"/>
      <c r="N7" s="901"/>
      <c r="O7" s="901"/>
      <c r="P7" s="901"/>
      <c r="Q7" s="901"/>
      <c r="R7" s="901"/>
    </row>
    <row r="8" spans="1:29">
      <c r="A8" s="2656"/>
      <c r="B8" s="329" t="s">
        <v>2999</v>
      </c>
      <c r="C8" s="2684" t="s">
        <v>3266</v>
      </c>
      <c r="D8" s="2685"/>
      <c r="E8" s="2685"/>
      <c r="F8" s="2689"/>
      <c r="G8" s="2689"/>
      <c r="H8" s="901"/>
      <c r="I8" s="901"/>
      <c r="J8" s="901"/>
      <c r="K8" s="901"/>
      <c r="L8" s="901"/>
      <c r="M8" s="901"/>
      <c r="N8" s="901"/>
      <c r="O8" s="901"/>
      <c r="P8" s="901"/>
      <c r="Q8" s="901"/>
      <c r="R8" s="901"/>
    </row>
    <row r="9" spans="1:29">
      <c r="A9" s="2656"/>
      <c r="B9" s="329" t="s">
        <v>3003</v>
      </c>
      <c r="C9" s="2682" t="s">
        <v>3264</v>
      </c>
      <c r="D9" s="2679"/>
      <c r="E9" s="2685"/>
      <c r="F9" s="2689"/>
      <c r="G9" s="2689"/>
      <c r="H9" s="901"/>
      <c r="I9" s="901"/>
      <c r="J9" s="901"/>
      <c r="K9" s="901"/>
      <c r="L9" s="901"/>
      <c r="M9" s="901"/>
      <c r="N9" s="901"/>
      <c r="O9" s="901"/>
      <c r="P9" s="901"/>
      <c r="Q9" s="901"/>
      <c r="R9" s="901"/>
    </row>
    <row r="10" spans="1:29" s="2695" customFormat="1" ht="15" thickBot="1">
      <c r="A10" s="2657"/>
      <c r="B10" s="2690" t="s">
        <v>3004</v>
      </c>
      <c r="C10" s="2691" t="s">
        <v>3267</v>
      </c>
      <c r="D10" s="2679"/>
      <c r="E10" s="2679"/>
      <c r="F10" s="2689"/>
      <c r="G10" s="2689"/>
      <c r="H10" s="2692"/>
      <c r="I10" s="2693"/>
      <c r="J10" s="2694"/>
      <c r="K10" s="2692"/>
      <c r="L10" s="2693"/>
      <c r="M10" s="2694"/>
      <c r="N10" s="2692"/>
      <c r="O10" s="2693"/>
      <c r="P10" s="2694"/>
      <c r="Q10" s="2692"/>
      <c r="R10" s="2693"/>
      <c r="S10" s="901"/>
      <c r="T10" s="901"/>
      <c r="U10" s="901"/>
      <c r="V10" s="901"/>
      <c r="W10" s="901"/>
      <c r="X10" s="901"/>
      <c r="Y10" s="901"/>
      <c r="Z10" s="901"/>
      <c r="AA10" s="901"/>
      <c r="AB10" s="901"/>
      <c r="AC10" s="901"/>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1"/>
      <c r="T11" s="901"/>
      <c r="U11" s="901"/>
      <c r="V11" s="901"/>
      <c r="W11" s="901"/>
      <c r="X11" s="901"/>
      <c r="Y11" s="901"/>
      <c r="Z11" s="901"/>
      <c r="AA11" s="901"/>
      <c r="AB11" s="901"/>
      <c r="AC11" s="901"/>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3021</v>
      </c>
      <c r="B13" s="2698"/>
      <c r="C13" s="2698"/>
      <c r="D13" s="2696"/>
      <c r="E13" s="2698"/>
      <c r="F13" s="2698"/>
      <c r="G13" s="2698"/>
    </row>
    <row r="14" spans="1:29" ht="15" thickBot="1">
      <c r="A14" s="2708"/>
      <c r="B14" s="2708"/>
      <c r="C14" s="2709" t="s">
        <v>3005</v>
      </c>
      <c r="D14" s="2679"/>
      <c r="E14" s="2710"/>
      <c r="F14" s="2710"/>
      <c r="G14" s="2674" t="s">
        <v>3006</v>
      </c>
    </row>
    <row r="15" spans="1:29" ht="25.5">
      <c r="A15" s="2658" t="s">
        <v>3007</v>
      </c>
      <c r="B15" s="2711" t="s">
        <v>2990</v>
      </c>
      <c r="C15" s="2712" t="str">
        <f>C3</f>
        <v>较好</v>
      </c>
      <c r="D15" s="2679"/>
      <c r="E15" s="2659" t="s">
        <v>3008</v>
      </c>
      <c r="F15" s="2711" t="s">
        <v>3009</v>
      </c>
      <c r="G15" s="2713" t="str">
        <f>G3</f>
        <v>估价对象位于XX开发区，园区建设成熟度XX，产业集聚程度XX</v>
      </c>
    </row>
    <row r="16" spans="1:29" ht="38.25">
      <c r="A16" s="2660"/>
      <c r="B16" s="2714" t="s">
        <v>2992</v>
      </c>
      <c r="C16" s="2715" t="str">
        <f>C4</f>
        <v>一般</v>
      </c>
      <c r="D16" s="2679"/>
      <c r="E16" s="2661"/>
      <c r="F16" s="2716" t="s">
        <v>2993</v>
      </c>
      <c r="G16" s="2717" t="str">
        <f>G4</f>
        <v>估价对象周边道路状况、公共交通通达情况、停车便捷程度，综合评价交通便捷度较好</v>
      </c>
    </row>
    <row r="17" spans="1:18">
      <c r="A17" s="2660"/>
      <c r="B17" s="2714" t="s">
        <v>2995</v>
      </c>
      <c r="C17" s="2715" t="str">
        <f>C5</f>
        <v>一般</v>
      </c>
      <c r="D17" s="2685"/>
      <c r="E17" s="2661"/>
      <c r="F17" s="2716" t="s">
        <v>3010</v>
      </c>
      <c r="G17" s="2718"/>
    </row>
    <row r="18" spans="1:18" ht="25.5">
      <c r="A18" s="2660"/>
      <c r="B18" s="2716" t="s">
        <v>2998</v>
      </c>
      <c r="C18" s="2717" t="str">
        <f>C6</f>
        <v>一般</v>
      </c>
      <c r="D18" s="2685"/>
      <c r="E18" s="2661"/>
      <c r="F18" s="2716" t="s">
        <v>3001</v>
      </c>
      <c r="G18" s="2717" t="str">
        <f>G7</f>
        <v>该园区内是否有污染型企业，绿化情况，卫生条件，整体环境状况判断</v>
      </c>
    </row>
    <row r="19" spans="1:18" ht="25.5">
      <c r="A19" s="2660"/>
      <c r="B19" s="2716" t="s">
        <v>3011</v>
      </c>
      <c r="C19" s="2718"/>
      <c r="D19" s="2679"/>
      <c r="E19" s="2661"/>
      <c r="F19" s="329" t="s">
        <v>2996</v>
      </c>
      <c r="G19" s="2717" t="str">
        <f>G5</f>
        <v>估价对象所在区域公共配套设施齐备情况</v>
      </c>
    </row>
    <row r="20" spans="1:18">
      <c r="A20" s="2660"/>
      <c r="B20" s="2716" t="s">
        <v>3012</v>
      </c>
      <c r="C20" s="2715" t="str">
        <f>C9</f>
        <v>较好</v>
      </c>
      <c r="D20" s="2685"/>
      <c r="E20" s="2661"/>
      <c r="F20" s="329" t="s">
        <v>2999</v>
      </c>
      <c r="G20" s="2717" t="str">
        <f>G6</f>
        <v>估价对象所在区域基础设施水平</v>
      </c>
    </row>
    <row r="21" spans="1:18">
      <c r="A21" s="2660"/>
      <c r="B21" s="329" t="s">
        <v>2996</v>
      </c>
      <c r="C21" s="2717" t="str">
        <f>C7</f>
        <v>一般</v>
      </c>
      <c r="D21" s="2679"/>
      <c r="E21" s="2661"/>
      <c r="F21" s="2716" t="s">
        <v>3013</v>
      </c>
      <c r="G21" s="2719"/>
    </row>
    <row r="22" spans="1:18" ht="13.5" customHeight="1">
      <c r="A22" s="2660"/>
      <c r="B22" s="329" t="s">
        <v>2999</v>
      </c>
      <c r="C22" s="2717" t="str">
        <f>C8</f>
        <v>七通</v>
      </c>
      <c r="D22" s="2679"/>
      <c r="E22" s="2661"/>
      <c r="F22" s="2716" t="s">
        <v>3004</v>
      </c>
      <c r="G22" s="2718"/>
    </row>
    <row r="23" spans="1:18" s="901" customFormat="1" ht="15" thickBot="1">
      <c r="A23" s="2660"/>
      <c r="B23" s="2716" t="s">
        <v>3013</v>
      </c>
      <c r="C23" s="2719"/>
      <c r="D23" s="1916"/>
      <c r="E23" s="2662"/>
      <c r="F23" s="2720" t="s">
        <v>3014</v>
      </c>
      <c r="G23" s="2721"/>
      <c r="H23" s="2705"/>
      <c r="I23" s="2706"/>
      <c r="J23" s="2705"/>
      <c r="K23" s="2705"/>
      <c r="L23" s="2706"/>
      <c r="M23" s="2705"/>
      <c r="N23" s="2705"/>
      <c r="O23" s="2706"/>
      <c r="P23" s="2705"/>
      <c r="Q23" s="2705"/>
      <c r="R23" s="2707"/>
    </row>
    <row r="24" spans="1:18" s="901" customFormat="1" ht="15" thickBot="1">
      <c r="A24" s="2663"/>
      <c r="B24" s="2720" t="s">
        <v>3015</v>
      </c>
      <c r="C24" s="2722" t="str">
        <f>C10</f>
        <v>次干道</v>
      </c>
      <c r="D24" s="1916"/>
      <c r="E24" s="2653"/>
      <c r="F24" s="2653"/>
      <c r="G24" s="2723"/>
      <c r="H24" s="2705"/>
      <c r="I24" s="2706"/>
      <c r="J24" s="2705"/>
      <c r="K24" s="2705"/>
      <c r="L24" s="2706"/>
      <c r="M24" s="2705"/>
      <c r="N24" s="2705"/>
      <c r="O24" s="2706"/>
      <c r="P24" s="2705"/>
      <c r="Q24" s="2705"/>
      <c r="R24" s="2707"/>
    </row>
    <row r="25" spans="1:18" s="901" customFormat="1">
      <c r="B25" s="2705"/>
      <c r="C25" s="2705"/>
      <c r="D25" s="2705"/>
      <c r="H25" s="2705"/>
      <c r="I25" s="2706"/>
      <c r="J25" s="2705"/>
      <c r="K25" s="2705"/>
      <c r="L25" s="2706"/>
      <c r="M25" s="2705"/>
      <c r="N25" s="2705"/>
      <c r="O25" s="2706"/>
      <c r="P25" s="2705"/>
      <c r="Q25" s="2705"/>
      <c r="R25" s="2707"/>
    </row>
    <row r="26" spans="1:18" s="901" customFormat="1">
      <c r="B26" s="2705"/>
      <c r="C26" s="2705"/>
      <c r="D26" s="2705"/>
      <c r="H26" s="2705"/>
      <c r="I26" s="2706"/>
      <c r="J26" s="2705"/>
      <c r="K26" s="2705"/>
      <c r="L26" s="2706"/>
      <c r="M26" s="2705"/>
      <c r="N26" s="2705"/>
      <c r="O26" s="2706"/>
      <c r="P26" s="2705"/>
      <c r="Q26" s="2705"/>
      <c r="R26" s="2707"/>
    </row>
    <row r="27" spans="1:18" s="901" customFormat="1">
      <c r="B27" s="2705"/>
      <c r="C27" s="2705"/>
      <c r="D27" s="2705"/>
      <c r="H27" s="2705"/>
      <c r="I27" s="2706"/>
      <c r="J27" s="2705"/>
      <c r="K27" s="2705"/>
      <c r="L27" s="2706"/>
      <c r="M27" s="2705"/>
      <c r="N27" s="2705"/>
      <c r="O27" s="2706"/>
      <c r="P27" s="2705"/>
      <c r="Q27" s="2705"/>
      <c r="R27" s="2707"/>
    </row>
    <row r="28" spans="1:18" s="901" customFormat="1">
      <c r="B28" s="2705"/>
      <c r="C28" s="2705"/>
      <c r="D28" s="2705"/>
      <c r="H28" s="2705"/>
      <c r="I28" s="2706"/>
      <c r="J28" s="2705"/>
      <c r="K28" s="2705"/>
      <c r="L28" s="2706"/>
      <c r="M28" s="2705"/>
      <c r="N28" s="2705"/>
      <c r="O28" s="2706"/>
      <c r="P28" s="2705"/>
      <c r="Q28" s="2705"/>
      <c r="R28" s="2707"/>
    </row>
    <row r="29" spans="1:18" s="901" customFormat="1">
      <c r="B29" s="2705"/>
      <c r="C29" s="2705"/>
      <c r="D29" s="2705"/>
      <c r="H29" s="2705"/>
      <c r="I29" s="2706"/>
      <c r="J29" s="2705"/>
      <c r="K29" s="2705"/>
      <c r="L29" s="2706"/>
      <c r="M29" s="2705"/>
      <c r="N29" s="2705"/>
      <c r="O29" s="2706"/>
      <c r="P29" s="2705"/>
      <c r="Q29" s="2705"/>
      <c r="R29" s="2707"/>
    </row>
    <row r="30" spans="1:18" s="901" customFormat="1">
      <c r="B30" s="2705"/>
      <c r="C30" s="2705"/>
      <c r="D30" s="2705"/>
      <c r="H30" s="2705"/>
      <c r="I30" s="2706"/>
      <c r="J30" s="2705"/>
      <c r="K30" s="2705"/>
      <c r="L30" s="2706"/>
      <c r="M30" s="2705"/>
      <c r="N30" s="2705"/>
      <c r="O30" s="2706"/>
      <c r="P30" s="2705"/>
      <c r="Q30" s="2705"/>
      <c r="R30" s="2707"/>
    </row>
    <row r="31" spans="1:18" s="901" customFormat="1">
      <c r="B31" s="2705"/>
      <c r="C31" s="2705"/>
      <c r="D31" s="2705"/>
      <c r="H31" s="2705"/>
      <c r="I31" s="2706"/>
      <c r="J31" s="2705"/>
      <c r="K31" s="2705"/>
      <c r="L31" s="2706"/>
      <c r="M31" s="2705"/>
      <c r="N31" s="2705"/>
      <c r="O31" s="2706"/>
      <c r="P31" s="2705"/>
      <c r="Q31" s="2705"/>
      <c r="R31" s="2707"/>
    </row>
    <row r="32" spans="1:18" s="901" customFormat="1">
      <c r="B32" s="2705"/>
      <c r="C32" s="2705"/>
      <c r="D32" s="2705"/>
      <c r="H32" s="2705"/>
      <c r="I32" s="2706"/>
      <c r="J32" s="2705"/>
      <c r="K32" s="2705"/>
      <c r="L32" s="2706"/>
      <c r="M32" s="2705"/>
      <c r="N32" s="2705"/>
      <c r="O32" s="2706"/>
      <c r="P32" s="2705"/>
      <c r="Q32" s="2705"/>
      <c r="R32" s="2707"/>
    </row>
    <row r="33" spans="2:18" s="901" customFormat="1">
      <c r="B33" s="2705"/>
      <c r="C33" s="2705"/>
      <c r="D33" s="2705"/>
      <c r="H33" s="2705"/>
      <c r="I33" s="2706"/>
      <c r="J33" s="2705"/>
      <c r="K33" s="2705"/>
      <c r="L33" s="2706"/>
      <c r="M33" s="2705"/>
      <c r="N33" s="2705"/>
      <c r="O33" s="2706"/>
      <c r="P33" s="2705"/>
      <c r="Q33" s="2705"/>
      <c r="R33" s="2707"/>
    </row>
    <row r="34" spans="2:18" s="901" customFormat="1">
      <c r="B34" s="2705"/>
      <c r="C34" s="2705"/>
      <c r="D34" s="2705"/>
      <c r="H34" s="2705"/>
      <c r="I34" s="2706"/>
      <c r="J34" s="2705"/>
      <c r="K34" s="2705"/>
      <c r="L34" s="2706"/>
      <c r="M34" s="2705"/>
      <c r="N34" s="2705"/>
      <c r="O34" s="2706"/>
      <c r="P34" s="2705"/>
      <c r="Q34" s="2705"/>
      <c r="R34" s="2707"/>
    </row>
    <row r="35" spans="2:18" s="901" customFormat="1">
      <c r="B35" s="2705"/>
      <c r="C35" s="2705"/>
      <c r="D35" s="2705"/>
      <c r="H35" s="2705"/>
      <c r="I35" s="2706"/>
      <c r="J35" s="2705"/>
      <c r="K35" s="2705"/>
      <c r="L35" s="2706"/>
      <c r="M35" s="2705"/>
      <c r="N35" s="2705"/>
      <c r="O35" s="2706"/>
      <c r="P35" s="2705"/>
      <c r="Q35" s="2705"/>
      <c r="R35" s="2707"/>
    </row>
    <row r="36" spans="2:18" s="901" customFormat="1">
      <c r="B36" s="2705"/>
      <c r="C36" s="2705"/>
      <c r="D36" s="2705"/>
      <c r="H36" s="2705"/>
      <c r="I36" s="2706"/>
      <c r="J36" s="2705"/>
      <c r="K36" s="2705"/>
      <c r="L36" s="2706"/>
      <c r="M36" s="2705"/>
      <c r="N36" s="2705"/>
      <c r="O36" s="2706"/>
      <c r="P36" s="2705"/>
      <c r="Q36" s="2705"/>
      <c r="R36" s="2707"/>
    </row>
    <row r="37" spans="2:18" s="901" customFormat="1">
      <c r="B37" s="2705"/>
      <c r="C37" s="2705"/>
      <c r="D37" s="2705"/>
      <c r="H37" s="2705"/>
      <c r="I37" s="2706"/>
      <c r="J37" s="2705"/>
      <c r="K37" s="2705"/>
      <c r="L37" s="2706"/>
      <c r="M37" s="2705"/>
      <c r="N37" s="2705"/>
      <c r="O37" s="2706"/>
      <c r="P37" s="2705"/>
      <c r="Q37" s="2705"/>
      <c r="R37" s="2707"/>
    </row>
    <row r="38" spans="2:18" s="901" customFormat="1">
      <c r="B38" s="2705"/>
      <c r="C38" s="2705"/>
      <c r="D38" s="2705"/>
      <c r="E38" s="2705"/>
      <c r="F38" s="2705"/>
      <c r="G38" s="2706"/>
      <c r="H38" s="2705"/>
      <c r="I38" s="2706"/>
      <c r="J38" s="2705"/>
      <c r="K38" s="2705"/>
      <c r="L38" s="2706"/>
      <c r="M38" s="2705"/>
      <c r="N38" s="2705"/>
      <c r="O38" s="2706"/>
      <c r="P38" s="2705"/>
      <c r="Q38" s="2705"/>
      <c r="R38" s="2707"/>
    </row>
    <row r="39" spans="2:18" s="901" customFormat="1">
      <c r="B39" s="2705"/>
      <c r="C39" s="2705"/>
      <c r="D39" s="2705"/>
      <c r="E39" s="2705"/>
      <c r="F39" s="2705"/>
      <c r="G39" s="2706"/>
      <c r="H39" s="2705"/>
      <c r="I39" s="2706"/>
      <c r="J39" s="2705"/>
      <c r="K39" s="2705"/>
      <c r="L39" s="2706"/>
      <c r="M39" s="2705"/>
      <c r="N39" s="2705"/>
      <c r="O39" s="2706"/>
      <c r="P39" s="2705"/>
      <c r="Q39" s="2705"/>
      <c r="R39" s="2707"/>
    </row>
    <row r="40" spans="2:18" s="901" customFormat="1">
      <c r="B40" s="2705"/>
      <c r="C40" s="2705"/>
      <c r="D40" s="2705"/>
      <c r="E40" s="2705"/>
      <c r="F40" s="2705"/>
      <c r="G40" s="2706"/>
      <c r="H40" s="2705"/>
      <c r="I40" s="2706"/>
      <c r="J40" s="2705"/>
      <c r="K40" s="2705"/>
      <c r="L40" s="2706"/>
      <c r="M40" s="2705"/>
      <c r="N40" s="2705"/>
      <c r="O40" s="2706"/>
      <c r="P40" s="2705"/>
      <c r="Q40" s="2705"/>
      <c r="R40" s="2707"/>
    </row>
    <row r="41" spans="2:18" s="901" customFormat="1">
      <c r="B41" s="2705"/>
      <c r="C41" s="2705"/>
      <c r="D41" s="2705"/>
      <c r="E41" s="2705"/>
      <c r="F41" s="2705"/>
      <c r="G41" s="2706"/>
      <c r="H41" s="2705"/>
      <c r="I41" s="2706"/>
      <c r="J41" s="2705"/>
      <c r="K41" s="2705"/>
      <c r="L41" s="2706"/>
      <c r="M41" s="2705"/>
      <c r="N41" s="2705"/>
      <c r="O41" s="2706"/>
      <c r="P41" s="2705"/>
      <c r="Q41" s="2705"/>
      <c r="R41" s="2707"/>
    </row>
    <row r="42" spans="2:18" s="901" customFormat="1">
      <c r="B42" s="2705"/>
      <c r="C42" s="2705"/>
      <c r="D42" s="2705"/>
      <c r="E42" s="2705"/>
      <c r="F42" s="2705"/>
      <c r="G42" s="2706"/>
      <c r="H42" s="2705"/>
      <c r="I42" s="2706"/>
      <c r="J42" s="2705"/>
      <c r="K42" s="2705"/>
      <c r="L42" s="2706"/>
      <c r="M42" s="2705"/>
      <c r="N42" s="2705"/>
      <c r="O42" s="2706"/>
      <c r="P42" s="2705"/>
      <c r="Q42" s="2705"/>
      <c r="R42" s="2707"/>
    </row>
    <row r="43" spans="2:18" s="901" customFormat="1">
      <c r="B43" s="2705"/>
      <c r="C43" s="2705"/>
      <c r="D43" s="2705"/>
      <c r="E43" s="2705"/>
      <c r="F43" s="2705"/>
      <c r="G43" s="2706"/>
      <c r="H43" s="2705"/>
      <c r="I43" s="2706"/>
      <c r="J43" s="2705"/>
      <c r="K43" s="2705"/>
      <c r="L43" s="2706"/>
      <c r="M43" s="2705"/>
      <c r="N43" s="2705"/>
      <c r="O43" s="2706"/>
      <c r="P43" s="2705"/>
      <c r="Q43" s="2705"/>
      <c r="R43" s="2707"/>
    </row>
    <row r="44" spans="2:18" s="901" customFormat="1">
      <c r="B44" s="2705"/>
      <c r="C44" s="2705"/>
      <c r="D44" s="2705"/>
      <c r="E44" s="2705"/>
      <c r="F44" s="2705"/>
      <c r="G44" s="2706"/>
      <c r="H44" s="2705"/>
      <c r="I44" s="2706"/>
      <c r="J44" s="2705"/>
      <c r="K44" s="2705"/>
      <c r="L44" s="2706"/>
      <c r="M44" s="2705"/>
      <c r="N44" s="2705"/>
      <c r="O44" s="2706"/>
      <c r="P44" s="2705"/>
      <c r="Q44" s="2705"/>
      <c r="R44" s="2707"/>
    </row>
    <row r="45" spans="2:18" s="901" customFormat="1">
      <c r="B45" s="2705"/>
      <c r="C45" s="2705"/>
      <c r="D45" s="2705"/>
      <c r="E45" s="2705"/>
      <c r="F45" s="2705"/>
      <c r="G45" s="2706"/>
      <c r="H45" s="2705"/>
      <c r="I45" s="2706"/>
      <c r="J45" s="2705"/>
      <c r="K45" s="2705"/>
      <c r="L45" s="2706"/>
      <c r="M45" s="2705"/>
      <c r="N45" s="2705"/>
      <c r="O45" s="2706"/>
      <c r="P45" s="2705"/>
      <c r="Q45" s="2705"/>
      <c r="R45" s="2707"/>
    </row>
    <row r="46" spans="2:18" s="901" customFormat="1">
      <c r="B46" s="2705"/>
      <c r="C46" s="2705"/>
      <c r="D46" s="2705"/>
      <c r="E46" s="2705"/>
      <c r="F46" s="2705"/>
      <c r="G46" s="2706"/>
      <c r="H46" s="2705"/>
      <c r="I46" s="2706"/>
      <c r="J46" s="2705"/>
      <c r="K46" s="2705"/>
      <c r="L46" s="2706"/>
      <c r="M46" s="2705"/>
      <c r="N46" s="2705"/>
      <c r="O46" s="2706"/>
      <c r="P46" s="2705"/>
      <c r="Q46" s="2705"/>
      <c r="R46" s="2707"/>
    </row>
    <row r="47" spans="2:18" s="901" customFormat="1">
      <c r="B47" s="2705"/>
      <c r="C47" s="2705"/>
      <c r="D47" s="2705"/>
      <c r="E47" s="2705"/>
      <c r="F47" s="2705"/>
      <c r="G47" s="2706"/>
      <c r="H47" s="2705"/>
      <c r="I47" s="2706"/>
      <c r="J47" s="2705"/>
      <c r="K47" s="2705"/>
      <c r="L47" s="2706"/>
      <c r="M47" s="2705"/>
      <c r="N47" s="2705"/>
      <c r="O47" s="2706"/>
      <c r="P47" s="2705"/>
      <c r="Q47" s="2705"/>
      <c r="R47" s="2707"/>
    </row>
    <row r="48" spans="2:18" s="901" customFormat="1">
      <c r="B48" s="2705"/>
      <c r="C48" s="2705"/>
      <c r="D48" s="2705"/>
      <c r="E48" s="2705"/>
      <c r="F48" s="2705"/>
      <c r="G48" s="2706"/>
      <c r="H48" s="2705"/>
      <c r="I48" s="2706"/>
      <c r="J48" s="2705"/>
      <c r="K48" s="2705"/>
      <c r="L48" s="2706"/>
      <c r="M48" s="2705"/>
      <c r="N48" s="2705"/>
      <c r="O48" s="2706"/>
      <c r="P48" s="2705"/>
      <c r="Q48" s="2705"/>
      <c r="R48" s="2707"/>
    </row>
    <row r="49" spans="2:18" s="901" customFormat="1">
      <c r="B49" s="2705"/>
      <c r="C49" s="2705"/>
      <c r="D49" s="2705"/>
      <c r="E49" s="2705"/>
      <c r="F49" s="2705"/>
      <c r="G49" s="2706"/>
      <c r="H49" s="2705"/>
      <c r="I49" s="2706"/>
      <c r="J49" s="2705"/>
      <c r="K49" s="2705"/>
      <c r="L49" s="2706"/>
      <c r="M49" s="2705"/>
      <c r="N49" s="2705"/>
      <c r="O49" s="2706"/>
      <c r="P49" s="2705"/>
      <c r="Q49" s="2705"/>
      <c r="R49" s="2707"/>
    </row>
    <row r="50" spans="2:18" s="901" customFormat="1">
      <c r="B50" s="2705"/>
      <c r="C50" s="2705"/>
      <c r="D50" s="2705"/>
      <c r="E50" s="2705"/>
      <c r="F50" s="2705"/>
      <c r="G50" s="2706"/>
      <c r="H50" s="2705"/>
      <c r="I50" s="2706"/>
      <c r="J50" s="2705"/>
      <c r="K50" s="2705"/>
      <c r="L50" s="2706"/>
      <c r="M50" s="2705"/>
      <c r="N50" s="2705"/>
      <c r="O50" s="2706"/>
      <c r="P50" s="2705"/>
      <c r="Q50" s="2705"/>
      <c r="R50" s="2707"/>
    </row>
    <row r="51" spans="2:18" s="901" customFormat="1">
      <c r="B51" s="2705"/>
      <c r="C51" s="2705"/>
      <c r="D51" s="2705"/>
      <c r="E51" s="2705"/>
      <c r="F51" s="2705"/>
      <c r="G51" s="2706"/>
      <c r="H51" s="2705"/>
      <c r="I51" s="2706"/>
      <c r="J51" s="2705"/>
      <c r="K51" s="2705"/>
      <c r="L51" s="2706"/>
      <c r="M51" s="2705"/>
      <c r="N51" s="2705"/>
      <c r="O51" s="2706"/>
      <c r="P51" s="2705"/>
      <c r="Q51" s="2705"/>
      <c r="R51" s="2707"/>
    </row>
    <row r="52" spans="2:18" s="901" customFormat="1">
      <c r="B52" s="2705"/>
      <c r="C52" s="2705"/>
      <c r="D52" s="2705"/>
      <c r="E52" s="2705"/>
      <c r="F52" s="2705"/>
      <c r="G52" s="2706"/>
      <c r="H52" s="2705"/>
      <c r="I52" s="2706"/>
      <c r="J52" s="2705"/>
      <c r="K52" s="2705"/>
      <c r="L52" s="2706"/>
      <c r="M52" s="2705"/>
      <c r="N52" s="2705"/>
      <c r="O52" s="2706"/>
      <c r="P52" s="2705"/>
      <c r="Q52" s="2705"/>
      <c r="R52" s="2707"/>
    </row>
    <row r="53" spans="2:18" s="901" customFormat="1">
      <c r="B53" s="2705"/>
      <c r="C53" s="2705"/>
      <c r="D53" s="2705"/>
      <c r="E53" s="2705"/>
      <c r="F53" s="2705"/>
      <c r="G53" s="2706"/>
      <c r="H53" s="2705"/>
      <c r="I53" s="2706"/>
      <c r="J53" s="2705"/>
      <c r="K53" s="2705"/>
      <c r="L53" s="2706"/>
      <c r="M53" s="2705"/>
      <c r="N53" s="2705"/>
      <c r="O53" s="2706"/>
      <c r="P53" s="2705"/>
      <c r="Q53" s="2705"/>
      <c r="R53" s="2707"/>
    </row>
    <row r="54" spans="2:18" s="901" customFormat="1">
      <c r="B54" s="2705"/>
      <c r="C54" s="2705"/>
      <c r="D54" s="2705"/>
      <c r="E54" s="2705"/>
      <c r="F54" s="2705"/>
      <c r="G54" s="2706"/>
      <c r="H54" s="2705"/>
      <c r="I54" s="2706"/>
      <c r="J54" s="2705"/>
      <c r="K54" s="2705"/>
      <c r="L54" s="2706"/>
      <c r="M54" s="2705"/>
      <c r="N54" s="2705"/>
      <c r="O54" s="2706"/>
      <c r="P54" s="2705"/>
      <c r="Q54" s="2705"/>
      <c r="R54" s="2707"/>
    </row>
    <row r="55" spans="2:18" s="901" customFormat="1">
      <c r="B55" s="2705"/>
      <c r="C55" s="2705"/>
      <c r="D55" s="2705"/>
      <c r="E55" s="2705"/>
      <c r="F55" s="2705"/>
      <c r="G55" s="2706"/>
      <c r="H55" s="2705"/>
      <c r="I55" s="2706"/>
      <c r="J55" s="2705"/>
      <c r="K55" s="2705"/>
      <c r="L55" s="2706"/>
      <c r="M55" s="2705"/>
      <c r="N55" s="2705"/>
      <c r="O55" s="2706"/>
      <c r="P55" s="2705"/>
      <c r="Q55" s="2705"/>
      <c r="R55" s="2707"/>
    </row>
    <row r="56" spans="2:18" s="901" customFormat="1">
      <c r="B56" s="2705"/>
      <c r="C56" s="2705"/>
      <c r="D56" s="2705"/>
      <c r="E56" s="2705"/>
      <c r="F56" s="2705"/>
      <c r="G56" s="2706"/>
      <c r="H56" s="2705"/>
      <c r="I56" s="2706"/>
      <c r="J56" s="2705"/>
      <c r="K56" s="2705"/>
      <c r="L56" s="2706"/>
      <c r="M56" s="2705"/>
      <c r="N56" s="2705"/>
      <c r="O56" s="2706"/>
      <c r="P56" s="2705"/>
      <c r="Q56" s="2705"/>
      <c r="R56" s="2707"/>
    </row>
    <row r="57" spans="2:18" s="901" customFormat="1">
      <c r="B57" s="2705"/>
      <c r="C57" s="2705"/>
      <c r="D57" s="2705"/>
      <c r="E57" s="2705"/>
      <c r="F57" s="2705"/>
      <c r="G57" s="2706"/>
      <c r="H57" s="2705"/>
      <c r="I57" s="2706"/>
      <c r="J57" s="2705"/>
      <c r="K57" s="2705"/>
      <c r="L57" s="2706"/>
      <c r="M57" s="2705"/>
      <c r="N57" s="2705"/>
      <c r="O57" s="2706"/>
      <c r="P57" s="2705"/>
      <c r="Q57" s="2705"/>
      <c r="R57" s="2707"/>
    </row>
    <row r="58" spans="2:18" s="901" customFormat="1">
      <c r="B58" s="2705"/>
      <c r="C58" s="2705"/>
      <c r="D58" s="2705"/>
      <c r="E58" s="2705"/>
      <c r="F58" s="2705"/>
      <c r="G58" s="2706"/>
      <c r="H58" s="2705"/>
      <c r="I58" s="2706"/>
      <c r="J58" s="2705"/>
      <c r="K58" s="2705"/>
      <c r="L58" s="2706"/>
      <c r="M58" s="2705"/>
      <c r="N58" s="2705"/>
      <c r="O58" s="2706"/>
      <c r="P58" s="2705"/>
      <c r="Q58" s="2705"/>
      <c r="R58" s="2707"/>
    </row>
    <row r="59" spans="2:18" s="901" customFormat="1">
      <c r="B59" s="2705"/>
      <c r="C59" s="2705"/>
      <c r="D59" s="2705"/>
      <c r="E59" s="2705"/>
      <c r="F59" s="2705"/>
      <c r="G59" s="2706"/>
      <c r="H59" s="2705"/>
      <c r="I59" s="2706"/>
      <c r="J59" s="2705"/>
      <c r="K59" s="2705"/>
      <c r="L59" s="2706"/>
      <c r="M59" s="2705"/>
      <c r="N59" s="2705"/>
      <c r="O59" s="2706"/>
      <c r="P59" s="2705"/>
      <c r="Q59" s="2705"/>
      <c r="R59" s="2707"/>
    </row>
    <row r="60" spans="2:18" s="901" customFormat="1">
      <c r="B60" s="2705"/>
      <c r="C60" s="2705"/>
      <c r="D60" s="2705"/>
      <c r="E60" s="2705"/>
      <c r="F60" s="2705"/>
      <c r="G60" s="2706"/>
      <c r="H60" s="2705"/>
      <c r="I60" s="2706"/>
      <c r="J60" s="2705"/>
      <c r="K60" s="2705"/>
      <c r="L60" s="2706"/>
      <c r="M60" s="2705"/>
      <c r="N60" s="2705"/>
      <c r="O60" s="2706"/>
      <c r="P60" s="2705"/>
      <c r="Q60" s="2705"/>
      <c r="R60" s="2707"/>
    </row>
    <row r="61" spans="2:18" s="901" customFormat="1">
      <c r="B61" s="2705"/>
      <c r="C61" s="2705"/>
      <c r="D61" s="2705"/>
      <c r="E61" s="2705"/>
      <c r="F61" s="2705"/>
      <c r="G61" s="2706"/>
      <c r="H61" s="2705"/>
      <c r="I61" s="2706"/>
      <c r="J61" s="2705"/>
      <c r="K61" s="2705"/>
      <c r="L61" s="2706"/>
      <c r="M61" s="2705"/>
      <c r="N61" s="2705"/>
      <c r="O61" s="2706"/>
      <c r="P61" s="2705"/>
      <c r="Q61" s="2705"/>
      <c r="R61" s="2707"/>
    </row>
    <row r="62" spans="2:18" s="901" customFormat="1">
      <c r="B62" s="2705"/>
      <c r="C62" s="2705"/>
      <c r="D62" s="2705"/>
      <c r="E62" s="2705"/>
      <c r="F62" s="2705"/>
      <c r="G62" s="2706"/>
      <c r="H62" s="2705"/>
      <c r="I62" s="2706"/>
      <c r="J62" s="2705"/>
      <c r="K62" s="2705"/>
      <c r="L62" s="2706"/>
      <c r="M62" s="2705"/>
      <c r="N62" s="2705"/>
      <c r="O62" s="2706"/>
      <c r="P62" s="2705"/>
      <c r="Q62" s="2705"/>
      <c r="R62" s="2707"/>
    </row>
    <row r="63" spans="2:18" s="901" customFormat="1">
      <c r="B63" s="2705"/>
      <c r="C63" s="2705"/>
      <c r="D63" s="2705"/>
      <c r="E63" s="2705"/>
      <c r="F63" s="2705"/>
      <c r="G63" s="2706"/>
      <c r="H63" s="2705"/>
      <c r="I63" s="2706"/>
      <c r="J63" s="2705"/>
      <c r="K63" s="2705"/>
      <c r="L63" s="2706"/>
      <c r="M63" s="2705"/>
      <c r="N63" s="2705"/>
      <c r="O63" s="2706"/>
      <c r="P63" s="2705"/>
      <c r="Q63" s="2705"/>
      <c r="R63" s="2707"/>
    </row>
    <row r="64" spans="2:18" s="901" customFormat="1">
      <c r="B64" s="2705"/>
      <c r="C64" s="2705"/>
      <c r="D64" s="2705"/>
      <c r="E64" s="2705"/>
      <c r="F64" s="2705"/>
      <c r="G64" s="2706"/>
      <c r="H64" s="2705"/>
      <c r="I64" s="2706"/>
      <c r="J64" s="2705"/>
      <c r="K64" s="2705"/>
      <c r="L64" s="2706"/>
      <c r="M64" s="2705"/>
      <c r="N64" s="2705"/>
      <c r="O64" s="2706"/>
      <c r="P64" s="2705"/>
      <c r="Q64" s="2705"/>
      <c r="R64" s="2707"/>
    </row>
    <row r="65" spans="2:18" s="901" customFormat="1">
      <c r="B65" s="2705"/>
      <c r="C65" s="2705"/>
      <c r="D65" s="2705"/>
      <c r="E65" s="2705"/>
      <c r="F65" s="2705"/>
      <c r="G65" s="2706"/>
      <c r="H65" s="2705"/>
      <c r="I65" s="2706"/>
      <c r="J65" s="2705"/>
      <c r="K65" s="2705"/>
      <c r="L65" s="2706"/>
      <c r="M65" s="2705"/>
      <c r="N65" s="2705"/>
      <c r="O65" s="2706"/>
      <c r="P65" s="2705"/>
      <c r="Q65" s="2705"/>
      <c r="R65" s="2707"/>
    </row>
    <row r="66" spans="2:18" s="901" customFormat="1">
      <c r="B66" s="2705"/>
      <c r="C66" s="2705"/>
      <c r="D66" s="2705"/>
      <c r="E66" s="2705"/>
      <c r="F66" s="2705"/>
      <c r="G66" s="2706"/>
      <c r="H66" s="2705"/>
      <c r="I66" s="2706"/>
      <c r="J66" s="2705"/>
      <c r="K66" s="2705"/>
      <c r="L66" s="2706"/>
      <c r="M66" s="2705"/>
      <c r="N66" s="2705"/>
      <c r="O66" s="2706"/>
      <c r="P66" s="2705"/>
      <c r="Q66" s="2705"/>
      <c r="R66" s="2707"/>
    </row>
    <row r="67" spans="2:18" s="901" customFormat="1">
      <c r="B67" s="2705"/>
      <c r="C67" s="2705"/>
      <c r="D67" s="2705"/>
      <c r="E67" s="2705"/>
      <c r="F67" s="2705"/>
      <c r="G67" s="2706"/>
      <c r="H67" s="2705"/>
      <c r="I67" s="2706"/>
      <c r="J67" s="2705"/>
      <c r="K67" s="2705"/>
      <c r="L67" s="2706"/>
      <c r="M67" s="2705"/>
      <c r="N67" s="2705"/>
      <c r="O67" s="2706"/>
      <c r="P67" s="2705"/>
      <c r="Q67" s="2705"/>
      <c r="R67" s="2707"/>
    </row>
    <row r="68" spans="2:18" s="901" customFormat="1">
      <c r="B68" s="2705"/>
      <c r="C68" s="2705"/>
      <c r="D68" s="2705"/>
      <c r="E68" s="2705"/>
      <c r="F68" s="2705"/>
      <c r="G68" s="2706"/>
      <c r="H68" s="2705"/>
      <c r="I68" s="2706"/>
      <c r="J68" s="2705"/>
      <c r="K68" s="2705"/>
      <c r="L68" s="2706"/>
      <c r="M68" s="2705"/>
      <c r="N68" s="2705"/>
      <c r="O68" s="2706"/>
      <c r="P68" s="2705"/>
      <c r="Q68" s="2705"/>
      <c r="R68" s="2707"/>
    </row>
    <row r="69" spans="2:18" s="901" customFormat="1">
      <c r="B69" s="2705"/>
      <c r="C69" s="2705"/>
      <c r="D69" s="2705"/>
      <c r="E69" s="2705"/>
      <c r="F69" s="2705"/>
      <c r="G69" s="2706"/>
      <c r="H69" s="2705"/>
      <c r="I69" s="2706"/>
      <c r="J69" s="2705"/>
      <c r="K69" s="2705"/>
      <c r="L69" s="2706"/>
      <c r="M69" s="2705"/>
      <c r="N69" s="2705"/>
      <c r="O69" s="2706"/>
      <c r="P69" s="2705"/>
      <c r="Q69" s="2705"/>
      <c r="R69" s="2707"/>
    </row>
    <row r="70" spans="2:18" s="901" customFormat="1">
      <c r="B70" s="2705"/>
      <c r="C70" s="2705"/>
      <c r="D70" s="2705"/>
      <c r="E70" s="2705"/>
      <c r="F70" s="2705"/>
      <c r="G70" s="2706"/>
      <c r="H70" s="2705"/>
      <c r="I70" s="2706"/>
      <c r="J70" s="2705"/>
      <c r="K70" s="2705"/>
      <c r="L70" s="2706"/>
      <c r="M70" s="2705"/>
      <c r="N70" s="2705"/>
      <c r="O70" s="2706"/>
      <c r="P70" s="2705"/>
      <c r="Q70" s="2705"/>
      <c r="R70" s="2707"/>
    </row>
    <row r="71" spans="2:18" s="901" customFormat="1">
      <c r="B71" s="2705"/>
      <c r="C71" s="2705"/>
      <c r="D71" s="2705"/>
      <c r="E71" s="2705"/>
      <c r="F71" s="2705"/>
      <c r="G71" s="2706"/>
      <c r="H71" s="2705"/>
      <c r="I71" s="2706"/>
      <c r="J71" s="2705"/>
      <c r="K71" s="2705"/>
      <c r="L71" s="2706"/>
      <c r="M71" s="2705"/>
      <c r="N71" s="2705"/>
      <c r="O71" s="2706"/>
      <c r="P71" s="2705"/>
      <c r="Q71" s="2705"/>
      <c r="R71" s="2707"/>
    </row>
    <row r="72" spans="2:18" s="901" customFormat="1">
      <c r="B72" s="2705"/>
      <c r="C72" s="2705"/>
      <c r="D72" s="2705"/>
      <c r="E72" s="2705"/>
      <c r="F72" s="2705"/>
      <c r="G72" s="2706"/>
      <c r="H72" s="2705"/>
      <c r="I72" s="2706"/>
      <c r="J72" s="2705"/>
      <c r="K72" s="2705"/>
      <c r="L72" s="2706"/>
      <c r="M72" s="2705"/>
      <c r="N72" s="2705"/>
      <c r="O72" s="2706"/>
      <c r="P72" s="2705"/>
      <c r="Q72" s="2705"/>
      <c r="R72" s="2707"/>
    </row>
    <row r="73" spans="2:18" s="901" customFormat="1">
      <c r="B73" s="2705"/>
      <c r="C73" s="2705"/>
      <c r="D73" s="2705"/>
      <c r="E73" s="2705"/>
      <c r="F73" s="2705"/>
      <c r="G73" s="2706"/>
      <c r="H73" s="2705"/>
      <c r="I73" s="2706"/>
      <c r="J73" s="2705"/>
      <c r="K73" s="2705"/>
      <c r="L73" s="2706"/>
      <c r="M73" s="2705"/>
      <c r="N73" s="2705"/>
      <c r="O73" s="2706"/>
      <c r="P73" s="2705"/>
      <c r="Q73" s="2705"/>
      <c r="R73" s="2707"/>
    </row>
    <row r="74" spans="2:18" s="901" customFormat="1">
      <c r="B74" s="2705"/>
      <c r="C74" s="2705"/>
      <c r="D74" s="2705"/>
      <c r="E74" s="2705"/>
      <c r="F74" s="2705"/>
      <c r="G74" s="2706"/>
      <c r="H74" s="2705"/>
      <c r="I74" s="2706"/>
      <c r="J74" s="2705"/>
      <c r="K74" s="2705"/>
      <c r="L74" s="2706"/>
      <c r="M74" s="2705"/>
      <c r="N74" s="2705"/>
      <c r="O74" s="2706"/>
      <c r="P74" s="2705"/>
      <c r="Q74" s="2705"/>
      <c r="R74" s="2707"/>
    </row>
    <row r="75" spans="2:18" s="901" customFormat="1">
      <c r="B75" s="2705"/>
      <c r="C75" s="2705"/>
      <c r="D75" s="2705"/>
      <c r="E75" s="2705"/>
      <c r="F75" s="2705"/>
      <c r="G75" s="2706"/>
      <c r="H75" s="2705"/>
      <c r="I75" s="2706"/>
      <c r="J75" s="2705"/>
      <c r="K75" s="2705"/>
      <c r="L75" s="2706"/>
      <c r="M75" s="2705"/>
      <c r="N75" s="2705"/>
      <c r="O75" s="2706"/>
      <c r="P75" s="2705"/>
      <c r="Q75" s="2705"/>
      <c r="R75" s="2707"/>
    </row>
    <row r="76" spans="2:18" s="901" customFormat="1">
      <c r="B76" s="2705"/>
      <c r="C76" s="2705"/>
      <c r="D76" s="2705"/>
      <c r="E76" s="2705"/>
      <c r="F76" s="2705"/>
      <c r="G76" s="2706"/>
      <c r="H76" s="2705"/>
      <c r="I76" s="2706"/>
      <c r="J76" s="2705"/>
      <c r="K76" s="2705"/>
      <c r="L76" s="2706"/>
      <c r="M76" s="2705"/>
      <c r="N76" s="2705"/>
      <c r="O76" s="2706"/>
      <c r="P76" s="2705"/>
      <c r="Q76" s="2705"/>
      <c r="R76" s="2707"/>
    </row>
    <row r="77" spans="2:18" s="901" customFormat="1">
      <c r="B77" s="2705"/>
      <c r="C77" s="2705"/>
      <c r="D77" s="2705"/>
      <c r="E77" s="2705"/>
      <c r="F77" s="2705"/>
      <c r="G77" s="2706"/>
      <c r="H77" s="2705"/>
      <c r="I77" s="2706"/>
      <c r="J77" s="2705"/>
      <c r="K77" s="2705"/>
      <c r="L77" s="2706"/>
      <c r="M77" s="2705"/>
      <c r="N77" s="2705"/>
      <c r="O77" s="2706"/>
      <c r="P77" s="2705"/>
      <c r="Q77" s="2705"/>
      <c r="R77" s="2707"/>
    </row>
    <row r="78" spans="2:18" s="901" customFormat="1">
      <c r="B78" s="2705"/>
      <c r="C78" s="2705"/>
      <c r="D78" s="2705"/>
      <c r="E78" s="2705"/>
      <c r="F78" s="2705"/>
      <c r="G78" s="2706"/>
      <c r="H78" s="2705"/>
      <c r="I78" s="2706"/>
      <c r="J78" s="2705"/>
      <c r="K78" s="2705"/>
      <c r="L78" s="2706"/>
      <c r="M78" s="2705"/>
      <c r="N78" s="2705"/>
      <c r="O78" s="2706"/>
      <c r="P78" s="2705"/>
      <c r="Q78" s="2705"/>
      <c r="R78" s="2707"/>
    </row>
    <row r="79" spans="2:18" s="901" customFormat="1">
      <c r="B79" s="2705"/>
      <c r="C79" s="2705"/>
      <c r="D79" s="2705"/>
      <c r="E79" s="2705"/>
      <c r="F79" s="2705"/>
      <c r="G79" s="2706"/>
      <c r="H79" s="2705"/>
      <c r="I79" s="2706"/>
      <c r="J79" s="2705"/>
      <c r="K79" s="2705"/>
      <c r="L79" s="2706"/>
      <c r="M79" s="2705"/>
      <c r="N79" s="2705"/>
      <c r="O79" s="2706"/>
      <c r="P79" s="2705"/>
      <c r="Q79" s="2705"/>
      <c r="R79" s="2707"/>
    </row>
    <row r="80" spans="2:18" s="901" customFormat="1">
      <c r="B80" s="2705"/>
      <c r="C80" s="2705"/>
      <c r="D80" s="2705"/>
      <c r="E80" s="2705"/>
      <c r="F80" s="2705"/>
      <c r="G80" s="2706"/>
      <c r="H80" s="2705"/>
      <c r="I80" s="2706"/>
      <c r="J80" s="2705"/>
      <c r="K80" s="2705"/>
      <c r="L80" s="2706"/>
      <c r="M80" s="2705"/>
      <c r="N80" s="2705"/>
      <c r="O80" s="2706"/>
      <c r="P80" s="2705"/>
      <c r="Q80" s="2705"/>
      <c r="R80" s="2707"/>
    </row>
    <row r="81" spans="2:18" s="901" customFormat="1">
      <c r="B81" s="2705"/>
      <c r="C81" s="2705"/>
      <c r="D81" s="2705"/>
      <c r="E81" s="2705"/>
      <c r="F81" s="2705"/>
      <c r="G81" s="2706"/>
      <c r="H81" s="2705"/>
      <c r="I81" s="2706"/>
      <c r="J81" s="2705"/>
      <c r="K81" s="2705"/>
      <c r="L81" s="2706"/>
      <c r="M81" s="2705"/>
      <c r="N81" s="2705"/>
      <c r="O81" s="2706"/>
      <c r="P81" s="2705"/>
      <c r="Q81" s="2705"/>
      <c r="R81" s="2707"/>
    </row>
    <row r="82" spans="2:18" s="901" customFormat="1">
      <c r="B82" s="2705"/>
      <c r="C82" s="2705"/>
      <c r="D82" s="2705"/>
      <c r="E82" s="2705"/>
      <c r="F82" s="2705"/>
      <c r="G82" s="2706"/>
      <c r="H82" s="2705"/>
      <c r="I82" s="2706"/>
      <c r="J82" s="2705"/>
      <c r="K82" s="2705"/>
      <c r="L82" s="2706"/>
      <c r="M82" s="2705"/>
      <c r="N82" s="2705"/>
      <c r="O82" s="2706"/>
      <c r="P82" s="2705"/>
      <c r="Q82" s="2705"/>
      <c r="R82" s="2707"/>
    </row>
    <row r="83" spans="2:18" s="901" customFormat="1">
      <c r="B83" s="2705"/>
      <c r="C83" s="2705"/>
      <c r="D83" s="2705"/>
      <c r="E83" s="2705"/>
      <c r="F83" s="2705"/>
      <c r="G83" s="2706"/>
      <c r="H83" s="2705"/>
      <c r="I83" s="2706"/>
      <c r="J83" s="2705"/>
      <c r="K83" s="2705"/>
      <c r="L83" s="2706"/>
      <c r="M83" s="2705"/>
      <c r="N83" s="2705"/>
      <c r="O83" s="2706"/>
      <c r="P83" s="2705"/>
      <c r="Q83" s="2705"/>
      <c r="R83" s="2707"/>
    </row>
    <row r="84" spans="2:18" s="901" customFormat="1">
      <c r="B84" s="2705"/>
      <c r="C84" s="2705"/>
      <c r="D84" s="2705"/>
      <c r="E84" s="2705"/>
      <c r="F84" s="2705"/>
      <c r="G84" s="2706"/>
      <c r="H84" s="2705"/>
      <c r="I84" s="2706"/>
      <c r="J84" s="2705"/>
      <c r="K84" s="2705"/>
      <c r="L84" s="2706"/>
      <c r="M84" s="2705"/>
      <c r="N84" s="2705"/>
      <c r="O84" s="2706"/>
      <c r="P84" s="2705"/>
      <c r="Q84" s="2705"/>
      <c r="R84" s="2707"/>
    </row>
    <row r="85" spans="2:18" s="901" customFormat="1">
      <c r="B85" s="2705"/>
      <c r="C85" s="2705"/>
      <c r="D85" s="2705"/>
      <c r="E85" s="2705"/>
      <c r="F85" s="2705"/>
      <c r="G85" s="2706"/>
      <c r="H85" s="2705"/>
      <c r="I85" s="2706"/>
      <c r="J85" s="2705"/>
      <c r="K85" s="2705"/>
      <c r="L85" s="2706"/>
      <c r="M85" s="2705"/>
      <c r="N85" s="2705"/>
      <c r="O85" s="2706"/>
      <c r="P85" s="2705"/>
      <c r="Q85" s="2705"/>
      <c r="R85" s="2707"/>
    </row>
    <row r="86" spans="2:18" s="901" customFormat="1">
      <c r="B86" s="2705"/>
      <c r="C86" s="2705"/>
      <c r="D86" s="2705"/>
      <c r="E86" s="2705"/>
      <c r="F86" s="2705"/>
      <c r="G86" s="2706"/>
      <c r="H86" s="2705"/>
      <c r="I86" s="2706"/>
      <c r="J86" s="2705"/>
      <c r="K86" s="2705"/>
      <c r="L86" s="2706"/>
      <c r="M86" s="2705"/>
      <c r="N86" s="2705"/>
      <c r="O86" s="2706"/>
      <c r="P86" s="2705"/>
      <c r="Q86" s="2705"/>
      <c r="R86" s="2707"/>
    </row>
    <row r="87" spans="2:18" s="901" customFormat="1">
      <c r="B87" s="2705"/>
      <c r="C87" s="2705"/>
      <c r="D87" s="2705"/>
      <c r="E87" s="2705"/>
      <c r="F87" s="2705"/>
      <c r="G87" s="2706"/>
      <c r="H87" s="2705"/>
      <c r="I87" s="2706"/>
      <c r="J87" s="2705"/>
      <c r="K87" s="2705"/>
      <c r="L87" s="2706"/>
      <c r="M87" s="2705"/>
      <c r="N87" s="2705"/>
      <c r="O87" s="2706"/>
      <c r="P87" s="2705"/>
      <c r="Q87" s="2705"/>
      <c r="R87" s="2707"/>
    </row>
    <row r="88" spans="2:18" s="901" customFormat="1">
      <c r="B88" s="2705"/>
      <c r="C88" s="2705"/>
      <c r="D88" s="2705"/>
      <c r="E88" s="2705"/>
      <c r="F88" s="2705"/>
      <c r="G88" s="2706"/>
      <c r="H88" s="2705"/>
      <c r="I88" s="2706"/>
      <c r="J88" s="2705"/>
      <c r="K88" s="2705"/>
      <c r="L88" s="2706"/>
      <c r="M88" s="2705"/>
      <c r="N88" s="2705"/>
      <c r="O88" s="2706"/>
      <c r="P88" s="2705"/>
      <c r="Q88" s="2705"/>
      <c r="R88" s="2707"/>
    </row>
    <row r="89" spans="2:18" s="901" customFormat="1">
      <c r="B89" s="2705"/>
      <c r="C89" s="2705"/>
      <c r="D89" s="2705"/>
      <c r="E89" s="2705"/>
      <c r="F89" s="2705"/>
      <c r="G89" s="2706"/>
      <c r="H89" s="2705"/>
      <c r="I89" s="2706"/>
      <c r="J89" s="2705"/>
      <c r="K89" s="2705"/>
      <c r="L89" s="2706"/>
      <c r="M89" s="2705"/>
      <c r="N89" s="2705"/>
      <c r="O89" s="2706"/>
      <c r="P89" s="2705"/>
      <c r="Q89" s="2705"/>
      <c r="R89" s="2707"/>
    </row>
    <row r="90" spans="2:18" s="901" customFormat="1">
      <c r="B90" s="2705"/>
      <c r="C90" s="2705"/>
      <c r="D90" s="2705"/>
      <c r="E90" s="2705"/>
      <c r="F90" s="2705"/>
      <c r="G90" s="2706"/>
      <c r="H90" s="2705"/>
      <c r="I90" s="2706"/>
      <c r="J90" s="2705"/>
      <c r="K90" s="2705"/>
      <c r="L90" s="2706"/>
      <c r="M90" s="2705"/>
      <c r="N90" s="2705"/>
      <c r="O90" s="2706"/>
      <c r="P90" s="2705"/>
      <c r="Q90" s="2705"/>
      <c r="R90" s="2707"/>
    </row>
    <row r="91" spans="2:18" s="901" customFormat="1">
      <c r="B91" s="2705"/>
      <c r="C91" s="2705"/>
      <c r="D91" s="2705"/>
      <c r="E91" s="2705"/>
      <c r="F91" s="2705"/>
      <c r="G91" s="2706"/>
      <c r="H91" s="2705"/>
      <c r="I91" s="2706"/>
      <c r="J91" s="2705"/>
      <c r="K91" s="2705"/>
      <c r="L91" s="2706"/>
      <c r="M91" s="2705"/>
      <c r="N91" s="2705"/>
      <c r="O91" s="2706"/>
      <c r="P91" s="2705"/>
      <c r="Q91" s="2705"/>
      <c r="R91" s="2707"/>
    </row>
    <row r="92" spans="2:18" s="901" customFormat="1">
      <c r="B92" s="2705"/>
      <c r="C92" s="2705"/>
      <c r="D92" s="2705"/>
      <c r="E92" s="2705"/>
      <c r="F92" s="2705"/>
      <c r="G92" s="2706"/>
      <c r="H92" s="2705"/>
      <c r="I92" s="2706"/>
      <c r="J92" s="2705"/>
      <c r="K92" s="2705"/>
      <c r="L92" s="2706"/>
      <c r="M92" s="2705"/>
      <c r="N92" s="2705"/>
      <c r="O92" s="2706"/>
      <c r="P92" s="2705"/>
      <c r="Q92" s="2705"/>
      <c r="R92" s="2707"/>
    </row>
    <row r="93" spans="2:18" s="901" customFormat="1">
      <c r="B93" s="2705"/>
      <c r="C93" s="2705"/>
      <c r="D93" s="2705"/>
      <c r="E93" s="2705"/>
      <c r="F93" s="2705"/>
      <c r="G93" s="2706"/>
      <c r="H93" s="2705"/>
      <c r="I93" s="2706"/>
      <c r="J93" s="2705"/>
      <c r="K93" s="2705"/>
      <c r="L93" s="2706"/>
      <c r="M93" s="2705"/>
      <c r="N93" s="2705"/>
      <c r="O93" s="2706"/>
      <c r="P93" s="2705"/>
      <c r="Q93" s="2705"/>
      <c r="R93" s="2707"/>
    </row>
    <row r="94" spans="2:18" s="901" customFormat="1">
      <c r="B94" s="2705"/>
      <c r="C94" s="2705"/>
      <c r="D94" s="2705"/>
      <c r="E94" s="2705"/>
      <c r="F94" s="2705"/>
      <c r="G94" s="2706"/>
      <c r="H94" s="2705"/>
      <c r="I94" s="2706"/>
      <c r="J94" s="2705"/>
      <c r="K94" s="2705"/>
      <c r="L94" s="2706"/>
      <c r="M94" s="2705"/>
      <c r="N94" s="2705"/>
      <c r="O94" s="2706"/>
      <c r="P94" s="2705"/>
      <c r="Q94" s="2705"/>
      <c r="R94" s="2707"/>
    </row>
    <row r="95" spans="2:18" s="901" customFormat="1">
      <c r="B95" s="2705"/>
      <c r="C95" s="2705"/>
      <c r="D95" s="2705"/>
      <c r="E95" s="2705"/>
      <c r="F95" s="2705"/>
      <c r="G95" s="2706"/>
      <c r="H95" s="2705"/>
      <c r="I95" s="2706"/>
      <c r="J95" s="2705"/>
      <c r="K95" s="2705"/>
      <c r="L95" s="2706"/>
      <c r="M95" s="2705"/>
      <c r="N95" s="2705"/>
      <c r="O95" s="2706"/>
      <c r="P95" s="2705"/>
      <c r="Q95" s="2705"/>
      <c r="R95" s="2707"/>
    </row>
    <row r="96" spans="2:18" s="901" customFormat="1">
      <c r="B96" s="2705"/>
      <c r="C96" s="2705"/>
      <c r="D96" s="2705"/>
      <c r="E96" s="2705"/>
      <c r="F96" s="2705"/>
      <c r="G96" s="2706"/>
      <c r="H96" s="2705"/>
      <c r="I96" s="2706"/>
      <c r="J96" s="2705"/>
      <c r="K96" s="2705"/>
      <c r="L96" s="2706"/>
      <c r="M96" s="2705"/>
      <c r="N96" s="2705"/>
      <c r="O96" s="2706"/>
      <c r="P96" s="2705"/>
      <c r="Q96" s="2705"/>
      <c r="R96" s="2707"/>
    </row>
    <row r="97" spans="2:18" s="901" customFormat="1">
      <c r="B97" s="2705"/>
      <c r="C97" s="2705"/>
      <c r="D97" s="2705"/>
      <c r="E97" s="2705"/>
      <c r="F97" s="2705"/>
      <c r="G97" s="2706"/>
      <c r="H97" s="2705"/>
      <c r="I97" s="2706"/>
      <c r="J97" s="2705"/>
      <c r="K97" s="2705"/>
      <c r="L97" s="2706"/>
      <c r="M97" s="2705"/>
      <c r="N97" s="2705"/>
      <c r="O97" s="2706"/>
      <c r="P97" s="2705"/>
      <c r="Q97" s="2705"/>
      <c r="R97" s="2707"/>
    </row>
    <row r="98" spans="2:18" s="901" customFormat="1">
      <c r="B98" s="2705"/>
      <c r="C98" s="2705"/>
      <c r="D98" s="2705"/>
      <c r="E98" s="2705"/>
      <c r="F98" s="2705"/>
      <c r="G98" s="2706"/>
      <c r="H98" s="2705"/>
      <c r="I98" s="2706"/>
      <c r="J98" s="2705"/>
      <c r="K98" s="2705"/>
      <c r="L98" s="2706"/>
      <c r="M98" s="2705"/>
      <c r="N98" s="2705"/>
      <c r="O98" s="2706"/>
      <c r="P98" s="2705"/>
      <c r="Q98" s="2705"/>
      <c r="R98" s="2707"/>
    </row>
    <row r="99" spans="2:18" s="901" customFormat="1">
      <c r="B99" s="2705"/>
      <c r="C99" s="2705"/>
      <c r="D99" s="2705"/>
      <c r="E99" s="2705"/>
      <c r="F99" s="2705"/>
      <c r="G99" s="2706"/>
      <c r="H99" s="2705"/>
      <c r="I99" s="2706"/>
      <c r="J99" s="2705"/>
      <c r="K99" s="2705"/>
      <c r="L99" s="2706"/>
      <c r="M99" s="2705"/>
      <c r="N99" s="2705"/>
      <c r="O99" s="2706"/>
      <c r="P99" s="2705"/>
      <c r="Q99" s="2705"/>
      <c r="R99" s="2707"/>
    </row>
    <row r="100" spans="2:18" s="901" customFormat="1">
      <c r="B100" s="2705"/>
      <c r="C100" s="2705"/>
      <c r="D100" s="2705"/>
      <c r="E100" s="2705"/>
      <c r="F100" s="2705"/>
      <c r="G100" s="2706"/>
      <c r="H100" s="2705"/>
      <c r="I100" s="2706"/>
      <c r="J100" s="2705"/>
      <c r="K100" s="2705"/>
      <c r="L100" s="2706"/>
      <c r="M100" s="2705"/>
      <c r="N100" s="2705"/>
      <c r="O100" s="2706"/>
      <c r="P100" s="2705"/>
      <c r="Q100" s="2705"/>
      <c r="R100" s="2707"/>
    </row>
    <row r="101" spans="2:18" s="901" customFormat="1">
      <c r="B101" s="2705"/>
      <c r="C101" s="2705"/>
      <c r="D101" s="2705"/>
      <c r="E101" s="2705"/>
      <c r="F101" s="2705"/>
      <c r="G101" s="2706"/>
      <c r="H101" s="2705"/>
      <c r="I101" s="2706"/>
      <c r="J101" s="2705"/>
      <c r="K101" s="2705"/>
      <c r="L101" s="2706"/>
      <c r="M101" s="2705"/>
      <c r="N101" s="2705"/>
      <c r="O101" s="2706"/>
      <c r="P101" s="2705"/>
      <c r="Q101" s="2705"/>
      <c r="R101" s="2707"/>
    </row>
    <row r="102" spans="2:18" s="901" customFormat="1">
      <c r="B102" s="2705"/>
      <c r="C102" s="2705"/>
      <c r="D102" s="2705"/>
      <c r="E102" s="2705"/>
      <c r="F102" s="2705"/>
      <c r="G102" s="2706"/>
      <c r="H102" s="2705"/>
      <c r="I102" s="2706"/>
      <c r="J102" s="2705"/>
      <c r="K102" s="2705"/>
      <c r="L102" s="2706"/>
      <c r="M102" s="2705"/>
      <c r="N102" s="2705"/>
      <c r="O102" s="2706"/>
      <c r="P102" s="2705"/>
      <c r="Q102" s="2705"/>
      <c r="R102" s="2707"/>
    </row>
    <row r="103" spans="2:18" s="901" customFormat="1">
      <c r="B103" s="2705"/>
      <c r="C103" s="2705"/>
      <c r="D103" s="2705"/>
      <c r="E103" s="2705"/>
      <c r="F103" s="2705"/>
      <c r="G103" s="2706"/>
      <c r="H103" s="2705"/>
      <c r="I103" s="2706"/>
      <c r="J103" s="2705"/>
      <c r="K103" s="2705"/>
      <c r="L103" s="2706"/>
      <c r="M103" s="2705"/>
      <c r="N103" s="2705"/>
      <c r="O103" s="2706"/>
      <c r="P103" s="2705"/>
      <c r="Q103" s="2705"/>
      <c r="R103" s="2707"/>
    </row>
    <row r="104" spans="2:18" s="901" customFormat="1">
      <c r="B104" s="2705"/>
      <c r="C104" s="2705"/>
      <c r="D104" s="2705"/>
      <c r="E104" s="2705"/>
      <c r="F104" s="2705"/>
      <c r="G104" s="2706"/>
      <c r="H104" s="2705"/>
      <c r="I104" s="2706"/>
      <c r="J104" s="2705"/>
      <c r="K104" s="2705"/>
      <c r="L104" s="2706"/>
      <c r="M104" s="2705"/>
      <c r="N104" s="2705"/>
      <c r="O104" s="2706"/>
      <c r="P104" s="2705"/>
      <c r="Q104" s="2705"/>
      <c r="R104" s="2707"/>
    </row>
    <row r="105" spans="2:18" s="901" customFormat="1">
      <c r="B105" s="2705"/>
      <c r="C105" s="2705"/>
      <c r="D105" s="2705"/>
      <c r="E105" s="2705"/>
      <c r="F105" s="2705"/>
      <c r="G105" s="2706"/>
      <c r="H105" s="2705"/>
      <c r="I105" s="2706"/>
      <c r="J105" s="2705"/>
      <c r="K105" s="2705"/>
      <c r="L105" s="2706"/>
      <c r="M105" s="2705"/>
      <c r="N105" s="2705"/>
      <c r="O105" s="2706"/>
      <c r="P105" s="2705"/>
      <c r="Q105" s="2705"/>
      <c r="R105" s="2707"/>
    </row>
    <row r="106" spans="2:18" s="901" customFormat="1">
      <c r="B106" s="2705"/>
      <c r="C106" s="2705"/>
      <c r="D106" s="2705"/>
      <c r="E106" s="2705"/>
      <c r="F106" s="2705"/>
      <c r="G106" s="2706"/>
      <c r="H106" s="2705"/>
      <c r="I106" s="2706"/>
      <c r="J106" s="2705"/>
      <c r="K106" s="2705"/>
      <c r="L106" s="2706"/>
      <c r="M106" s="2705"/>
      <c r="N106" s="2705"/>
      <c r="O106" s="2706"/>
      <c r="P106" s="2705"/>
      <c r="Q106" s="2705"/>
      <c r="R106" s="2707"/>
    </row>
    <row r="107" spans="2:18" s="901" customFormat="1">
      <c r="B107" s="2705"/>
      <c r="C107" s="2705"/>
      <c r="D107" s="2705"/>
      <c r="E107" s="2705"/>
      <c r="F107" s="2705"/>
      <c r="G107" s="2706"/>
      <c r="H107" s="2705"/>
      <c r="I107" s="2706"/>
      <c r="J107" s="2705"/>
      <c r="K107" s="2705"/>
      <c r="L107" s="2706"/>
      <c r="M107" s="2705"/>
      <c r="N107" s="2705"/>
      <c r="O107" s="2706"/>
      <c r="P107" s="2705"/>
      <c r="Q107" s="2705"/>
      <c r="R107" s="2707"/>
    </row>
    <row r="108" spans="2:18" s="901" customFormat="1">
      <c r="B108" s="2705"/>
      <c r="C108" s="2705"/>
      <c r="D108" s="2705"/>
      <c r="E108" s="2705"/>
      <c r="F108" s="2705"/>
      <c r="G108" s="2706"/>
      <c r="H108" s="2705"/>
      <c r="I108" s="2706"/>
      <c r="J108" s="2705"/>
      <c r="K108" s="2705"/>
      <c r="L108" s="2706"/>
      <c r="M108" s="2705"/>
      <c r="N108" s="2705"/>
      <c r="O108" s="2706"/>
      <c r="P108" s="2705"/>
      <c r="Q108" s="2705"/>
      <c r="R108" s="2707"/>
    </row>
    <row r="109" spans="2:18" s="901" customFormat="1">
      <c r="B109" s="2705"/>
      <c r="C109" s="2705"/>
      <c r="D109" s="2705"/>
      <c r="E109" s="2705"/>
      <c r="F109" s="2705"/>
      <c r="G109" s="2706"/>
      <c r="H109" s="2705"/>
      <c r="I109" s="2706"/>
      <c r="J109" s="2705"/>
      <c r="K109" s="2705"/>
      <c r="L109" s="2706"/>
      <c r="M109" s="2705"/>
      <c r="N109" s="2705"/>
      <c r="O109" s="2706"/>
      <c r="P109" s="2705"/>
      <c r="Q109" s="2705"/>
      <c r="R109" s="2707"/>
    </row>
    <row r="110" spans="2:18" s="901" customFormat="1">
      <c r="B110" s="2705"/>
      <c r="C110" s="2705"/>
      <c r="D110" s="2705"/>
      <c r="E110" s="2705"/>
      <c r="F110" s="2705"/>
      <c r="G110" s="2706"/>
      <c r="H110" s="2705"/>
      <c r="I110" s="2706"/>
      <c r="J110" s="2705"/>
      <c r="K110" s="2705"/>
      <c r="L110" s="2706"/>
      <c r="M110" s="2705"/>
      <c r="N110" s="2705"/>
      <c r="O110" s="2706"/>
      <c r="P110" s="2705"/>
      <c r="Q110" s="2705"/>
      <c r="R110" s="2707"/>
    </row>
    <row r="111" spans="2:18" s="901" customFormat="1">
      <c r="B111" s="2705"/>
      <c r="C111" s="2705"/>
      <c r="D111" s="2705"/>
      <c r="E111" s="2705"/>
      <c r="F111" s="2705"/>
      <c r="G111" s="2706"/>
      <c r="H111" s="2705"/>
      <c r="I111" s="2706"/>
      <c r="J111" s="2705"/>
      <c r="K111" s="2705"/>
      <c r="L111" s="2706"/>
      <c r="M111" s="2705"/>
      <c r="N111" s="2705"/>
      <c r="O111" s="2706"/>
      <c r="P111" s="2705"/>
      <c r="Q111" s="2705"/>
      <c r="R111" s="2707"/>
    </row>
    <row r="112" spans="2:18" s="901" customFormat="1">
      <c r="B112" s="2705"/>
      <c r="C112" s="2705"/>
      <c r="D112" s="2705"/>
      <c r="E112" s="2705"/>
      <c r="F112" s="2705"/>
      <c r="G112" s="2706"/>
      <c r="H112" s="2705"/>
      <c r="I112" s="2706"/>
      <c r="J112" s="2705"/>
      <c r="K112" s="2705"/>
      <c r="L112" s="2706"/>
      <c r="M112" s="2705"/>
      <c r="N112" s="2705"/>
      <c r="O112" s="2706"/>
      <c r="P112" s="2705"/>
      <c r="Q112" s="2705"/>
      <c r="R112" s="2707"/>
    </row>
    <row r="113" spans="2:18" s="901" customFormat="1">
      <c r="B113" s="2705"/>
      <c r="C113" s="2705"/>
      <c r="D113" s="2705"/>
      <c r="E113" s="2705"/>
      <c r="F113" s="2705"/>
      <c r="G113" s="2706"/>
      <c r="H113" s="2705"/>
      <c r="I113" s="2706"/>
      <c r="J113" s="2705"/>
      <c r="K113" s="2705"/>
      <c r="L113" s="2706"/>
      <c r="M113" s="2705"/>
      <c r="N113" s="2705"/>
      <c r="O113" s="2706"/>
      <c r="P113" s="2705"/>
      <c r="Q113" s="2705"/>
      <c r="R113" s="2707"/>
    </row>
    <row r="114" spans="2:18" s="901" customFormat="1">
      <c r="B114" s="2705"/>
      <c r="C114" s="2705"/>
      <c r="D114" s="2705"/>
      <c r="E114" s="2705"/>
      <c r="F114" s="2705"/>
      <c r="G114" s="2706"/>
      <c r="H114" s="2705"/>
      <c r="I114" s="2706"/>
      <c r="J114" s="2705"/>
      <c r="K114" s="2705"/>
      <c r="L114" s="2706"/>
      <c r="M114" s="2705"/>
      <c r="N114" s="2705"/>
      <c r="O114" s="2706"/>
      <c r="P114" s="2705"/>
      <c r="Q114" s="2705"/>
      <c r="R114" s="2707"/>
    </row>
    <row r="115" spans="2:18" s="901" customFormat="1">
      <c r="B115" s="2705"/>
      <c r="C115" s="2705"/>
      <c r="D115" s="2705"/>
      <c r="E115" s="2705"/>
      <c r="F115" s="2705"/>
      <c r="G115" s="2706"/>
      <c r="H115" s="2705"/>
      <c r="I115" s="2706"/>
      <c r="J115" s="2705"/>
      <c r="K115" s="2705"/>
      <c r="L115" s="2706"/>
      <c r="M115" s="2705"/>
      <c r="N115" s="2705"/>
      <c r="O115" s="2706"/>
      <c r="P115" s="2705"/>
      <c r="Q115" s="2705"/>
      <c r="R115" s="2707"/>
    </row>
    <row r="116" spans="2:18" s="901" customFormat="1">
      <c r="B116" s="2705"/>
      <c r="C116" s="2705"/>
      <c r="D116" s="2705"/>
      <c r="E116" s="2705"/>
      <c r="F116" s="2705"/>
      <c r="G116" s="2706"/>
      <c r="H116" s="2705"/>
      <c r="I116" s="2706"/>
      <c r="J116" s="2705"/>
      <c r="K116" s="2705"/>
      <c r="L116" s="2706"/>
      <c r="M116" s="2705"/>
      <c r="N116" s="2705"/>
      <c r="O116" s="2706"/>
      <c r="P116" s="2705"/>
      <c r="Q116" s="2705"/>
      <c r="R116" s="2707"/>
    </row>
    <row r="117" spans="2:18" s="901" customFormat="1">
      <c r="B117" s="2705"/>
      <c r="C117" s="2705"/>
      <c r="D117" s="2705"/>
      <c r="E117" s="2705"/>
      <c r="F117" s="2705"/>
      <c r="G117" s="2706"/>
      <c r="H117" s="2705"/>
      <c r="I117" s="2706"/>
      <c r="J117" s="2705"/>
      <c r="K117" s="2705"/>
      <c r="L117" s="2706"/>
      <c r="M117" s="2705"/>
      <c r="N117" s="2705"/>
      <c r="O117" s="2706"/>
      <c r="P117" s="2705"/>
      <c r="Q117" s="2705"/>
      <c r="R117" s="2707"/>
    </row>
    <row r="118" spans="2:18" s="901" customFormat="1">
      <c r="B118" s="2705"/>
      <c r="C118" s="2705"/>
      <c r="D118" s="2705"/>
      <c r="E118" s="2705"/>
      <c r="F118" s="2705"/>
      <c r="G118" s="2706"/>
      <c r="H118" s="2705"/>
      <c r="I118" s="2706"/>
      <c r="J118" s="2705"/>
      <c r="K118" s="2705"/>
      <c r="L118" s="2706"/>
      <c r="M118" s="2705"/>
      <c r="N118" s="2705"/>
      <c r="O118" s="2706"/>
      <c r="P118" s="2705"/>
      <c r="Q118" s="2705"/>
      <c r="R118" s="2707"/>
    </row>
    <row r="119" spans="2:18" s="901" customFormat="1">
      <c r="B119" s="2705"/>
      <c r="C119" s="2705"/>
      <c r="D119" s="2705"/>
      <c r="E119" s="2705"/>
      <c r="F119" s="2705"/>
      <c r="G119" s="2706"/>
      <c r="H119" s="2705"/>
      <c r="I119" s="2706"/>
      <c r="J119" s="2705"/>
      <c r="K119" s="2705"/>
      <c r="L119" s="2706"/>
      <c r="M119" s="2705"/>
      <c r="N119" s="2705"/>
      <c r="O119" s="2706"/>
      <c r="P119" s="2705"/>
      <c r="Q119" s="2705"/>
      <c r="R119" s="2707"/>
    </row>
    <row r="120" spans="2:18" s="901" customFormat="1">
      <c r="B120" s="2705"/>
      <c r="C120" s="2705"/>
      <c r="D120" s="2705"/>
      <c r="E120" s="2705"/>
      <c r="F120" s="2705"/>
      <c r="G120" s="2706"/>
      <c r="H120" s="2705"/>
      <c r="I120" s="2706"/>
      <c r="J120" s="2705"/>
      <c r="K120" s="2705"/>
      <c r="L120" s="2706"/>
      <c r="M120" s="2705"/>
      <c r="N120" s="2705"/>
      <c r="O120" s="2706"/>
      <c r="P120" s="2705"/>
      <c r="Q120" s="2705"/>
      <c r="R120" s="2707"/>
    </row>
    <row r="121" spans="2:18" s="901" customFormat="1">
      <c r="B121" s="2705"/>
      <c r="C121" s="2705"/>
      <c r="D121" s="2705"/>
      <c r="E121" s="2705"/>
      <c r="F121" s="2705"/>
      <c r="G121" s="2706"/>
      <c r="H121" s="2705"/>
      <c r="I121" s="2706"/>
      <c r="J121" s="2705"/>
      <c r="K121" s="2705"/>
      <c r="L121" s="2706"/>
      <c r="M121" s="2705"/>
      <c r="N121" s="2705"/>
      <c r="O121" s="2706"/>
      <c r="P121" s="2705"/>
      <c r="Q121" s="2705"/>
      <c r="R121" s="2707"/>
    </row>
    <row r="122" spans="2:18" s="901" customFormat="1">
      <c r="B122" s="2705"/>
      <c r="C122" s="2705"/>
      <c r="D122" s="2705"/>
      <c r="E122" s="2705"/>
      <c r="F122" s="2705"/>
      <c r="G122" s="2706"/>
      <c r="H122" s="2705"/>
      <c r="I122" s="2706"/>
      <c r="J122" s="2705"/>
      <c r="K122" s="2705"/>
      <c r="L122" s="2706"/>
      <c r="M122" s="2705"/>
      <c r="N122" s="2705"/>
      <c r="O122" s="2706"/>
      <c r="P122" s="2705"/>
      <c r="Q122" s="2705"/>
      <c r="R122" s="2707"/>
    </row>
    <row r="123" spans="2:18" s="901" customFormat="1">
      <c r="B123" s="2705"/>
      <c r="C123" s="2705"/>
      <c r="D123" s="2705"/>
      <c r="E123" s="2705"/>
      <c r="F123" s="2705"/>
      <c r="G123" s="2706"/>
      <c r="H123" s="2705"/>
      <c r="I123" s="2706"/>
      <c r="J123" s="2705"/>
      <c r="K123" s="2705"/>
      <c r="L123" s="2706"/>
      <c r="M123" s="2705"/>
      <c r="N123" s="2705"/>
      <c r="O123" s="2706"/>
      <c r="P123" s="2705"/>
      <c r="Q123" s="2705"/>
      <c r="R123" s="2707"/>
    </row>
    <row r="124" spans="2:18" s="901" customFormat="1">
      <c r="B124" s="2705"/>
      <c r="C124" s="2705"/>
      <c r="D124" s="2705"/>
      <c r="E124" s="2705"/>
      <c r="F124" s="2705"/>
      <c r="G124" s="2706"/>
      <c r="H124" s="2705"/>
      <c r="I124" s="2706"/>
      <c r="J124" s="2705"/>
      <c r="K124" s="2705"/>
      <c r="L124" s="2706"/>
      <c r="M124" s="2705"/>
      <c r="N124" s="2705"/>
      <c r="O124" s="2706"/>
      <c r="P124" s="2705"/>
      <c r="Q124" s="2705"/>
      <c r="R124" s="2707"/>
    </row>
    <row r="125" spans="2:18" s="901" customFormat="1">
      <c r="B125" s="2705"/>
      <c r="C125" s="2705"/>
      <c r="D125" s="2705"/>
      <c r="E125" s="2705"/>
      <c r="F125" s="2705"/>
      <c r="G125" s="2706"/>
      <c r="H125" s="2705"/>
      <c r="I125" s="2706"/>
      <c r="J125" s="2705"/>
      <c r="K125" s="2705"/>
      <c r="L125" s="2706"/>
      <c r="M125" s="2705"/>
      <c r="N125" s="2705"/>
      <c r="O125" s="2706"/>
      <c r="P125" s="2705"/>
      <c r="Q125" s="2705"/>
      <c r="R125" s="2707"/>
    </row>
    <row r="126" spans="2:18" s="901" customFormat="1">
      <c r="B126" s="2705"/>
      <c r="C126" s="2705"/>
      <c r="D126" s="2705"/>
      <c r="E126" s="2705"/>
      <c r="F126" s="2705"/>
      <c r="G126" s="2706"/>
      <c r="H126" s="2705"/>
      <c r="I126" s="2706"/>
      <c r="J126" s="2705"/>
      <c r="K126" s="2705"/>
      <c r="L126" s="2706"/>
      <c r="M126" s="2705"/>
      <c r="N126" s="2705"/>
      <c r="O126" s="2706"/>
      <c r="P126" s="2705"/>
      <c r="Q126" s="2705"/>
      <c r="R126" s="2707"/>
    </row>
    <row r="127" spans="2:18" s="901" customFormat="1">
      <c r="B127" s="2705"/>
      <c r="C127" s="2705"/>
      <c r="D127" s="2705"/>
      <c r="E127" s="2705"/>
      <c r="F127" s="2705"/>
      <c r="G127" s="2706"/>
      <c r="H127" s="2705"/>
      <c r="I127" s="2706"/>
      <c r="J127" s="2705"/>
      <c r="K127" s="2705"/>
      <c r="L127" s="2706"/>
      <c r="M127" s="2705"/>
      <c r="N127" s="2705"/>
      <c r="O127" s="2706"/>
      <c r="P127" s="2705"/>
      <c r="Q127" s="2705"/>
      <c r="R127" s="2707"/>
    </row>
    <row r="128" spans="2:18" s="901" customFormat="1">
      <c r="B128" s="2705"/>
      <c r="C128" s="2705"/>
      <c r="D128" s="2705"/>
      <c r="E128" s="2705"/>
      <c r="F128" s="2705"/>
      <c r="G128" s="2706"/>
      <c r="H128" s="2705"/>
      <c r="I128" s="2706"/>
      <c r="J128" s="2705"/>
      <c r="K128" s="2705"/>
      <c r="L128" s="2706"/>
      <c r="M128" s="2705"/>
      <c r="N128" s="2705"/>
      <c r="O128" s="2706"/>
      <c r="P128" s="2705"/>
      <c r="Q128" s="2705"/>
      <c r="R128" s="2707"/>
    </row>
    <row r="129" spans="2:18" s="901" customFormat="1">
      <c r="B129" s="2705"/>
      <c r="C129" s="2705"/>
      <c r="D129" s="2705"/>
      <c r="E129" s="2705"/>
      <c r="F129" s="2705"/>
      <c r="G129" s="2706"/>
      <c r="H129" s="2705"/>
      <c r="I129" s="2706"/>
      <c r="J129" s="2705"/>
      <c r="K129" s="2705"/>
      <c r="L129" s="2706"/>
      <c r="M129" s="2705"/>
      <c r="N129" s="2705"/>
      <c r="O129" s="2706"/>
      <c r="P129" s="2705"/>
      <c r="Q129" s="2705"/>
      <c r="R129" s="2707"/>
    </row>
    <row r="130" spans="2:18" s="901" customFormat="1">
      <c r="B130" s="2705"/>
      <c r="C130" s="2705"/>
      <c r="D130" s="2705"/>
      <c r="E130" s="2705"/>
      <c r="F130" s="2705"/>
      <c r="G130" s="2706"/>
      <c r="H130" s="2705"/>
      <c r="I130" s="2706"/>
      <c r="J130" s="2705"/>
      <c r="K130" s="2705"/>
      <c r="L130" s="2706"/>
      <c r="M130" s="2705"/>
      <c r="N130" s="2705"/>
      <c r="O130" s="2706"/>
      <c r="P130" s="2705"/>
      <c r="Q130" s="2705"/>
      <c r="R130" s="2707"/>
    </row>
    <row r="131" spans="2:18" s="901" customFormat="1">
      <c r="B131" s="2705"/>
      <c r="C131" s="2705"/>
      <c r="D131" s="2705"/>
      <c r="E131" s="2705"/>
      <c r="F131" s="2705"/>
      <c r="G131" s="2706"/>
      <c r="H131" s="2705"/>
      <c r="I131" s="2706"/>
      <c r="J131" s="2705"/>
      <c r="K131" s="2705"/>
      <c r="L131" s="2706"/>
      <c r="M131" s="2705"/>
      <c r="N131" s="2705"/>
      <c r="O131" s="2706"/>
      <c r="P131" s="2705"/>
      <c r="Q131" s="2705"/>
      <c r="R131" s="2707"/>
    </row>
    <row r="132" spans="2:18" s="901" customFormat="1">
      <c r="B132" s="2705"/>
      <c r="C132" s="2705"/>
      <c r="D132" s="2705"/>
      <c r="E132" s="2705"/>
      <c r="F132" s="2705"/>
      <c r="G132" s="2706"/>
      <c r="H132" s="2705"/>
      <c r="I132" s="2706"/>
      <c r="J132" s="2705"/>
      <c r="K132" s="2705"/>
      <c r="L132" s="2706"/>
      <c r="M132" s="2705"/>
      <c r="N132" s="2705"/>
      <c r="O132" s="2706"/>
      <c r="P132" s="2705"/>
      <c r="Q132" s="2705"/>
      <c r="R132" s="2707"/>
    </row>
    <row r="133" spans="2:18" s="901" customFormat="1">
      <c r="B133" s="2705"/>
      <c r="C133" s="2705"/>
      <c r="D133" s="2705"/>
      <c r="E133" s="2705"/>
      <c r="F133" s="2705"/>
      <c r="G133" s="2706"/>
      <c r="H133" s="2705"/>
      <c r="I133" s="2706"/>
      <c r="J133" s="2705"/>
      <c r="K133" s="2705"/>
      <c r="L133" s="2706"/>
      <c r="M133" s="2705"/>
      <c r="N133" s="2705"/>
      <c r="O133" s="2706"/>
      <c r="P133" s="2705"/>
      <c r="Q133" s="2705"/>
      <c r="R133" s="2707"/>
    </row>
    <row r="134" spans="2:18" s="901" customFormat="1">
      <c r="B134" s="2705"/>
      <c r="C134" s="2705"/>
      <c r="D134" s="2705"/>
      <c r="E134" s="2705"/>
      <c r="F134" s="2705"/>
      <c r="G134" s="2706"/>
      <c r="H134" s="2705"/>
      <c r="I134" s="2706"/>
      <c r="J134" s="2705"/>
      <c r="K134" s="2705"/>
      <c r="L134" s="2706"/>
      <c r="M134" s="2705"/>
      <c r="N134" s="2705"/>
      <c r="O134" s="2706"/>
      <c r="P134" s="2705"/>
      <c r="Q134" s="2705"/>
      <c r="R134" s="2707"/>
    </row>
    <row r="135" spans="2:18" s="901" customFormat="1">
      <c r="B135" s="2705"/>
      <c r="C135" s="2705"/>
      <c r="D135" s="2705"/>
      <c r="E135" s="2705"/>
      <c r="F135" s="2705"/>
      <c r="G135" s="2706"/>
      <c r="H135" s="2705"/>
      <c r="I135" s="2706"/>
      <c r="J135" s="2705"/>
      <c r="K135" s="2705"/>
      <c r="L135" s="2706"/>
      <c r="M135" s="2705"/>
      <c r="N135" s="2705"/>
      <c r="O135" s="2706"/>
      <c r="P135" s="2705"/>
      <c r="Q135" s="2705"/>
      <c r="R135" s="2707"/>
    </row>
    <row r="136" spans="2:18" s="901" customFormat="1">
      <c r="B136" s="2705"/>
      <c r="C136" s="2705"/>
      <c r="D136" s="2705"/>
      <c r="E136" s="2705"/>
      <c r="F136" s="2705"/>
      <c r="G136" s="2706"/>
      <c r="H136" s="2705"/>
      <c r="I136" s="2706"/>
      <c r="J136" s="2705"/>
      <c r="K136" s="2705"/>
      <c r="L136" s="2706"/>
      <c r="M136" s="2705"/>
      <c r="N136" s="2705"/>
      <c r="O136" s="2706"/>
      <c r="P136" s="2705"/>
      <c r="Q136" s="2705"/>
      <c r="R136" s="2707"/>
    </row>
    <row r="137" spans="2:18" s="901" customFormat="1">
      <c r="B137" s="2705"/>
      <c r="C137" s="2705"/>
      <c r="D137" s="2705"/>
      <c r="E137" s="2705"/>
      <c r="F137" s="2705"/>
      <c r="G137" s="2706"/>
      <c r="H137" s="2705"/>
      <c r="I137" s="2706"/>
      <c r="J137" s="2705"/>
      <c r="K137" s="2705"/>
      <c r="L137" s="2706"/>
      <c r="M137" s="2705"/>
      <c r="N137" s="2705"/>
      <c r="O137" s="2706"/>
      <c r="P137" s="2705"/>
      <c r="Q137" s="2705"/>
      <c r="R137" s="2707"/>
    </row>
    <row r="138" spans="2:18" s="901" customFormat="1">
      <c r="B138" s="2705"/>
      <c r="C138" s="2705"/>
      <c r="D138" s="2705"/>
      <c r="E138" s="2705"/>
      <c r="F138" s="2705"/>
      <c r="G138" s="2706"/>
      <c r="H138" s="2705"/>
      <c r="I138" s="2706"/>
      <c r="J138" s="2705"/>
      <c r="K138" s="2705"/>
      <c r="L138" s="2706"/>
      <c r="M138" s="2705"/>
      <c r="N138" s="2705"/>
      <c r="O138" s="2706"/>
      <c r="P138" s="2705"/>
      <c r="Q138" s="2705"/>
      <c r="R138" s="2707"/>
    </row>
    <row r="139" spans="2:18" s="901" customFormat="1">
      <c r="B139" s="2705"/>
      <c r="C139" s="2705"/>
      <c r="D139" s="2705"/>
      <c r="E139" s="2705"/>
      <c r="F139" s="2705"/>
      <c r="G139" s="2706"/>
      <c r="H139" s="2705"/>
      <c r="I139" s="2706"/>
      <c r="J139" s="2705"/>
      <c r="K139" s="2705"/>
      <c r="L139" s="2706"/>
      <c r="M139" s="2705"/>
      <c r="N139" s="2705"/>
      <c r="O139" s="2706"/>
      <c r="P139" s="2705"/>
      <c r="Q139" s="2705"/>
      <c r="R139" s="2707"/>
    </row>
    <row r="140" spans="2:18" s="901" customFormat="1">
      <c r="B140" s="2705"/>
      <c r="C140" s="2705"/>
      <c r="D140" s="2705"/>
      <c r="E140" s="2705"/>
      <c r="F140" s="2705"/>
      <c r="G140" s="2706"/>
      <c r="H140" s="2705"/>
      <c r="I140" s="2706"/>
      <c r="J140" s="2705"/>
      <c r="K140" s="2705"/>
      <c r="L140" s="2706"/>
      <c r="M140" s="2705"/>
      <c r="N140" s="2705"/>
      <c r="O140" s="2706"/>
      <c r="P140" s="2705"/>
      <c r="Q140" s="2705"/>
      <c r="R140" s="2707"/>
    </row>
    <row r="141" spans="2:18" s="901" customFormat="1">
      <c r="B141" s="2705"/>
      <c r="C141" s="2705"/>
      <c r="D141" s="2705"/>
      <c r="E141" s="2705"/>
      <c r="F141" s="2705"/>
      <c r="G141" s="2706"/>
      <c r="H141" s="2705"/>
      <c r="I141" s="2706"/>
      <c r="J141" s="2705"/>
      <c r="K141" s="2705"/>
      <c r="L141" s="2706"/>
      <c r="M141" s="2705"/>
      <c r="N141" s="2705"/>
      <c r="O141" s="2706"/>
      <c r="P141" s="2705"/>
      <c r="Q141" s="2705"/>
      <c r="R141" s="2707"/>
    </row>
    <row r="142" spans="2:18" s="901" customFormat="1">
      <c r="B142" s="2705"/>
      <c r="C142" s="2705"/>
      <c r="D142" s="2705"/>
      <c r="E142" s="2705"/>
      <c r="F142" s="2705"/>
      <c r="G142" s="2706"/>
      <c r="H142" s="2705"/>
      <c r="I142" s="2706"/>
      <c r="J142" s="2705"/>
      <c r="K142" s="2705"/>
      <c r="L142" s="2706"/>
      <c r="M142" s="2705"/>
      <c r="N142" s="2705"/>
      <c r="O142" s="2706"/>
      <c r="P142" s="2705"/>
      <c r="Q142" s="2705"/>
      <c r="R142" s="2707"/>
    </row>
    <row r="143" spans="2:18" s="901" customFormat="1">
      <c r="B143" s="2705"/>
      <c r="C143" s="2705"/>
      <c r="D143" s="2705"/>
      <c r="E143" s="2705"/>
      <c r="F143" s="2705"/>
      <c r="G143" s="2706"/>
      <c r="H143" s="2705"/>
      <c r="I143" s="2706"/>
      <c r="J143" s="2705"/>
      <c r="K143" s="2705"/>
      <c r="L143" s="2706"/>
      <c r="M143" s="2705"/>
      <c r="N143" s="2705"/>
      <c r="O143" s="2706"/>
      <c r="P143" s="2705"/>
      <c r="Q143" s="2705"/>
      <c r="R143" s="2707"/>
    </row>
    <row r="144" spans="2:18" s="901" customFormat="1">
      <c r="B144" s="2705"/>
      <c r="C144" s="2705"/>
      <c r="D144" s="2705"/>
      <c r="E144" s="2705"/>
      <c r="F144" s="2705"/>
      <c r="G144" s="2706"/>
      <c r="H144" s="2705"/>
      <c r="I144" s="2706"/>
      <c r="J144" s="2705"/>
      <c r="K144" s="2705"/>
      <c r="L144" s="2706"/>
      <c r="M144" s="2705"/>
      <c r="N144" s="2705"/>
      <c r="O144" s="2706"/>
      <c r="P144" s="2705"/>
      <c r="Q144" s="2705"/>
      <c r="R144" s="2707"/>
    </row>
    <row r="145" spans="2:18" s="901" customFormat="1">
      <c r="B145" s="2705"/>
      <c r="C145" s="2705"/>
      <c r="D145" s="2705"/>
      <c r="E145" s="2705"/>
      <c r="F145" s="2705"/>
      <c r="G145" s="2706"/>
      <c r="H145" s="2705"/>
      <c r="I145" s="2706"/>
      <c r="J145" s="2705"/>
      <c r="K145" s="2705"/>
      <c r="L145" s="2706"/>
      <c r="M145" s="2705"/>
      <c r="N145" s="2705"/>
      <c r="O145" s="2706"/>
      <c r="P145" s="2705"/>
      <c r="Q145" s="2705"/>
      <c r="R145" s="2707"/>
    </row>
    <row r="146" spans="2:18" s="901" customFormat="1">
      <c r="B146" s="2705"/>
      <c r="C146" s="2705"/>
      <c r="D146" s="2705"/>
      <c r="E146" s="2705"/>
      <c r="F146" s="2705"/>
      <c r="G146" s="2706"/>
      <c r="H146" s="2705"/>
      <c r="I146" s="2706"/>
      <c r="J146" s="2705"/>
      <c r="K146" s="2705"/>
      <c r="L146" s="2706"/>
      <c r="M146" s="2705"/>
      <c r="N146" s="2705"/>
      <c r="O146" s="2706"/>
      <c r="P146" s="2705"/>
      <c r="Q146" s="2705"/>
      <c r="R146" s="2707"/>
    </row>
    <row r="147" spans="2:18" s="901" customFormat="1">
      <c r="B147" s="2705"/>
      <c r="C147" s="2705"/>
      <c r="D147" s="2705"/>
      <c r="E147" s="2705"/>
      <c r="F147" s="2705"/>
      <c r="G147" s="2706"/>
      <c r="H147" s="2705"/>
      <c r="I147" s="2706"/>
      <c r="J147" s="2705"/>
      <c r="K147" s="2705"/>
      <c r="L147" s="2706"/>
      <c r="M147" s="2705"/>
      <c r="N147" s="2705"/>
      <c r="O147" s="2706"/>
      <c r="P147" s="2705"/>
      <c r="Q147" s="2705"/>
      <c r="R147" s="2707"/>
    </row>
    <row r="148" spans="2:18" s="901" customFormat="1">
      <c r="B148" s="2705"/>
      <c r="C148" s="2705"/>
      <c r="D148" s="2705"/>
      <c r="E148" s="2705"/>
      <c r="F148" s="2705"/>
      <c r="G148" s="2706"/>
      <c r="H148" s="2705"/>
      <c r="I148" s="2706"/>
      <c r="J148" s="2705"/>
      <c r="K148" s="2705"/>
      <c r="L148" s="2706"/>
      <c r="M148" s="2705"/>
      <c r="N148" s="2705"/>
      <c r="O148" s="2706"/>
      <c r="P148" s="2705"/>
      <c r="Q148" s="2705"/>
      <c r="R148" s="2707"/>
    </row>
    <row r="149" spans="2:18" s="901" customFormat="1">
      <c r="B149" s="2705"/>
      <c r="C149" s="2705"/>
      <c r="D149" s="2705"/>
      <c r="E149" s="2705"/>
      <c r="F149" s="2705"/>
      <c r="G149" s="2706"/>
      <c r="H149" s="2705"/>
      <c r="I149" s="2706"/>
      <c r="J149" s="2705"/>
      <c r="K149" s="2705"/>
      <c r="L149" s="2706"/>
      <c r="M149" s="2705"/>
      <c r="N149" s="2705"/>
      <c r="O149" s="2706"/>
      <c r="P149" s="2705"/>
      <c r="Q149" s="2705"/>
      <c r="R149" s="2707"/>
    </row>
    <row r="150" spans="2:18" s="901" customFormat="1">
      <c r="B150" s="2705"/>
      <c r="C150" s="2705"/>
      <c r="D150" s="2705"/>
      <c r="E150" s="2705"/>
      <c r="F150" s="2705"/>
      <c r="G150" s="2706"/>
      <c r="H150" s="2705"/>
      <c r="I150" s="2706"/>
      <c r="J150" s="2705"/>
      <c r="K150" s="2705"/>
      <c r="L150" s="2706"/>
      <c r="M150" s="2705"/>
      <c r="N150" s="2705"/>
      <c r="O150" s="2706"/>
      <c r="P150" s="2705"/>
      <c r="Q150" s="2705"/>
      <c r="R150" s="2707"/>
    </row>
    <row r="151" spans="2:18" s="901" customFormat="1">
      <c r="B151" s="2705"/>
      <c r="C151" s="2705"/>
      <c r="D151" s="2705"/>
      <c r="E151" s="2705"/>
      <c r="F151" s="2705"/>
      <c r="G151" s="2706"/>
      <c r="H151" s="2705"/>
      <c r="I151" s="2706"/>
      <c r="J151" s="2705"/>
      <c r="K151" s="2705"/>
      <c r="L151" s="2706"/>
      <c r="M151" s="2705"/>
      <c r="N151" s="2705"/>
      <c r="O151" s="2706"/>
      <c r="P151" s="2705"/>
      <c r="Q151" s="2705"/>
      <c r="R151" s="2707"/>
    </row>
    <row r="152" spans="2:18" s="901" customFormat="1">
      <c r="B152" s="2705"/>
      <c r="C152" s="2705"/>
      <c r="D152" s="2705"/>
      <c r="E152" s="2705"/>
      <c r="F152" s="2705"/>
      <c r="G152" s="2706"/>
      <c r="H152" s="2705"/>
      <c r="I152" s="2706"/>
      <c r="J152" s="2705"/>
      <c r="K152" s="2705"/>
      <c r="L152" s="2706"/>
      <c r="M152" s="2705"/>
      <c r="N152" s="2705"/>
      <c r="O152" s="2706"/>
      <c r="P152" s="2705"/>
      <c r="Q152" s="2705"/>
      <c r="R152" s="2707"/>
    </row>
    <row r="153" spans="2:18" s="901" customFormat="1">
      <c r="B153" s="2705"/>
      <c r="C153" s="2705"/>
      <c r="D153" s="2705"/>
      <c r="E153" s="2705"/>
      <c r="F153" s="2705"/>
      <c r="G153" s="2706"/>
      <c r="H153" s="2705"/>
      <c r="I153" s="2706"/>
      <c r="J153" s="2705"/>
      <c r="K153" s="2705"/>
      <c r="L153" s="2706"/>
      <c r="M153" s="2705"/>
      <c r="N153" s="2705"/>
      <c r="O153" s="2706"/>
      <c r="P153" s="2705"/>
      <c r="Q153" s="2705"/>
      <c r="R153" s="2707"/>
    </row>
    <row r="154" spans="2:18" s="901" customFormat="1">
      <c r="B154" s="2705"/>
      <c r="C154" s="2705"/>
      <c r="D154" s="2705"/>
      <c r="E154" s="2705"/>
      <c r="F154" s="2705"/>
      <c r="G154" s="2706"/>
      <c r="H154" s="2705"/>
      <c r="I154" s="2706"/>
      <c r="J154" s="2705"/>
      <c r="K154" s="2705"/>
      <c r="L154" s="2706"/>
      <c r="M154" s="2705"/>
      <c r="N154" s="2705"/>
      <c r="O154" s="2706"/>
      <c r="P154" s="2705"/>
      <c r="Q154" s="2705"/>
      <c r="R154" s="2707"/>
    </row>
    <row r="155" spans="2:18" s="901" customFormat="1">
      <c r="B155" s="2705"/>
      <c r="C155" s="2705"/>
      <c r="D155" s="2705"/>
      <c r="E155" s="2705"/>
      <c r="F155" s="2705"/>
      <c r="G155" s="2706"/>
      <c r="H155" s="2705"/>
      <c r="I155" s="2706"/>
      <c r="J155" s="2705"/>
      <c r="K155" s="2705"/>
      <c r="L155" s="2706"/>
      <c r="M155" s="2705"/>
      <c r="N155" s="2705"/>
      <c r="O155" s="2706"/>
      <c r="P155" s="2705"/>
      <c r="Q155" s="2705"/>
      <c r="R155" s="2707"/>
    </row>
    <row r="156" spans="2:18" s="901" customFormat="1">
      <c r="B156" s="2705"/>
      <c r="C156" s="2705"/>
      <c r="D156" s="2705"/>
      <c r="E156" s="2705"/>
      <c r="F156" s="2705"/>
      <c r="G156" s="2706"/>
      <c r="H156" s="2705"/>
      <c r="I156" s="2706"/>
      <c r="J156" s="2705"/>
      <c r="K156" s="2705"/>
      <c r="L156" s="2706"/>
      <c r="M156" s="2705"/>
      <c r="N156" s="2705"/>
      <c r="O156" s="2706"/>
      <c r="P156" s="2705"/>
      <c r="Q156" s="2705"/>
      <c r="R156" s="2707"/>
    </row>
    <row r="157" spans="2:18" s="901" customFormat="1">
      <c r="B157" s="2705"/>
      <c r="C157" s="2705"/>
      <c r="D157" s="2705"/>
      <c r="E157" s="2705"/>
      <c r="F157" s="2705"/>
      <c r="G157" s="2706"/>
      <c r="H157" s="2705"/>
      <c r="I157" s="2706"/>
      <c r="J157" s="2705"/>
      <c r="K157" s="2705"/>
      <c r="L157" s="2706"/>
      <c r="M157" s="2705"/>
      <c r="N157" s="2705"/>
      <c r="O157" s="2706"/>
      <c r="P157" s="2705"/>
      <c r="Q157" s="2705"/>
      <c r="R157" s="2707"/>
    </row>
    <row r="158" spans="2:18" s="901" customFormat="1">
      <c r="B158" s="2705"/>
      <c r="C158" s="2705"/>
      <c r="D158" s="2705"/>
      <c r="E158" s="2705"/>
      <c r="F158" s="2705"/>
      <c r="G158" s="2706"/>
      <c r="H158" s="2705"/>
      <c r="I158" s="2706"/>
      <c r="J158" s="2705"/>
      <c r="K158" s="2705"/>
      <c r="L158" s="2706"/>
      <c r="M158" s="2705"/>
      <c r="N158" s="2705"/>
      <c r="O158" s="2706"/>
      <c r="P158" s="2705"/>
      <c r="Q158" s="2705"/>
      <c r="R158" s="2707"/>
    </row>
    <row r="159" spans="2:18" s="901" customFormat="1">
      <c r="B159" s="2705"/>
      <c r="C159" s="2705"/>
      <c r="D159" s="2705"/>
      <c r="E159" s="2705"/>
      <c r="F159" s="2705"/>
      <c r="G159" s="2706"/>
      <c r="H159" s="2705"/>
      <c r="I159" s="2706"/>
      <c r="J159" s="2705"/>
      <c r="K159" s="2705"/>
      <c r="L159" s="2706"/>
      <c r="M159" s="2705"/>
      <c r="N159" s="2705"/>
      <c r="O159" s="2706"/>
      <c r="P159" s="2705"/>
      <c r="Q159" s="2705"/>
      <c r="R159" s="2707"/>
    </row>
    <row r="160" spans="2:18" s="901" customFormat="1">
      <c r="B160" s="2705"/>
      <c r="C160" s="2705"/>
      <c r="D160" s="2705"/>
      <c r="E160" s="2705"/>
      <c r="F160" s="2705"/>
      <c r="G160" s="2706"/>
      <c r="H160" s="2705"/>
      <c r="I160" s="2706"/>
      <c r="J160" s="2705"/>
      <c r="K160" s="2705"/>
      <c r="L160" s="2706"/>
      <c r="M160" s="2705"/>
      <c r="N160" s="2705"/>
      <c r="O160" s="2706"/>
      <c r="P160" s="2705"/>
      <c r="Q160" s="2705"/>
      <c r="R160" s="2707"/>
    </row>
    <row r="161" spans="2:18" s="901" customFormat="1">
      <c r="B161" s="2705"/>
      <c r="C161" s="2705"/>
      <c r="D161" s="2705"/>
      <c r="E161" s="2705"/>
      <c r="F161" s="2705"/>
      <c r="G161" s="2706"/>
      <c r="H161" s="2705"/>
      <c r="I161" s="2706"/>
      <c r="J161" s="2705"/>
      <c r="K161" s="2705"/>
      <c r="L161" s="2706"/>
      <c r="M161" s="2705"/>
      <c r="N161" s="2705"/>
      <c r="O161" s="2706"/>
      <c r="P161" s="2705"/>
      <c r="Q161" s="2705"/>
      <c r="R161" s="2707"/>
    </row>
    <row r="162" spans="2:18" s="901" customFormat="1">
      <c r="B162" s="2705"/>
      <c r="C162" s="2705"/>
      <c r="D162" s="2705"/>
      <c r="E162" s="2705"/>
      <c r="F162" s="2705"/>
      <c r="G162" s="2706"/>
      <c r="H162" s="2705"/>
      <c r="I162" s="2706"/>
      <c r="J162" s="2705"/>
      <c r="K162" s="2705"/>
      <c r="L162" s="2706"/>
      <c r="M162" s="2705"/>
      <c r="N162" s="2705"/>
      <c r="O162" s="2706"/>
      <c r="P162" s="2705"/>
      <c r="Q162" s="2705"/>
      <c r="R162" s="2707"/>
    </row>
    <row r="163" spans="2:18" s="901" customFormat="1">
      <c r="B163" s="2705"/>
      <c r="C163" s="2705"/>
      <c r="D163" s="2705"/>
      <c r="E163" s="2705"/>
      <c r="F163" s="2705"/>
      <c r="G163" s="2706"/>
      <c r="H163" s="2705"/>
      <c r="I163" s="2706"/>
      <c r="J163" s="2705"/>
      <c r="K163" s="2705"/>
      <c r="L163" s="2706"/>
      <c r="M163" s="2705"/>
      <c r="N163" s="2705"/>
      <c r="O163" s="2706"/>
      <c r="P163" s="2705"/>
      <c r="Q163" s="2705"/>
      <c r="R163" s="2707"/>
    </row>
    <row r="164" spans="2:18" s="901" customFormat="1">
      <c r="B164" s="2705"/>
      <c r="C164" s="2705"/>
      <c r="D164" s="2705"/>
      <c r="E164" s="2705"/>
      <c r="F164" s="2705"/>
      <c r="G164" s="2706"/>
      <c r="H164" s="2705"/>
      <c r="I164" s="2706"/>
      <c r="J164" s="2705"/>
      <c r="K164" s="2705"/>
      <c r="L164" s="2706"/>
      <c r="M164" s="2705"/>
      <c r="N164" s="2705"/>
      <c r="O164" s="2706"/>
      <c r="P164" s="2705"/>
      <c r="Q164" s="2705"/>
      <c r="R164" s="2707"/>
    </row>
    <row r="165" spans="2:18" s="901" customFormat="1">
      <c r="B165" s="2705"/>
      <c r="C165" s="2705"/>
      <c r="D165" s="2705"/>
      <c r="E165" s="2705"/>
      <c r="F165" s="2705"/>
      <c r="G165" s="2706"/>
      <c r="H165" s="2705"/>
      <c r="I165" s="2706"/>
      <c r="J165" s="2705"/>
      <c r="K165" s="2705"/>
      <c r="L165" s="2706"/>
      <c r="M165" s="2705"/>
      <c r="N165" s="2705"/>
      <c r="O165" s="2706"/>
      <c r="P165" s="2705"/>
      <c r="Q165" s="2705"/>
      <c r="R165" s="2707"/>
    </row>
    <row r="166" spans="2:18" s="901" customFormat="1">
      <c r="B166" s="2705"/>
      <c r="C166" s="2705"/>
      <c r="D166" s="2705"/>
      <c r="E166" s="2705"/>
      <c r="F166" s="2705"/>
      <c r="G166" s="2706"/>
      <c r="H166" s="2705"/>
      <c r="I166" s="2706"/>
      <c r="J166" s="2705"/>
      <c r="K166" s="2705"/>
      <c r="L166" s="2706"/>
      <c r="M166" s="2705"/>
      <c r="N166" s="2705"/>
      <c r="O166" s="2706"/>
      <c r="P166" s="2705"/>
      <c r="Q166" s="2705"/>
      <c r="R166" s="2707"/>
    </row>
    <row r="167" spans="2:18" s="901" customFormat="1">
      <c r="B167" s="2705"/>
      <c r="C167" s="2705"/>
      <c r="D167" s="2705"/>
      <c r="E167" s="2705"/>
      <c r="F167" s="2705"/>
      <c r="G167" s="2706"/>
      <c r="H167" s="2705"/>
      <c r="I167" s="2706"/>
      <c r="J167" s="2705"/>
      <c r="K167" s="2705"/>
      <c r="L167" s="2706"/>
      <c r="M167" s="2705"/>
      <c r="N167" s="2705"/>
      <c r="O167" s="2706"/>
      <c r="P167" s="2705"/>
      <c r="Q167" s="2705"/>
      <c r="R167" s="2707"/>
    </row>
    <row r="168" spans="2:18" s="901" customFormat="1">
      <c r="B168" s="2705"/>
      <c r="C168" s="2705"/>
      <c r="D168" s="2705"/>
      <c r="E168" s="2705"/>
      <c r="F168" s="2705"/>
      <c r="G168" s="2706"/>
      <c r="H168" s="2705"/>
      <c r="I168" s="2706"/>
      <c r="J168" s="2705"/>
      <c r="K168" s="2705"/>
      <c r="L168" s="2706"/>
      <c r="M168" s="2705"/>
      <c r="N168" s="2705"/>
      <c r="O168" s="2706"/>
      <c r="P168" s="2705"/>
      <c r="Q168" s="2705"/>
      <c r="R168" s="2707"/>
    </row>
    <row r="169" spans="2:18" s="901" customFormat="1">
      <c r="B169" s="2705"/>
      <c r="C169" s="2705"/>
      <c r="D169" s="2705"/>
      <c r="E169" s="2705"/>
      <c r="F169" s="2705"/>
      <c r="G169" s="2706"/>
      <c r="H169" s="2705"/>
      <c r="I169" s="2706"/>
      <c r="J169" s="2705"/>
      <c r="K169" s="2705"/>
      <c r="L169" s="2706"/>
      <c r="M169" s="2705"/>
      <c r="N169" s="2705"/>
      <c r="O169" s="2706"/>
      <c r="P169" s="2705"/>
      <c r="Q169" s="2705"/>
      <c r="R169" s="2707"/>
    </row>
    <row r="170" spans="2:18" s="901" customFormat="1">
      <c r="B170" s="2705"/>
      <c r="C170" s="2705"/>
      <c r="D170" s="2705"/>
      <c r="E170" s="2705"/>
      <c r="F170" s="2705"/>
      <c r="G170" s="2706"/>
      <c r="H170" s="2705"/>
      <c r="I170" s="2706"/>
      <c r="J170" s="2705"/>
      <c r="K170" s="2705"/>
      <c r="L170" s="2706"/>
      <c r="M170" s="2705"/>
      <c r="N170" s="2705"/>
      <c r="O170" s="2706"/>
      <c r="P170" s="2705"/>
      <c r="Q170" s="2705"/>
      <c r="R170" s="2707"/>
    </row>
    <row r="171" spans="2:18" s="901" customFormat="1">
      <c r="B171" s="2705"/>
      <c r="C171" s="2705"/>
      <c r="D171" s="2705"/>
      <c r="E171" s="2705"/>
      <c r="F171" s="2705"/>
      <c r="G171" s="2706"/>
      <c r="H171" s="2705"/>
      <c r="I171" s="2706"/>
      <c r="J171" s="2705"/>
      <c r="K171" s="2705"/>
      <c r="L171" s="2706"/>
      <c r="M171" s="2705"/>
      <c r="N171" s="2705"/>
      <c r="O171" s="2706"/>
      <c r="P171" s="2705"/>
      <c r="Q171" s="2705"/>
      <c r="R171" s="2707"/>
    </row>
    <row r="172" spans="2:18" s="901" customFormat="1">
      <c r="B172" s="2705"/>
      <c r="C172" s="2705"/>
      <c r="D172" s="2705"/>
      <c r="E172" s="2705"/>
      <c r="F172" s="2705"/>
      <c r="G172" s="2706"/>
      <c r="H172" s="2705"/>
      <c r="I172" s="2706"/>
      <c r="J172" s="2705"/>
      <c r="K172" s="2705"/>
      <c r="L172" s="2706"/>
      <c r="M172" s="2705"/>
      <c r="N172" s="2705"/>
      <c r="O172" s="2706"/>
      <c r="P172" s="2705"/>
      <c r="Q172" s="2705"/>
      <c r="R172" s="2707"/>
    </row>
    <row r="173" spans="2:18" s="901" customFormat="1">
      <c r="B173" s="2705"/>
      <c r="C173" s="2705"/>
      <c r="D173" s="2705"/>
      <c r="E173" s="2705"/>
      <c r="F173" s="2705"/>
      <c r="G173" s="2706"/>
      <c r="H173" s="2705"/>
      <c r="I173" s="2706"/>
      <c r="J173" s="2705"/>
      <c r="K173" s="2705"/>
      <c r="L173" s="2706"/>
      <c r="M173" s="2705"/>
      <c r="N173" s="2705"/>
      <c r="O173" s="2706"/>
      <c r="P173" s="2705"/>
      <c r="Q173" s="2705"/>
      <c r="R173" s="2707"/>
    </row>
    <row r="174" spans="2:18" s="901" customFormat="1">
      <c r="B174" s="2705"/>
      <c r="C174" s="2705"/>
      <c r="D174" s="2705"/>
      <c r="E174" s="2705"/>
      <c r="F174" s="2705"/>
      <c r="G174" s="2706"/>
      <c r="H174" s="2705"/>
      <c r="I174" s="2706"/>
      <c r="J174" s="2705"/>
      <c r="K174" s="2705"/>
      <c r="L174" s="2706"/>
      <c r="M174" s="2705"/>
      <c r="N174" s="2705"/>
      <c r="O174" s="2706"/>
      <c r="P174" s="2705"/>
      <c r="Q174" s="2705"/>
      <c r="R174" s="2707"/>
    </row>
    <row r="175" spans="2:18" s="901" customFormat="1">
      <c r="B175" s="2705"/>
      <c r="C175" s="2705"/>
      <c r="D175" s="2705"/>
      <c r="E175" s="2705"/>
      <c r="F175" s="2705"/>
      <c r="G175" s="2706"/>
      <c r="H175" s="2705"/>
      <c r="I175" s="2706"/>
      <c r="J175" s="2705"/>
      <c r="K175" s="2705"/>
      <c r="L175" s="2706"/>
      <c r="M175" s="2705"/>
      <c r="N175" s="2705"/>
      <c r="O175" s="2706"/>
      <c r="P175" s="2705"/>
      <c r="Q175" s="2705"/>
      <c r="R175" s="2707"/>
    </row>
    <row r="176" spans="2:18" s="901" customFormat="1">
      <c r="B176" s="2705"/>
      <c r="C176" s="2705"/>
      <c r="D176" s="2705"/>
      <c r="E176" s="2705"/>
      <c r="F176" s="2705"/>
      <c r="G176" s="2706"/>
      <c r="H176" s="2705"/>
      <c r="I176" s="2706"/>
      <c r="J176" s="2705"/>
      <c r="K176" s="2705"/>
      <c r="L176" s="2706"/>
      <c r="M176" s="2705"/>
      <c r="N176" s="2705"/>
      <c r="O176" s="2706"/>
      <c r="P176" s="2705"/>
      <c r="Q176" s="2705"/>
      <c r="R176" s="2707"/>
    </row>
    <row r="177" spans="1:18" s="901" customFormat="1">
      <c r="B177" s="2705"/>
      <c r="C177" s="2705"/>
      <c r="D177" s="2705"/>
      <c r="E177" s="2705"/>
      <c r="F177" s="2705"/>
      <c r="G177" s="2706"/>
      <c r="H177" s="2705"/>
      <c r="I177" s="2706"/>
      <c r="J177" s="2705"/>
      <c r="K177" s="2705"/>
      <c r="L177" s="2706"/>
      <c r="M177" s="2705"/>
      <c r="N177" s="2705"/>
      <c r="O177" s="2706"/>
      <c r="P177" s="2705"/>
      <c r="Q177" s="2705"/>
      <c r="R177" s="2707"/>
    </row>
    <row r="178" spans="1:18" s="901" customFormat="1">
      <c r="B178" s="2705"/>
      <c r="C178" s="2705"/>
      <c r="D178" s="2705"/>
      <c r="E178" s="2705"/>
      <c r="F178" s="2705"/>
      <c r="G178" s="2706"/>
      <c r="H178" s="2705"/>
      <c r="I178" s="2706"/>
      <c r="J178" s="2705"/>
      <c r="K178" s="2705"/>
      <c r="L178" s="2706"/>
      <c r="M178" s="2705"/>
      <c r="N178" s="2705"/>
      <c r="O178" s="2706"/>
      <c r="P178" s="2705"/>
      <c r="Q178" s="2705"/>
      <c r="R178" s="2707"/>
    </row>
    <row r="179" spans="1:18" s="901" customFormat="1">
      <c r="B179" s="2705"/>
      <c r="C179" s="2705"/>
      <c r="D179" s="2705"/>
      <c r="E179" s="2705"/>
      <c r="F179" s="2705"/>
      <c r="G179" s="2706"/>
      <c r="H179" s="2705"/>
      <c r="I179" s="2706"/>
      <c r="J179" s="2705"/>
      <c r="K179" s="2705"/>
      <c r="L179" s="2706"/>
      <c r="M179" s="2705"/>
      <c r="N179" s="2705"/>
      <c r="O179" s="2706"/>
      <c r="P179" s="2705"/>
      <c r="Q179" s="2705"/>
      <c r="R179" s="2707"/>
    </row>
    <row r="180" spans="1:18" s="901" customFormat="1">
      <c r="B180" s="2705"/>
      <c r="C180" s="2705"/>
      <c r="D180" s="2705"/>
      <c r="E180" s="2705"/>
      <c r="F180" s="2705"/>
      <c r="G180" s="2706"/>
      <c r="H180" s="2705"/>
      <c r="I180" s="2706"/>
      <c r="J180" s="2705"/>
      <c r="K180" s="2705"/>
      <c r="L180" s="2706"/>
      <c r="M180" s="2705"/>
      <c r="N180" s="2705"/>
      <c r="O180" s="2706"/>
      <c r="P180" s="2705"/>
      <c r="Q180" s="2705"/>
      <c r="R180" s="2707"/>
    </row>
    <row r="181" spans="1:18" s="901" customFormat="1">
      <c r="B181" s="2705"/>
      <c r="C181" s="2705"/>
      <c r="D181" s="2705"/>
      <c r="E181" s="2705"/>
      <c r="F181" s="2705"/>
      <c r="G181" s="2706"/>
      <c r="H181" s="2705"/>
      <c r="I181" s="2706"/>
      <c r="J181" s="2705"/>
      <c r="K181" s="2705"/>
      <c r="L181" s="2706"/>
      <c r="M181" s="2705"/>
      <c r="N181" s="2705"/>
      <c r="O181" s="2706"/>
      <c r="P181" s="2705"/>
      <c r="Q181" s="2705"/>
      <c r="R181" s="2707"/>
    </row>
    <row r="182" spans="1:18" s="901" customFormat="1">
      <c r="B182" s="2705"/>
      <c r="C182" s="2705"/>
      <c r="D182" s="2705"/>
      <c r="E182" s="2705"/>
      <c r="F182" s="2705"/>
      <c r="G182" s="2706"/>
      <c r="H182" s="2705"/>
      <c r="I182" s="2706"/>
      <c r="J182" s="2705"/>
      <c r="K182" s="2705"/>
      <c r="L182" s="2706"/>
      <c r="M182" s="2705"/>
      <c r="N182" s="2705"/>
      <c r="O182" s="2706"/>
      <c r="P182" s="2705"/>
      <c r="Q182" s="2705"/>
      <c r="R182" s="2707"/>
    </row>
    <row r="183" spans="1:18" s="901" customFormat="1">
      <c r="B183" s="2705"/>
      <c r="C183" s="2705"/>
      <c r="D183" s="2705"/>
      <c r="E183" s="2705"/>
      <c r="F183" s="2705"/>
      <c r="G183" s="2706"/>
      <c r="H183" s="2705"/>
      <c r="I183" s="2706"/>
      <c r="J183" s="2705"/>
      <c r="K183" s="2705"/>
      <c r="L183" s="2706"/>
      <c r="M183" s="2705"/>
      <c r="N183" s="2705"/>
      <c r="O183" s="2706"/>
      <c r="P183" s="2705"/>
      <c r="Q183" s="2705"/>
      <c r="R183" s="2707"/>
    </row>
    <row r="184" spans="1:18" s="901" customFormat="1">
      <c r="B184" s="2705"/>
      <c r="C184" s="2705"/>
      <c r="D184" s="2705"/>
      <c r="E184" s="2705"/>
      <c r="F184" s="2705"/>
      <c r="G184" s="2706"/>
      <c r="H184" s="2705"/>
      <c r="I184" s="2706"/>
      <c r="J184" s="2705"/>
      <c r="K184" s="2705"/>
      <c r="L184" s="2706"/>
      <c r="M184" s="2705"/>
      <c r="N184" s="2705"/>
      <c r="O184" s="2706"/>
      <c r="P184" s="2705"/>
      <c r="Q184" s="2705"/>
      <c r="R184" s="2707"/>
    </row>
    <row r="185" spans="1:18" s="901"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1"/>
      <c r="B186" s="2705"/>
      <c r="C186" s="2705"/>
      <c r="E186" s="2705"/>
      <c r="F186" s="2705"/>
      <c r="G186" s="2706"/>
    </row>
    <row r="187" spans="1:18">
      <c r="A187" s="901"/>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7" sqref="G17"/>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998.81000000000006</v>
      </c>
      <c r="C1" s="2902"/>
      <c r="D1" s="2902"/>
      <c r="E1" s="2902"/>
      <c r="F1" s="2902"/>
      <c r="G1" s="2903"/>
      <c r="H1" s="2904"/>
      <c r="I1" s="2904"/>
      <c r="J1" s="2904"/>
      <c r="K1" s="2904"/>
    </row>
    <row r="2" spans="1:11" ht="16.5">
      <c r="A2" s="2726" t="s">
        <v>1319</v>
      </c>
      <c r="B2" s="2726">
        <f>SUM(C14:C23)</f>
        <v>0</v>
      </c>
      <c r="C2" s="2902"/>
      <c r="D2" s="2902"/>
      <c r="E2" s="2902"/>
      <c r="F2" s="2902"/>
      <c r="G2" s="2903"/>
      <c r="H2" s="2904"/>
      <c r="I2" s="2904"/>
      <c r="J2" s="2904"/>
      <c r="K2" s="2904"/>
    </row>
    <row r="3" spans="1:11" ht="16.5">
      <c r="A3" s="2726" t="s">
        <v>1328</v>
      </c>
      <c r="B3" s="2728">
        <f>项目基本情况!D3</f>
        <v>44523</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2338</v>
      </c>
      <c r="C5" s="2726">
        <f ca="1">ROUND(B5*10000/$B$1,0)</f>
        <v>23408</v>
      </c>
      <c r="D5" s="2726" t="e">
        <f ca="1">ROUND(B5*10000/$B$2,0)</f>
        <v>#DIV/0!</v>
      </c>
      <c r="E5" s="2902"/>
      <c r="F5" s="2903"/>
      <c r="G5" s="2903"/>
      <c r="H5" s="2904"/>
      <c r="I5" s="2904"/>
      <c r="J5" s="2904"/>
      <c r="K5" s="2904"/>
    </row>
    <row r="6" spans="1:11" ht="16.5">
      <c r="A6" s="2726" t="s">
        <v>1322</v>
      </c>
      <c r="B6" s="2726">
        <f>SUM(G14:G23)</f>
        <v>0</v>
      </c>
      <c r="C6" s="2726">
        <f>ROUND(B6*10000/$B$1,0)</f>
        <v>0</v>
      </c>
      <c r="D6" s="2726" t="e">
        <f>ROUND(B6*10000/$B$2,0)</f>
        <v>#DIV/0!</v>
      </c>
      <c r="E6" s="2902"/>
      <c r="F6" s="2903"/>
      <c r="G6" s="2903"/>
      <c r="H6" s="2904"/>
      <c r="I6" s="2904"/>
      <c r="J6" s="2904"/>
      <c r="K6" s="2904"/>
    </row>
    <row r="7" spans="1:11" ht="16.5">
      <c r="A7" s="2726" t="s">
        <v>1330</v>
      </c>
      <c r="B7" s="2726">
        <f ca="1">SUM(H14:H23)</f>
        <v>2338</v>
      </c>
      <c r="C7" s="2726">
        <f ca="1">ROUND(B7*10000/$B$1,0)</f>
        <v>23408</v>
      </c>
      <c r="D7" s="2726" t="e">
        <f ca="1">ROUND(B7*10000/$B$2,0)</f>
        <v>#DIV/0!</v>
      </c>
      <c r="E7" s="2902"/>
      <c r="F7" s="2903"/>
      <c r="G7" s="2903"/>
      <c r="H7" s="2904"/>
      <c r="I7" s="2904"/>
      <c r="J7" s="2904"/>
      <c r="K7" s="2904"/>
    </row>
    <row r="8" spans="1:11" ht="16.5">
      <c r="A8" s="2726" t="s">
        <v>1252</v>
      </c>
      <c r="B8" s="2726">
        <f>SUM(I14:I23)</f>
        <v>0</v>
      </c>
      <c r="C8" s="2726">
        <f>ROUND(B8*10000/$B$1,0)</f>
        <v>0</v>
      </c>
      <c r="D8" s="2726" t="e">
        <f>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结果表!B118</f>
        <v>998.81000000000006</v>
      </c>
      <c r="C14" s="2732">
        <f>结果表!C118</f>
        <v>0</v>
      </c>
      <c r="D14" s="2732">
        <f ca="1">结果表!H118</f>
        <v>2338</v>
      </c>
      <c r="E14" s="2732">
        <f ca="1">ROUND(D14*10000/B14,0)</f>
        <v>23408</v>
      </c>
      <c r="F14" s="2732" t="e">
        <f ca="1">ROUND(D14*10000/C14,0)</f>
        <v>#DIV/0!</v>
      </c>
      <c r="G14" s="2732" t="str">
        <f>结果表!D122</f>
        <v>——</v>
      </c>
      <c r="H14" s="2732">
        <f ca="1">结果表!D124</f>
        <v>2338</v>
      </c>
      <c r="I14" s="2732" t="str">
        <f>结果表!D126</f>
        <v>——</v>
      </c>
      <c r="J14" s="2903"/>
      <c r="K14" s="2904"/>
    </row>
    <row r="15" spans="1:11" ht="16.5">
      <c r="A15" s="2731" t="s">
        <v>1315</v>
      </c>
      <c r="B15" s="2733"/>
      <c r="C15" s="2733"/>
      <c r="D15" s="2733"/>
      <c r="E15" s="2732" t="e">
        <f t="shared" ref="E15:E23" si="0">ROUND(D15*10000/B15,0)</f>
        <v>#DIV/0!</v>
      </c>
      <c r="F15" s="2732" t="e">
        <f t="shared" ref="F15:F23" si="1">ROUND(D15*10000/C15,0)</f>
        <v>#DIV/0!</v>
      </c>
      <c r="G15" s="1491"/>
      <c r="H15" s="1491"/>
      <c r="I15" s="2733"/>
      <c r="J15" s="2903"/>
      <c r="K15" s="2904"/>
    </row>
    <row r="16" spans="1:11" ht="16.5">
      <c r="A16" s="2731" t="s">
        <v>1314</v>
      </c>
      <c r="B16" s="2733"/>
      <c r="C16" s="2733"/>
      <c r="D16" s="2733"/>
      <c r="E16" s="2732" t="e">
        <f t="shared" si="0"/>
        <v>#DIV/0!</v>
      </c>
      <c r="F16" s="2732" t="e">
        <f t="shared" si="1"/>
        <v>#DIV/0!</v>
      </c>
      <c r="G16" s="1491"/>
      <c r="H16" s="1491"/>
      <c r="I16" s="2733"/>
      <c r="J16" s="2904"/>
      <c r="K16" s="2904"/>
    </row>
    <row r="17" spans="1:11" ht="16.5">
      <c r="A17" s="2731" t="s">
        <v>1313</v>
      </c>
      <c r="B17" s="2733"/>
      <c r="C17" s="2733"/>
      <c r="D17" s="2733"/>
      <c r="E17" s="2732" t="e">
        <f t="shared" si="0"/>
        <v>#DIV/0!</v>
      </c>
      <c r="F17" s="2732" t="e">
        <f t="shared" si="1"/>
        <v>#DIV/0!</v>
      </c>
      <c r="G17" s="1491"/>
      <c r="H17" s="1491"/>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34" zoomScaleNormal="100" zoomScaleSheetLayoutView="100" zoomScalePageLayoutView="80" workbookViewId="0">
      <selection activeCell="H103" sqref="H103"/>
    </sheetView>
  </sheetViews>
  <sheetFormatPr defaultColWidth="12.625" defaultRowHeight="21.75" customHeight="1"/>
  <cols>
    <col min="1" max="2" width="12.625" style="1928"/>
    <col min="3" max="4" width="12.625" style="1928" customWidth="1"/>
    <col min="5" max="9" width="12.625" style="1928"/>
    <col min="10" max="11" width="12.625" style="734" customWidth="1"/>
    <col min="12" max="12" width="12.625" style="734"/>
    <col min="13" max="13" width="14.125" style="734" bestFit="1" customWidth="1"/>
    <col min="14" max="26" width="12.625" style="734"/>
    <col min="27" max="35" width="12.625" style="1927"/>
    <col min="36" max="16384" width="12.625" style="1928"/>
  </cols>
  <sheetData>
    <row r="1" spans="1:12" ht="21.75" customHeight="1" thickBot="1">
      <c r="A1" s="1812" t="s">
        <v>1947</v>
      </c>
      <c r="B1" s="1922"/>
      <c r="C1" s="1923"/>
      <c r="D1" s="1922"/>
      <c r="E1" s="1922"/>
      <c r="F1" s="1924" t="s">
        <v>1948</v>
      </c>
      <c r="G1" s="1736"/>
      <c r="H1" s="1925" t="str">
        <f>IF(G1="现房","——","估价对象范围")</f>
        <v>估价对象范围</v>
      </c>
      <c r="I1" s="1926"/>
    </row>
    <row r="2" spans="1:12" ht="21.75" customHeight="1" thickBot="1">
      <c r="A2" s="3359" t="str">
        <f>项目基本情况!S2</f>
        <v>北京市丰台区丰仪路1号院1号楼1至2层101房地产</v>
      </c>
      <c r="B2" s="3360"/>
      <c r="C2" s="3360"/>
      <c r="D2" s="3360"/>
      <c r="E2" s="3360"/>
      <c r="F2" s="3360"/>
      <c r="G2" s="3360"/>
      <c r="H2" s="3360"/>
      <c r="I2" s="3361"/>
    </row>
    <row r="3" spans="1:12" ht="12.75">
      <c r="A3" s="3363" t="s">
        <v>1949</v>
      </c>
      <c r="B3" s="3364"/>
      <c r="C3" s="3364"/>
      <c r="D3" s="3364"/>
      <c r="E3" s="3364"/>
      <c r="F3" s="3364"/>
      <c r="G3" s="3364"/>
      <c r="H3" s="3364"/>
      <c r="I3" s="3364"/>
    </row>
    <row r="4" spans="1:12" ht="14.25">
      <c r="A4" s="1929" t="s">
        <v>1950</v>
      </c>
      <c r="B4" s="1930" t="s">
        <v>1951</v>
      </c>
      <c r="C4" s="1931" t="s">
        <v>3417</v>
      </c>
      <c r="D4" s="1931" t="s">
        <v>3453</v>
      </c>
      <c r="E4" s="3368" t="s">
        <v>1952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04" t="s">
        <v>1953</v>
      </c>
      <c r="B5" s="3362">
        <v>25</v>
      </c>
      <c r="C5" s="3365"/>
      <c r="D5" s="3353"/>
      <c r="E5" s="136" t="s">
        <v>1954</v>
      </c>
      <c r="F5" s="1932"/>
      <c r="G5" s="1932"/>
      <c r="H5" s="1932"/>
      <c r="I5" s="1547"/>
    </row>
    <row r="6" spans="1:12" ht="12.75">
      <c r="A6" s="3304"/>
      <c r="B6" s="3362"/>
      <c r="C6" s="3367"/>
      <c r="D6" s="3353"/>
      <c r="E6" s="136" t="s">
        <v>1955</v>
      </c>
      <c r="F6" s="1932"/>
      <c r="G6" s="1932"/>
      <c r="H6" s="1932"/>
      <c r="I6" s="1547"/>
    </row>
    <row r="7" spans="1:12" ht="12.75">
      <c r="A7" s="3304"/>
      <c r="B7" s="3362"/>
      <c r="C7" s="3366"/>
      <c r="D7" s="3353"/>
      <c r="E7" s="136" t="s">
        <v>1956</v>
      </c>
      <c r="F7" s="1932"/>
      <c r="G7" s="1932"/>
      <c r="H7" s="1932"/>
      <c r="I7" s="1547"/>
    </row>
    <row r="8" spans="1:12" ht="12.75">
      <c r="A8" s="3304" t="s">
        <v>1957</v>
      </c>
      <c r="B8" s="3362">
        <v>15</v>
      </c>
      <c r="C8" s="3365"/>
      <c r="D8" s="3353"/>
      <c r="E8" s="136" t="s">
        <v>1958</v>
      </c>
      <c r="F8" s="1932"/>
      <c r="G8" s="1932"/>
      <c r="H8" s="1932"/>
      <c r="I8" s="1547"/>
    </row>
    <row r="9" spans="1:12" ht="12.75">
      <c r="A9" s="3304"/>
      <c r="B9" s="3362"/>
      <c r="C9" s="3366"/>
      <c r="D9" s="3353"/>
      <c r="E9" s="136" t="s">
        <v>1959</v>
      </c>
      <c r="F9" s="1932"/>
      <c r="G9" s="1932"/>
      <c r="H9" s="1932"/>
      <c r="I9" s="1547"/>
    </row>
    <row r="10" spans="1:12" ht="12.75">
      <c r="A10" s="3304" t="s">
        <v>1960</v>
      </c>
      <c r="B10" s="3362">
        <v>15</v>
      </c>
      <c r="C10" s="3365"/>
      <c r="D10" s="3353"/>
      <c r="E10" s="136" t="s">
        <v>1961</v>
      </c>
      <c r="F10" s="1932"/>
      <c r="G10" s="1932"/>
      <c r="H10" s="1932"/>
      <c r="I10" s="1547"/>
    </row>
    <row r="11" spans="1:12" ht="12.75">
      <c r="A11" s="3304"/>
      <c r="B11" s="3362"/>
      <c r="C11" s="3366"/>
      <c r="D11" s="3353"/>
      <c r="E11" s="136" t="s">
        <v>1962</v>
      </c>
      <c r="F11" s="1932"/>
      <c r="G11" s="1932"/>
      <c r="H11" s="1932"/>
      <c r="I11" s="1547"/>
    </row>
    <row r="12" spans="1:12" ht="12.75">
      <c r="A12" s="3304" t="s">
        <v>1963</v>
      </c>
      <c r="B12" s="3362">
        <v>15</v>
      </c>
      <c r="C12" s="3365"/>
      <c r="D12" s="3353"/>
      <c r="E12" s="136" t="s">
        <v>1964</v>
      </c>
      <c r="F12" s="1932"/>
      <c r="G12" s="1932"/>
      <c r="H12" s="1932"/>
      <c r="I12" s="1547"/>
    </row>
    <row r="13" spans="1:12" ht="12.75">
      <c r="A13" s="3304"/>
      <c r="B13" s="3362"/>
      <c r="C13" s="3366"/>
      <c r="D13" s="3353"/>
      <c r="E13" s="136" t="s">
        <v>1965</v>
      </c>
      <c r="F13" s="1932"/>
      <c r="G13" s="1932"/>
      <c r="H13" s="1932"/>
      <c r="I13" s="1547"/>
    </row>
    <row r="14" spans="1:12" ht="12.75">
      <c r="A14" s="3304" t="s">
        <v>1966</v>
      </c>
      <c r="B14" s="3362">
        <v>30</v>
      </c>
      <c r="C14" s="3365">
        <v>7</v>
      </c>
      <c r="D14" s="3353">
        <v>3</v>
      </c>
      <c r="E14" s="136" t="s">
        <v>1967</v>
      </c>
      <c r="F14" s="1932"/>
      <c r="G14" s="1932"/>
      <c r="H14" s="1932"/>
      <c r="I14" s="1547"/>
    </row>
    <row r="15" spans="1:12" ht="12.75">
      <c r="A15" s="3304"/>
      <c r="B15" s="3362"/>
      <c r="C15" s="3367"/>
      <c r="D15" s="3353"/>
      <c r="E15" s="136" t="s">
        <v>1968</v>
      </c>
      <c r="F15" s="1932"/>
      <c r="G15" s="1932"/>
      <c r="H15" s="1932"/>
      <c r="I15" s="1547"/>
    </row>
    <row r="16" spans="1:12" ht="12.75">
      <c r="A16" s="3304"/>
      <c r="B16" s="3362"/>
      <c r="C16" s="3366"/>
      <c r="D16" s="3353"/>
      <c r="E16" s="136" t="s">
        <v>1969</v>
      </c>
      <c r="F16" s="1932"/>
      <c r="G16" s="1932"/>
      <c r="H16" s="1932"/>
      <c r="I16" s="1547"/>
    </row>
    <row r="17" spans="1:36" ht="15">
      <c r="A17" s="1933" t="s">
        <v>1970</v>
      </c>
      <c r="B17" s="60"/>
      <c r="C17" s="137">
        <f>SUM(C5:C16)</f>
        <v>7</v>
      </c>
      <c r="D17" s="137">
        <f>SUM(D5:D16)</f>
        <v>3</v>
      </c>
      <c r="E17" s="134"/>
      <c r="F17" s="134"/>
      <c r="G17" s="134"/>
      <c r="H17" s="134"/>
      <c r="I17" s="134"/>
      <c r="K17" s="308"/>
      <c r="L17" s="308" t="s">
        <v>1971</v>
      </c>
      <c r="M17" s="308" t="s">
        <v>1972</v>
      </c>
    </row>
    <row r="18" spans="1:36" ht="31.9" customHeight="1" thickBot="1">
      <c r="A18" s="1934" t="s">
        <v>1973</v>
      </c>
      <c r="B18" s="1935"/>
      <c r="C18" s="138">
        <f>ROUND(C17/SUM(C17:D17),2)</f>
        <v>0.7</v>
      </c>
      <c r="D18" s="138">
        <f>1-C18</f>
        <v>0.30000000000000004</v>
      </c>
      <c r="E18" s="3384" t="s">
        <v>2865</v>
      </c>
      <c r="F18" s="3385"/>
      <c r="G18" s="3385"/>
      <c r="H18" s="3385"/>
      <c r="I18" s="3385"/>
      <c r="K18" s="308" t="s">
        <v>1974</v>
      </c>
      <c r="L18" s="308">
        <f>IF(C1="",'数据-汇总表'!E3,SUMIF(项目类型,C1,'数据-汇总表'!E17:E26)+SUMIF(项目类型,C1,'数据-汇总表'!I17:I26))</f>
        <v>998.81000000000006</v>
      </c>
      <c r="M18" s="308">
        <f>IF(C1="",'数据-汇总表'!E3,SUMIF(项目类型,C1,'数据-汇总表'!E17:E26))</f>
        <v>998.81000000000006</v>
      </c>
    </row>
    <row r="19" spans="1:36" ht="15">
      <c r="A19" s="1936" t="s">
        <v>1975</v>
      </c>
      <c r="B19" s="1937" t="s">
        <v>1976</v>
      </c>
      <c r="C19" s="139">
        <f ca="1">SUMIF(INDIRECT("'"&amp;C4&amp;"'"&amp;"!A:A"),结果表!B19,INDIRECT("'"&amp;C4&amp;"'"&amp;"!B:B"))</f>
        <v>2785</v>
      </c>
      <c r="D19" s="140">
        <f ca="1">SUMIF(INDIRECT("'"&amp;D4&amp;"'"&amp;"!A:A"),结果表!B19,INDIRECT("'"&amp;D4&amp;"'"&amp;"!B:B"))</f>
        <v>1296</v>
      </c>
      <c r="E19" s="1936" t="s">
        <v>1977</v>
      </c>
      <c r="F19" s="1937" t="s">
        <v>1976</v>
      </c>
      <c r="G19" s="141">
        <f ca="1">ROUND(C19*$C$18+D19*$D$18,0)</f>
        <v>2338</v>
      </c>
      <c r="H19" s="193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39"/>
      <c r="B20" s="1149" t="s">
        <v>1980</v>
      </c>
      <c r="C20" s="142">
        <f ca="1">SUMIF(INDIRECT("'"&amp;C4&amp;"'"&amp;"!A:A"),结果表!B20,INDIRECT("'"&amp;C4&amp;"'"&amp;"!B:B"))</f>
        <v>27883</v>
      </c>
      <c r="D20" s="143">
        <f ca="1">SUMIF(INDIRECT("'"&amp;D4&amp;"'"&amp;"!A:A"),结果表!B20,INDIRECT("'"&amp;D4&amp;"'"&amp;"!B:B"))</f>
        <v>12975</v>
      </c>
      <c r="E20" s="1939"/>
      <c r="F20" s="1149" t="s">
        <v>1980</v>
      </c>
      <c r="G20" s="144">
        <f ca="1">ROUND(C20*$C$18+D20*$D$18,0)</f>
        <v>23411</v>
      </c>
      <c r="H20" s="911" t="s">
        <v>1981</v>
      </c>
      <c r="I20" s="134"/>
    </row>
    <row r="21" spans="1:36" ht="15" customHeight="1" thickBot="1">
      <c r="A21" s="931"/>
      <c r="B21" s="1940" t="s">
        <v>1982</v>
      </c>
      <c r="C21" s="728" t="e">
        <f ca="1">ROUND(C19*10000/L19,0)</f>
        <v>#DIV/0!</v>
      </c>
      <c r="D21" s="729" t="e">
        <f ca="1">ROUND(D19*10000/L19,0)</f>
        <v>#DIV/0!</v>
      </c>
      <c r="E21" s="931"/>
      <c r="F21" s="1940" t="s">
        <v>1982</v>
      </c>
      <c r="G21" s="145" t="e">
        <f ca="1">ROUND(G19*10000/L19,0)</f>
        <v>#DIV/0!</v>
      </c>
      <c r="H21" s="1941" t="s">
        <v>1981</v>
      </c>
      <c r="I21" s="134"/>
    </row>
    <row r="22" spans="1:36" ht="15" thickBot="1">
      <c r="A22" s="1863" t="s">
        <v>1983</v>
      </c>
      <c r="B22" s="1942"/>
      <c r="C22" s="1943"/>
      <c r="D22" s="730">
        <f ca="1">IF(C19&lt;D19,D19/C19-1,C19/D19-1)</f>
        <v>1.1489197530864197</v>
      </c>
      <c r="E22" s="134"/>
      <c r="F22" s="134"/>
      <c r="G22" s="134"/>
      <c r="H22" s="134"/>
      <c r="I22" s="134"/>
    </row>
    <row r="23" spans="1:36" ht="13.5" thickBot="1">
      <c r="A23" s="1922"/>
      <c r="B23" s="1922"/>
      <c r="C23" s="1922"/>
      <c r="D23" s="1922"/>
      <c r="E23" s="134"/>
      <c r="F23" s="134"/>
      <c r="G23" s="134"/>
      <c r="H23" s="134"/>
      <c r="I23" s="134"/>
    </row>
    <row r="24" spans="1:36" ht="14.25">
      <c r="A24" s="3377" t="s">
        <v>1984</v>
      </c>
      <c r="B24" s="1937" t="s">
        <v>1976</v>
      </c>
      <c r="C24" s="141">
        <f>IF(B30=0,0,D30)</f>
        <v>0</v>
      </c>
      <c r="D24" s="1944"/>
      <c r="E24" s="134"/>
      <c r="F24" s="134"/>
      <c r="G24" s="134">
        <f ca="1">G20/0.71</f>
        <v>32973.239436619719</v>
      </c>
      <c r="H24" s="134"/>
      <c r="I24" s="134"/>
    </row>
    <row r="25" spans="1:36" ht="14.25">
      <c r="A25" s="3378"/>
      <c r="B25" s="1149" t="s">
        <v>1980</v>
      </c>
      <c r="C25" s="146">
        <f>IF(B30=0,0,C30)</f>
        <v>0</v>
      </c>
      <c r="D25" s="1945"/>
      <c r="E25" s="134"/>
      <c r="F25" s="134"/>
      <c r="G25" s="134"/>
      <c r="H25" s="134"/>
      <c r="I25" s="134"/>
    </row>
    <row r="26" spans="1:36" ht="13.5" customHeight="1">
      <c r="A26" s="1946" t="s">
        <v>1985</v>
      </c>
      <c r="B26" s="147" t="s">
        <v>1986</v>
      </c>
      <c r="C26" s="147" t="s">
        <v>1987</v>
      </c>
      <c r="D26" s="148" t="s">
        <v>1988</v>
      </c>
      <c r="E26" s="134"/>
      <c r="F26" s="134"/>
      <c r="G26" s="134"/>
      <c r="H26" s="134"/>
      <c r="I26" s="134"/>
    </row>
    <row r="27" spans="1:36" ht="14.25">
      <c r="A27" s="1946"/>
      <c r="B27" s="147">
        <v>0</v>
      </c>
      <c r="C27" s="147">
        <v>0</v>
      </c>
      <c r="D27" s="148">
        <f>ROUND(C27*B27/10000,0)</f>
        <v>0</v>
      </c>
      <c r="E27" s="134"/>
      <c r="F27" s="134"/>
      <c r="G27" s="134"/>
      <c r="H27" s="134"/>
      <c r="I27" s="134"/>
    </row>
    <row r="28" spans="1:36" ht="14.25">
      <c r="A28" s="1946"/>
      <c r="B28" s="147"/>
      <c r="C28" s="147"/>
      <c r="D28" s="148"/>
      <c r="E28" s="134"/>
      <c r="F28" s="134"/>
      <c r="G28" s="134"/>
      <c r="H28" s="134"/>
      <c r="I28" s="134"/>
    </row>
    <row r="29" spans="1:36" ht="14.25">
      <c r="A29" s="1946"/>
      <c r="B29" s="147"/>
      <c r="C29" s="147"/>
      <c r="D29" s="148"/>
      <c r="E29" s="134"/>
      <c r="F29" s="134"/>
      <c r="G29" s="134"/>
      <c r="H29" s="134"/>
      <c r="I29" s="134"/>
    </row>
    <row r="30" spans="1:36" ht="15" thickBot="1">
      <c r="A30" s="147" t="s">
        <v>1989</v>
      </c>
      <c r="B30" s="147"/>
      <c r="C30" s="147"/>
      <c r="D30" s="147"/>
      <c r="E30" s="2510" t="s">
        <v>2866</v>
      </c>
      <c r="F30" s="134"/>
      <c r="G30" s="134"/>
      <c r="H30" s="134"/>
      <c r="I30" s="134"/>
    </row>
    <row r="31" spans="1:36" s="2516" customFormat="1" ht="26.45" customHeight="1" thickTop="1" thickBot="1">
      <c r="A31" s="2511"/>
      <c r="B31" s="2512"/>
      <c r="C31" s="2512"/>
      <c r="D31" s="2512"/>
      <c r="E31" s="2512"/>
      <c r="F31" s="2512"/>
      <c r="G31" s="2512"/>
      <c r="H31" s="2512"/>
      <c r="I31" s="2513" t="s">
        <v>2867</v>
      </c>
      <c r="J31" s="2905"/>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8" t="s">
        <v>1990</v>
      </c>
      <c r="B32" s="1949"/>
      <c r="C32" s="149">
        <f ca="1">IF(D32="总价",G19-C24,G20-C25)</f>
        <v>2338</v>
      </c>
      <c r="D32" s="1950" t="s">
        <v>3307</v>
      </c>
      <c r="E32" s="134"/>
      <c r="F32" s="134"/>
      <c r="G32" s="134"/>
      <c r="H32" s="134"/>
      <c r="I32" s="134"/>
    </row>
    <row r="33" spans="1:15" ht="15">
      <c r="A33" s="888" t="s">
        <v>1991</v>
      </c>
      <c r="B33" s="1951"/>
      <c r="C33" s="1952" t="s">
        <v>3308</v>
      </c>
      <c r="D33" s="1953" t="s">
        <v>3306</v>
      </c>
      <c r="E33" s="1954" t="s">
        <v>1992</v>
      </c>
      <c r="F33" s="1955" t="str">
        <f>IF(D32="楼面单价","取值（单价）","取值（总价）")</f>
        <v>取值（总价）</v>
      </c>
      <c r="G33" s="134"/>
      <c r="H33" s="134"/>
      <c r="I33" s="134"/>
    </row>
    <row r="34" spans="1:15" ht="15">
      <c r="A34" s="1956"/>
      <c r="B34" s="1957" t="s">
        <v>1993</v>
      </c>
      <c r="C34" s="153">
        <f ca="1">IF(C33="自定义",F34,C32-C35)</f>
        <v>1931</v>
      </c>
      <c r="D34" s="964">
        <f ca="1">IF(C33="自定义",ROUND(C34/C32,3),IF(C33="收益比率",SUMIF(INDIRECT("'"&amp;D33&amp;"'"&amp;"!b:b"),"土地收益比率",INDIRECT("'"&amp;D33&amp;"'"&amp;"!c:c")),SUMIF(INDIRECT("'"&amp;D33&amp;"'"&amp;"!b:b"),"土地成本比率",INDIRECT("'"&amp;D33&amp;"'"&amp;"!c:c"))))</f>
        <v>0.82600000000000007</v>
      </c>
      <c r="E34" s="1958" t="s">
        <v>1994</v>
      </c>
      <c r="F34" s="1489"/>
      <c r="G34" s="134"/>
      <c r="H34" s="134"/>
      <c r="I34" s="134"/>
    </row>
    <row r="35" spans="1:15" ht="15.75" thickBot="1">
      <c r="A35" s="1959"/>
      <c r="B35" s="1960" t="s">
        <v>1995</v>
      </c>
      <c r="C35" s="1324">
        <f ca="1">IF(C33="自定义",F35,ROUND(C32*D35,0))</f>
        <v>407</v>
      </c>
      <c r="D35" s="1325">
        <f ca="1">IF(C33="自定义",ROUND(C35/C32,3),IF(C33="收益比率",SUMIF(INDIRECT("'"&amp;D33&amp;"'"&amp;"!b:b"),"建筑物收益比率",INDIRECT("'"&amp;D33&amp;"'"&amp;"!c:c")),SUMIF(INDIRECT("'"&amp;D33&amp;"'"&amp;"!b:b"),"建筑物成本比率",INDIRECT("'"&amp;D33&amp;"'"&amp;"!c:c"))))</f>
        <v>0.17399999999999999</v>
      </c>
      <c r="E35" s="1961" t="s">
        <v>1996</v>
      </c>
      <c r="F35" s="159"/>
      <c r="G35" s="134"/>
      <c r="H35" s="134"/>
      <c r="I35" s="134"/>
    </row>
    <row r="36" spans="1:15" ht="15.75" thickBot="1">
      <c r="A36" s="3354" t="s">
        <v>1997</v>
      </c>
      <c r="B36" s="1962" t="s">
        <v>1998</v>
      </c>
      <c r="C36" s="150">
        <f>479.4+760.4+264.6+673.2</f>
        <v>2177.6000000000004</v>
      </c>
      <c r="D36" s="1963" t="s">
        <v>3457</v>
      </c>
      <c r="E36" s="1964"/>
      <c r="F36" s="1965"/>
      <c r="G36" s="134"/>
      <c r="H36" s="134"/>
      <c r="I36" s="134"/>
    </row>
    <row r="37" spans="1:15" ht="15.75" thickBot="1">
      <c r="A37" s="3355"/>
      <c r="B37" s="1849" t="s">
        <v>1999</v>
      </c>
      <c r="C37" s="152"/>
      <c r="D37" s="1293"/>
      <c r="E37" s="1293"/>
      <c r="F37" s="1965"/>
      <c r="G37" s="134"/>
      <c r="H37" s="134"/>
      <c r="I37" s="134"/>
    </row>
    <row r="38" spans="1:15" ht="15.75" thickBot="1">
      <c r="A38" s="3356"/>
      <c r="B38" s="1966" t="s">
        <v>2000</v>
      </c>
      <c r="C38" s="683"/>
      <c r="D38" s="1967" t="s">
        <v>2001</v>
      </c>
      <c r="E38" s="1293"/>
      <c r="F38" s="1965"/>
      <c r="G38" s="134"/>
      <c r="H38" s="134"/>
      <c r="I38" s="134"/>
    </row>
    <row r="39" spans="1:15" ht="15">
      <c r="A39" s="1939" t="s">
        <v>2002</v>
      </c>
      <c r="B39" s="1968" t="s">
        <v>2003</v>
      </c>
      <c r="C39" s="1969" t="s">
        <v>2004</v>
      </c>
      <c r="D39" s="1969" t="s">
        <v>2005</v>
      </c>
      <c r="E39" s="1970" t="s">
        <v>2006</v>
      </c>
      <c r="F39" s="1965"/>
      <c r="G39" s="134"/>
      <c r="H39" s="134"/>
      <c r="I39" s="134"/>
    </row>
    <row r="40" spans="1:15" ht="14.25">
      <c r="A40" s="1971" t="s">
        <v>2007</v>
      </c>
      <c r="B40" s="154"/>
      <c r="C40" s="155"/>
      <c r="D40" s="155"/>
      <c r="E40" s="156"/>
      <c r="F40" s="1965"/>
      <c r="G40" s="134"/>
      <c r="H40" s="134"/>
      <c r="I40" s="134"/>
    </row>
    <row r="41" spans="1:15" ht="14.25">
      <c r="A41" s="1971" t="s">
        <v>2008</v>
      </c>
      <c r="B41" s="154"/>
      <c r="C41" s="155"/>
      <c r="D41" s="155"/>
      <c r="E41" s="156"/>
      <c r="F41" s="1965"/>
      <c r="G41" s="134"/>
      <c r="H41" s="134"/>
      <c r="I41" s="134"/>
    </row>
    <row r="42" spans="1:15" ht="15" thickBot="1">
      <c r="A42" s="1972"/>
      <c r="B42" s="157"/>
      <c r="C42" s="158"/>
      <c r="D42" s="158"/>
      <c r="E42" s="159"/>
      <c r="F42" s="1965"/>
      <c r="G42" s="134"/>
      <c r="H42" s="134"/>
      <c r="I42" s="134"/>
    </row>
    <row r="43" spans="1:15" ht="12.75">
      <c r="A43" s="1752"/>
      <c r="B43" s="1752"/>
      <c r="C43" s="1752"/>
      <c r="D43" s="1752"/>
      <c r="E43" s="1752"/>
      <c r="F43" s="1973"/>
      <c r="G43" s="1973"/>
      <c r="H43" s="1973"/>
      <c r="I43" s="1974"/>
    </row>
    <row r="44" spans="1:15" ht="18.75" hidden="1">
      <c r="A44" s="1975" t="s">
        <v>2009</v>
      </c>
      <c r="B44" s="1976"/>
      <c r="C44" s="1976"/>
      <c r="D44" s="1977"/>
      <c r="E44" s="1977"/>
      <c r="F44" s="1978"/>
      <c r="G44" s="1978"/>
      <c r="H44" s="1978"/>
      <c r="I44" s="1978"/>
      <c r="J44" s="1979" t="s">
        <v>2010</v>
      </c>
      <c r="K44" s="1980"/>
      <c r="L44" s="1980"/>
      <c r="M44" s="1980"/>
      <c r="N44" s="1980"/>
      <c r="O44" s="1980"/>
    </row>
    <row r="45" spans="1:15" ht="14.25" hidden="1" customHeight="1" thickBot="1">
      <c r="A45" s="3374" t="s">
        <v>2011</v>
      </c>
      <c r="B45" s="3375"/>
      <c r="C45" s="3376"/>
      <c r="D45" s="160">
        <f ca="1">ROUND(H101*F45,0)</f>
        <v>2338</v>
      </c>
      <c r="E45" s="161" t="s">
        <v>2012</v>
      </c>
      <c r="F45" s="162">
        <v>1</v>
      </c>
      <c r="G45" s="163" t="s">
        <v>2013</v>
      </c>
      <c r="H45" s="134"/>
      <c r="I45" s="134"/>
      <c r="J45" s="3291" t="s">
        <v>2014</v>
      </c>
      <c r="K45" s="3291"/>
      <c r="L45" s="3291"/>
      <c r="M45" s="3291"/>
      <c r="N45" s="3291"/>
      <c r="O45" s="3291"/>
    </row>
    <row r="46" spans="1:15" ht="14.25" hidden="1" customHeight="1">
      <c r="A46" s="3371" t="s">
        <v>2015</v>
      </c>
      <c r="B46" s="3372"/>
      <c r="C46" s="3372"/>
      <c r="D46" s="3372"/>
      <c r="E46" s="3372"/>
      <c r="F46" s="3372"/>
      <c r="G46" s="3373"/>
      <c r="H46" s="1981"/>
      <c r="I46" s="164"/>
      <c r="J46" s="2737">
        <v>1</v>
      </c>
      <c r="K46" s="3292" t="s">
        <v>2016</v>
      </c>
      <c r="L46" s="3292"/>
      <c r="M46" s="3293"/>
      <c r="N46" s="3293"/>
      <c r="O46" s="3293"/>
    </row>
    <row r="47" spans="1:15" ht="12" hidden="1" customHeight="1">
      <c r="A47" s="165" t="s">
        <v>2017</v>
      </c>
      <c r="B47" s="166"/>
      <c r="C47" s="167"/>
      <c r="D47" s="1239" t="s">
        <v>2018</v>
      </c>
      <c r="E47" s="308" t="s">
        <v>2019</v>
      </c>
      <c r="F47" s="168" t="s">
        <v>2020</v>
      </c>
      <c r="G47" s="2760" t="s">
        <v>2021</v>
      </c>
      <c r="H47" s="2761"/>
      <c r="I47" s="164"/>
      <c r="J47" s="2737">
        <v>2</v>
      </c>
      <c r="K47" s="3292" t="s">
        <v>2022</v>
      </c>
      <c r="L47" s="3292"/>
      <c r="M47" s="3294">
        <f>'数据-取费表'!B2</f>
        <v>44523</v>
      </c>
      <c r="N47" s="3294"/>
      <c r="O47" s="3294"/>
    </row>
    <row r="48" spans="1:15" ht="25.5" hidden="1">
      <c r="A48" s="3357" t="s">
        <v>2023</v>
      </c>
      <c r="B48" s="3358"/>
      <c r="C48" s="3358"/>
      <c r="D48" s="2536" t="b">
        <f>IF(H48="情况1",0,IF(H48="情况2",D52,IF(H48="情况3",D53,IF(H48="情况4",D54))))</f>
        <v>0</v>
      </c>
      <c r="E48" s="2546" t="str">
        <f>IF(H48="情况4","(销售额-原购置价)×税（费）率","销售额×税（费）率")</f>
        <v>销售额×税（费）率</v>
      </c>
      <c r="F48" s="2762">
        <f>IF(H48="情况1","免征",'数据-取费表'!B41)</f>
        <v>5.6000000000000001E-2</v>
      </c>
      <c r="G48" s="2763" t="s">
        <v>2024</v>
      </c>
      <c r="H48" s="2764"/>
      <c r="I48" s="1981"/>
      <c r="J48" s="2737">
        <v>3</v>
      </c>
      <c r="K48" s="3292" t="s">
        <v>2025</v>
      </c>
      <c r="L48" s="3292"/>
      <c r="M48" s="3295">
        <f ca="1">H101</f>
        <v>2338</v>
      </c>
      <c r="N48" s="3295"/>
      <c r="O48" s="3295"/>
    </row>
    <row r="49" spans="1:35" ht="25.5" hidden="1" customHeight="1">
      <c r="A49" s="2545" t="s">
        <v>2026</v>
      </c>
      <c r="B49" s="3340" t="s">
        <v>2027</v>
      </c>
      <c r="C49" s="3340"/>
      <c r="D49" s="1765">
        <v>0</v>
      </c>
      <c r="E49" s="330" t="s">
        <v>2028</v>
      </c>
      <c r="F49" s="2638" t="s">
        <v>34</v>
      </c>
      <c r="G49" s="3323"/>
      <c r="H49" s="2517" t="s">
        <v>2868</v>
      </c>
      <c r="I49" s="2518"/>
      <c r="J49" s="2737">
        <v>4</v>
      </c>
      <c r="K49" s="3292" t="str">
        <f>IF(项目基本情况!E8="房地产抵押价值","房地产抵押价值","抵押担保权已注销时的房地产抵押价值")</f>
        <v>抵押担保权已注销时的房地产抵押价值</v>
      </c>
      <c r="L49" s="3292"/>
      <c r="M49" s="3295">
        <f ca="1">IF(项目基本情况!E8="房地产抵押价值",H107,H109)</f>
        <v>2338</v>
      </c>
      <c r="N49" s="3295"/>
      <c r="O49" s="3295"/>
    </row>
    <row r="50" spans="1:35" ht="25.5" hidden="1" customHeight="1">
      <c r="A50" s="2765"/>
      <c r="B50" s="3340" t="s">
        <v>2029</v>
      </c>
      <c r="C50" s="3340"/>
      <c r="D50" s="2766"/>
      <c r="E50" s="338"/>
      <c r="F50" s="2638"/>
      <c r="G50" s="3324"/>
      <c r="H50" s="2519" t="s">
        <v>2869</v>
      </c>
      <c r="I50" s="2518"/>
      <c r="J50" s="3291" t="s">
        <v>2030</v>
      </c>
      <c r="K50" s="3291"/>
      <c r="L50" s="3291"/>
      <c r="M50" s="3291"/>
      <c r="N50" s="3291"/>
      <c r="O50" s="3291"/>
    </row>
    <row r="51" spans="1:35" ht="20.45" hidden="1" customHeight="1">
      <c r="A51" s="2767"/>
      <c r="B51" s="3340" t="s">
        <v>2031</v>
      </c>
      <c r="C51" s="3340"/>
      <c r="D51" s="1239"/>
      <c r="E51" s="333"/>
      <c r="F51" s="2638"/>
      <c r="G51" s="3325"/>
      <c r="H51" s="2519" t="s">
        <v>2870</v>
      </c>
      <c r="I51" s="2518"/>
      <c r="J51" s="2738" t="s">
        <v>2032</v>
      </c>
      <c r="K51" s="3292" t="s">
        <v>2033</v>
      </c>
      <c r="L51" s="3292"/>
      <c r="M51" s="2738" t="s">
        <v>2034</v>
      </c>
      <c r="N51" s="2738" t="s">
        <v>2035</v>
      </c>
      <c r="O51" s="2738" t="s">
        <v>2036</v>
      </c>
    </row>
    <row r="52" spans="1:35" ht="24" hidden="1" customHeight="1">
      <c r="A52" s="2547" t="s">
        <v>2037</v>
      </c>
      <c r="B52" s="3340" t="s">
        <v>2038</v>
      </c>
      <c r="C52" s="3340"/>
      <c r="D52" s="1239">
        <f ca="1">ROUND(D45*'数据-取费表'!B41/(1+'数据-取费表'!C42),0)</f>
        <v>125</v>
      </c>
      <c r="E52" s="2546" t="s">
        <v>2039</v>
      </c>
      <c r="F52" s="2768">
        <f>'数据-取费表'!B41</f>
        <v>5.6000000000000001E-2</v>
      </c>
      <c r="G52" s="2769"/>
      <c r="H52" s="2758"/>
      <c r="I52" s="1982"/>
      <c r="J52" s="2737">
        <v>1</v>
      </c>
      <c r="K52" s="3317" t="s">
        <v>2040</v>
      </c>
      <c r="L52" s="3317"/>
      <c r="M52" s="2739" t="b">
        <f>D48</f>
        <v>0</v>
      </c>
      <c r="N52" s="2737" t="str">
        <f>E48</f>
        <v>销售额×税（费）率</v>
      </c>
      <c r="O52" s="2740">
        <f>F48</f>
        <v>5.6000000000000001E-2</v>
      </c>
    </row>
    <row r="53" spans="1:35" ht="12" hidden="1" customHeight="1">
      <c r="A53" s="2547" t="s">
        <v>2041</v>
      </c>
      <c r="B53" s="3341" t="s">
        <v>3025</v>
      </c>
      <c r="C53" s="3342"/>
      <c r="D53" s="1239">
        <f ca="1">ROUND(D45*'数据-取费表'!B41/(1+'数据-取费表'!C42),0)</f>
        <v>125</v>
      </c>
      <c r="E53" s="2546" t="s">
        <v>2039</v>
      </c>
      <c r="F53" s="2768">
        <f>'数据-取费表'!B41</f>
        <v>5.6000000000000001E-2</v>
      </c>
      <c r="G53" s="2769"/>
      <c r="H53" s="2758"/>
      <c r="I53" s="1982"/>
      <c r="J53" s="2737">
        <v>2</v>
      </c>
      <c r="K53" s="3317" t="s">
        <v>2042</v>
      </c>
      <c r="L53" s="3317"/>
      <c r="M53" s="2739">
        <f t="shared" ref="M53:O54" ca="1" si="0">D55</f>
        <v>1</v>
      </c>
      <c r="N53" s="2737" t="str">
        <f t="shared" si="0"/>
        <v>销售额×税（费）率</v>
      </c>
      <c r="O53" s="2740" t="str">
        <f t="shared" si="0"/>
        <v>免征</v>
      </c>
    </row>
    <row r="54" spans="1:35" ht="12" hidden="1" customHeight="1">
      <c r="A54" s="2547" t="s">
        <v>2043</v>
      </c>
      <c r="B54" s="3341" t="s">
        <v>3026</v>
      </c>
      <c r="C54" s="3342"/>
      <c r="D54" s="1239">
        <f ca="1">C68</f>
        <v>125</v>
      </c>
      <c r="E54" s="333" t="s">
        <v>2044</v>
      </c>
      <c r="F54" s="2768">
        <f>'数据-取费表'!B41</f>
        <v>5.6000000000000001E-2</v>
      </c>
      <c r="G54" s="2769"/>
      <c r="H54" s="2770"/>
      <c r="I54" s="1982"/>
      <c r="J54" s="2737">
        <v>3</v>
      </c>
      <c r="K54" s="3317" t="s">
        <v>2045</v>
      </c>
      <c r="L54" s="3317"/>
      <c r="M54" s="2739">
        <f t="shared" ca="1" si="0"/>
        <v>1324</v>
      </c>
      <c r="N54" s="2737" t="str">
        <f t="shared" si="0"/>
        <v>增值额×税（费）率</v>
      </c>
      <c r="O54" s="2741" t="str">
        <f t="shared" si="0"/>
        <v>免征</v>
      </c>
    </row>
    <row r="55" spans="1:35" ht="24" hidden="1" customHeight="1">
      <c r="A55" s="3380" t="s">
        <v>2046</v>
      </c>
      <c r="B55" s="3358"/>
      <c r="C55" s="3358"/>
      <c r="D55" s="2536">
        <f ca="1">IF(H55="个人住宅",0,ROUND(D45*I55,0))</f>
        <v>1</v>
      </c>
      <c r="E55" s="2546" t="s">
        <v>2047</v>
      </c>
      <c r="F55" s="2768" t="str">
        <f>IF(H55="正常",I55,"免征")</f>
        <v>免征</v>
      </c>
      <c r="G55" s="2769"/>
      <c r="H55" s="2764"/>
      <c r="I55" s="170">
        <f>'数据-取费表'!B49</f>
        <v>5.0000000000000001E-4</v>
      </c>
      <c r="J55" s="2737">
        <f>IF(H59="非个人房产","",4)</f>
        <v>4</v>
      </c>
      <c r="K55" s="3317" t="str">
        <f>IF(H59="非个人房产","——","个人所得税")</f>
        <v>个人所得税</v>
      </c>
      <c r="L55" s="3317"/>
      <c r="M55" s="2742">
        <f ca="1">D59</f>
        <v>22</v>
      </c>
      <c r="N55" s="2217" t="str">
        <f>E59</f>
        <v>差额计税</v>
      </c>
      <c r="O55" s="2743">
        <f>F59</f>
        <v>0.01</v>
      </c>
    </row>
    <row r="56" spans="1:35" ht="24.75" hidden="1">
      <c r="A56" s="3380" t="s">
        <v>2048</v>
      </c>
      <c r="B56" s="3358"/>
      <c r="C56" s="3358"/>
      <c r="D56" s="2536">
        <f ca="1">IF(H56="个人住宅",D57,D58)</f>
        <v>1324</v>
      </c>
      <c r="E56" s="2546" t="s">
        <v>2049</v>
      </c>
      <c r="F56" s="2768" t="str">
        <f>IF(H56="正常",F58,"免征")</f>
        <v>免征</v>
      </c>
      <c r="G56" s="2771" t="s">
        <v>2050</v>
      </c>
      <c r="H56" s="2772"/>
      <c r="I56" s="1983"/>
      <c r="J56" s="2737" t="str">
        <f>IF(项目基本情况!K6="上海银行",IF(J55="",4,J55+1),"")</f>
        <v/>
      </c>
      <c r="K56" s="3298" t="str">
        <f>IF(项目基本情况!K6="上海银行","其他处置费用","")</f>
        <v/>
      </c>
      <c r="L56" s="3299"/>
      <c r="M56" s="2739" t="str">
        <f>IF(项目基本情况!K6="上海银行",M69,"")</f>
        <v/>
      </c>
      <c r="N56" s="3298" t="str">
        <f>IF(项目基本情况!K6="上海银行","包含处置中涉及的律师、诉讼、拍卖、评估等费用","")</f>
        <v/>
      </c>
      <c r="O56" s="3301"/>
    </row>
    <row r="57" spans="1:35" ht="12.75" hidden="1">
      <c r="A57" s="2547" t="s">
        <v>2026</v>
      </c>
      <c r="B57" s="3341" t="s">
        <v>2051</v>
      </c>
      <c r="C57" s="3342"/>
      <c r="D57" s="1765">
        <v>0</v>
      </c>
      <c r="E57" s="330" t="s">
        <v>2028</v>
      </c>
      <c r="F57" s="308"/>
      <c r="G57" s="2769"/>
      <c r="H57" s="2773"/>
      <c r="I57" s="1983"/>
      <c r="J57" s="3317">
        <f>IF(AND(J55="",J56=""),4,IF(项目基本情况!K6="上海银行",结果表!J56+1,结果表!J55+1))</f>
        <v>5</v>
      </c>
      <c r="K57" s="3317" t="s">
        <v>2052</v>
      </c>
      <c r="L57" s="2744" t="s">
        <v>2053</v>
      </c>
      <c r="M57" s="2745"/>
      <c r="N57" s="2746">
        <f ca="1">SUMIF(M52:M56,"&lt;9e307")</f>
        <v>1347</v>
      </c>
      <c r="O57" s="2747"/>
      <c r="P57" s="2906">
        <f ca="1">N57/M49</f>
        <v>0.57613344739093242</v>
      </c>
    </row>
    <row r="58" spans="1:35" ht="24.75" hidden="1">
      <c r="A58" s="2547" t="s">
        <v>2037</v>
      </c>
      <c r="B58" s="3341" t="s">
        <v>2054</v>
      </c>
      <c r="C58" s="3340"/>
      <c r="D58" s="2536">
        <f ca="1">IF(H58="转让取得",C81,C97)</f>
        <v>1324</v>
      </c>
      <c r="E58" s="2546" t="s">
        <v>2049</v>
      </c>
      <c r="F58" s="308" t="s">
        <v>34</v>
      </c>
      <c r="G58" s="2769"/>
      <c r="H58" s="2772"/>
      <c r="I58" s="1983"/>
      <c r="J58" s="3317"/>
      <c r="K58" s="3317"/>
      <c r="L58" s="2744" t="s">
        <v>2055</v>
      </c>
      <c r="M58" s="2748"/>
      <c r="N58" s="2749" t="str">
        <f ca="1">NUMBERSTRING(INT(N57*10000),2)&amp;"元整"</f>
        <v>壹仟叁佰肆拾柒万元整</v>
      </c>
      <c r="O58" s="2750"/>
    </row>
    <row r="59" spans="1:35" ht="24.75" hidden="1" thickBot="1">
      <c r="A59" s="3321" t="s">
        <v>2056</v>
      </c>
      <c r="B59" s="3322"/>
      <c r="C59" s="3322"/>
      <c r="D59" s="2774">
        <f ca="1">IF(H59="非个人房产","——",IF(H59="个人住宅（满五唯一有凭证）",0,IF(H59="个人其他（无凭证）",ROUND(D45*F59,0),ROUND(C67*F59,0))))</f>
        <v>22</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1"/>
      <c r="I59" s="2520" t="s">
        <v>2871</v>
      </c>
      <c r="J59" s="3319">
        <f>J57+1</f>
        <v>6</v>
      </c>
      <c r="K59" s="3317" t="s">
        <v>2057</v>
      </c>
      <c r="L59" s="2737" t="s">
        <v>2053</v>
      </c>
      <c r="M59" s="2751"/>
      <c r="N59" s="2752">
        <f ca="1">M49-N57</f>
        <v>991</v>
      </c>
      <c r="O59" s="2753"/>
    </row>
    <row r="60" spans="1:35" ht="12" hidden="1" customHeight="1">
      <c r="A60" s="1984"/>
      <c r="B60" s="1922"/>
      <c r="C60" s="1922"/>
      <c r="D60" s="1922"/>
      <c r="E60" s="1753"/>
      <c r="F60" s="1983"/>
      <c r="G60" s="1983"/>
      <c r="H60" s="1985"/>
      <c r="I60" s="134"/>
      <c r="J60" s="3320"/>
      <c r="K60" s="3317"/>
      <c r="L60" s="2744" t="s">
        <v>2055</v>
      </c>
      <c r="M60" s="2748"/>
      <c r="N60" s="2749" t="str">
        <f ca="1">NUMBERSTRING(INT(N59*10000),2)&amp;"元整"</f>
        <v>玖佰玖拾壹万元整</v>
      </c>
      <c r="O60" s="2750"/>
    </row>
    <row r="61" spans="1:35" ht="13.5" hidden="1" thickBot="1">
      <c r="A61" s="3379" t="s">
        <v>2058</v>
      </c>
      <c r="B61" s="3379"/>
      <c r="C61" s="3379"/>
      <c r="D61" s="3379"/>
      <c r="E61" s="3379"/>
      <c r="F61" s="1983"/>
      <c r="G61" s="1983"/>
      <c r="H61" s="1985"/>
      <c r="I61" s="134"/>
      <c r="J61" s="2737">
        <f>J59+1</f>
        <v>7</v>
      </c>
      <c r="K61" s="3317" t="s">
        <v>2059</v>
      </c>
      <c r="L61" s="3317"/>
      <c r="M61" s="2754"/>
      <c r="N61" s="2755">
        <f ca="1">ROUND(N59*10000/'数据-汇总表'!E3,0)</f>
        <v>9922</v>
      </c>
      <c r="O61" s="2756"/>
    </row>
    <row r="62" spans="1:35" ht="12.75" hidden="1">
      <c r="A62" s="3336" t="s">
        <v>2060</v>
      </c>
      <c r="B62" s="3337"/>
      <c r="C62" s="2198"/>
      <c r="D62" s="2198" t="s">
        <v>2061</v>
      </c>
      <c r="E62" s="171" t="s">
        <v>2062</v>
      </c>
      <c r="F62" s="1983"/>
      <c r="G62" s="1983"/>
      <c r="H62" s="1985"/>
      <c r="I62" s="134"/>
    </row>
    <row r="63" spans="1:35" ht="12.75" hidden="1">
      <c r="A63" s="178" t="s">
        <v>775</v>
      </c>
      <c r="B63" s="172" t="s">
        <v>2063</v>
      </c>
      <c r="C63" s="2778">
        <f ca="1">ROUND((C64+C65)/(1+'数据-取费表'!C42),0)</f>
        <v>2227</v>
      </c>
      <c r="D63" s="172"/>
      <c r="E63" s="173"/>
      <c r="F63" s="1983"/>
      <c r="G63" s="1983"/>
      <c r="H63" s="1985"/>
      <c r="I63" s="134"/>
      <c r="J63" s="3300" t="s">
        <v>2064</v>
      </c>
      <c r="K63" s="1492" t="s">
        <v>2065</v>
      </c>
      <c r="L63" s="1492">
        <f ca="1">IF(M49&gt;10000,M49*0.5%,IF(AND(M49&gt;1000,M49&lt;=10000),M49*1%,IF(AND(M49&gt;100,M49&lt;=1000),M49*3%,IF(AND(M49&gt;10,M49&lt;=100),M49*5%,M49*8%))))</f>
        <v>23.38</v>
      </c>
      <c r="M63" s="308">
        <f ca="1">ROUND(L63,1)</f>
        <v>23.4</v>
      </c>
      <c r="N63" s="2757"/>
      <c r="Z63" s="1927"/>
      <c r="AI63" s="1928"/>
    </row>
    <row r="64" spans="1:35" ht="14.25" hidden="1" customHeight="1">
      <c r="A64" s="174" t="s">
        <v>770</v>
      </c>
      <c r="B64" s="175" t="s">
        <v>2066</v>
      </c>
      <c r="C64" s="2779">
        <f ca="1">D45</f>
        <v>2338</v>
      </c>
      <c r="D64" s="175" t="s">
        <v>32</v>
      </c>
      <c r="E64" s="177"/>
      <c r="F64" s="1983"/>
      <c r="G64" s="1983"/>
      <c r="H64" s="1985"/>
      <c r="I64" s="134"/>
      <c r="J64" s="3300"/>
      <c r="K64" s="1492" t="s">
        <v>2067</v>
      </c>
      <c r="L64" s="1492">
        <f ca="1">IF(M49&gt;2000,M49*0.5%,IF(AND(M49&gt;1000,M49&lt;=2000),M49*0.6%,IF(AND(M49&gt;500,M49&lt;=1000),M49*0.7%,IF(AND(M49&gt;200,M49&lt;=500),M49*0.8%,IF(AND(M49&gt;100,M49&lt;=200),M49*0.9%,IF(AND(M49&gt;50,M49&lt;=100),M49*1%,IF(AND(M49&gt;20,M49&lt;=50),M49*1.5%,IF(AND(M49&gt;10,M49&lt;=20),M49*2%,IF(AND(M49&gt;1,M49&lt;=10),M49*2.5%)))))))))</f>
        <v>11.69</v>
      </c>
      <c r="M64" s="308">
        <f t="shared" ref="M64:M65" ca="1" si="1">ROUND(L64,1)</f>
        <v>11.7</v>
      </c>
      <c r="N64" s="2758" t="s">
        <v>2068</v>
      </c>
      <c r="Z64" s="1927"/>
      <c r="AI64" s="1928"/>
    </row>
    <row r="65" spans="1:35" ht="14.25" hidden="1" customHeight="1">
      <c r="A65" s="174" t="s">
        <v>771</v>
      </c>
      <c r="B65" s="175" t="s">
        <v>2069</v>
      </c>
      <c r="C65" s="2780"/>
      <c r="D65" s="175"/>
      <c r="E65" s="177"/>
      <c r="F65" s="1983"/>
      <c r="G65" s="1983"/>
      <c r="H65" s="1985"/>
      <c r="I65" s="134"/>
      <c r="J65" s="3300"/>
      <c r="K65" s="1492" t="s">
        <v>2070</v>
      </c>
      <c r="L65" s="1492">
        <f ca="1">IF(M49&gt;1000,M49*0.1%,IF(AND(M49&gt;500,M49&lt;=1000),M49*0.5%,IF(AND(M49&gt;50,M49&lt;=500),M49*1%,IF(AND(M49&gt;1,M49&lt;=50),M49*1.5%))))</f>
        <v>2.3380000000000001</v>
      </c>
      <c r="M65" s="308">
        <f t="shared" ca="1" si="1"/>
        <v>2.2999999999999998</v>
      </c>
      <c r="N65" s="2758" t="s">
        <v>2068</v>
      </c>
      <c r="Z65" s="1927"/>
      <c r="AI65" s="1928"/>
    </row>
    <row r="66" spans="1:35" ht="14.25" hidden="1" customHeight="1">
      <c r="A66" s="178" t="s">
        <v>772</v>
      </c>
      <c r="B66" s="179" t="s">
        <v>2071</v>
      </c>
      <c r="C66" s="2781"/>
      <c r="D66" s="179" t="s">
        <v>32</v>
      </c>
      <c r="E66" s="1499" t="s">
        <v>1337</v>
      </c>
      <c r="F66" s="1983"/>
      <c r="G66" s="1983"/>
      <c r="H66" s="1985"/>
      <c r="I66" s="134"/>
      <c r="J66" s="3300"/>
      <c r="K66" s="1492" t="s">
        <v>2072</v>
      </c>
      <c r="L66" s="1492">
        <f ca="1">M49*0.5%</f>
        <v>11.69</v>
      </c>
      <c r="M66" s="308">
        <f ca="1">IF(L66&gt;0.5,0.5,ROUND(L66,0))</f>
        <v>0.5</v>
      </c>
      <c r="N66" s="2758" t="s">
        <v>2073</v>
      </c>
      <c r="Z66" s="1927"/>
      <c r="AI66" s="1928"/>
    </row>
    <row r="67" spans="1:35" ht="14.25" hidden="1" customHeight="1">
      <c r="A67" s="178" t="s">
        <v>773</v>
      </c>
      <c r="B67" s="179" t="s">
        <v>2074</v>
      </c>
      <c r="C67" s="2782">
        <f ca="1">C63-C66</f>
        <v>2227</v>
      </c>
      <c r="D67" s="175" t="s">
        <v>32</v>
      </c>
      <c r="E67" s="177"/>
      <c r="F67" s="1983"/>
      <c r="G67" s="1983"/>
      <c r="H67" s="1985"/>
      <c r="I67" s="134"/>
      <c r="J67" s="3300"/>
      <c r="K67" s="1492" t="s">
        <v>2075</v>
      </c>
      <c r="L67" s="149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57"/>
      <c r="Z67" s="1927"/>
      <c r="AI67" s="1928"/>
    </row>
    <row r="68" spans="1:35" ht="14.25" hidden="1" customHeight="1" thickBot="1">
      <c r="A68" s="181" t="s">
        <v>774</v>
      </c>
      <c r="B68" s="182" t="s">
        <v>2076</v>
      </c>
      <c r="C68" s="2783">
        <f ca="1">IF(C67&lt;=0,0,ROUND(C67*D68,0))</f>
        <v>125</v>
      </c>
      <c r="D68" s="2784">
        <f>'数据-取费表'!B41</f>
        <v>5.6000000000000001E-2</v>
      </c>
      <c r="E68" s="184"/>
      <c r="F68" s="1983"/>
      <c r="G68" s="1983"/>
      <c r="H68" s="1985"/>
      <c r="I68" s="134"/>
      <c r="J68" s="3300"/>
      <c r="K68" s="1492" t="s">
        <v>2077</v>
      </c>
      <c r="L68" s="1492">
        <f ca="1">IF(M49&gt;10000,M49*0.5%,IF(AND(M49&gt;5000,M49&lt;=10000),M49*1%,IF(AND(M49&gt;1000,M49&lt;=5000),M49*2%,IF(AND(M49&gt;200,M49&lt;=1000),M49*3%,M49*5%))))</f>
        <v>46.76</v>
      </c>
      <c r="M68" s="308">
        <f ca="1">ROUND(L68,1)</f>
        <v>46.8</v>
      </c>
      <c r="N68" s="2757"/>
      <c r="Z68" s="1927"/>
      <c r="AI68" s="1928"/>
    </row>
    <row r="69" spans="1:35" s="1947" customFormat="1" ht="16.5" hidden="1" customHeight="1">
      <c r="A69" s="1986"/>
      <c r="B69" s="1987"/>
      <c r="C69" s="1988"/>
      <c r="D69" s="1989"/>
      <c r="E69" s="1990"/>
      <c r="F69" s="1753"/>
      <c r="G69" s="1753"/>
      <c r="H69" s="1752"/>
      <c r="I69" s="1922"/>
      <c r="J69" s="3300"/>
      <c r="K69" s="1492" t="s">
        <v>2078</v>
      </c>
      <c r="L69" s="1492"/>
      <c r="M69" s="308">
        <f ca="1">ROUND(SUM(M63:M68),0)</f>
        <v>87</v>
      </c>
      <c r="N69" s="2759">
        <f ca="1">M69/M49</f>
        <v>3.7211291702309669E-2</v>
      </c>
      <c r="O69" s="734"/>
      <c r="P69" s="734"/>
      <c r="Q69" s="734"/>
      <c r="R69" s="734"/>
      <c r="S69" s="734"/>
      <c r="T69" s="734"/>
      <c r="U69" s="734"/>
      <c r="V69" s="734"/>
      <c r="W69" s="734"/>
      <c r="X69" s="734"/>
      <c r="Y69" s="734"/>
      <c r="Z69" s="1927"/>
      <c r="AA69" s="1927"/>
      <c r="AB69" s="1927"/>
      <c r="AC69" s="1927"/>
      <c r="AD69" s="1927"/>
      <c r="AE69" s="1927"/>
      <c r="AF69" s="1927"/>
      <c r="AG69" s="1927"/>
      <c r="AH69" s="1927"/>
    </row>
    <row r="70" spans="1:35" s="1992" customFormat="1" ht="15" hidden="1" thickBot="1">
      <c r="A70" s="3344" t="s">
        <v>2079</v>
      </c>
      <c r="B70" s="3345"/>
      <c r="C70" s="3345"/>
      <c r="D70" s="3345"/>
      <c r="E70" s="3345"/>
      <c r="F70" s="3345"/>
      <c r="G70" s="3345"/>
      <c r="H70" s="3345"/>
      <c r="I70" s="1991"/>
      <c r="J70" s="2907"/>
      <c r="K70" s="2907"/>
      <c r="L70" s="2907"/>
      <c r="M70" s="2907"/>
      <c r="N70" s="1993"/>
      <c r="O70" s="1993"/>
      <c r="P70" s="1993"/>
      <c r="Q70" s="1993"/>
      <c r="R70" s="1993"/>
      <c r="S70" s="1993"/>
      <c r="T70" s="1993"/>
      <c r="U70" s="1993"/>
      <c r="V70" s="1993"/>
      <c r="W70" s="1993"/>
      <c r="X70" s="1993"/>
      <c r="Y70" s="1993"/>
      <c r="Z70" s="1993"/>
      <c r="AA70" s="1994"/>
      <c r="AB70" s="1994"/>
      <c r="AC70" s="1994"/>
      <c r="AD70" s="1994"/>
      <c r="AE70" s="1994"/>
      <c r="AF70" s="1994"/>
      <c r="AG70" s="1994"/>
      <c r="AH70" s="1994"/>
      <c r="AI70" s="1994"/>
    </row>
    <row r="71" spans="1:35" s="1992" customFormat="1" ht="14.25" hidden="1">
      <c r="A71" s="3336" t="s">
        <v>2060</v>
      </c>
      <c r="B71" s="3337"/>
      <c r="C71" s="2198"/>
      <c r="D71" s="2198" t="s">
        <v>2061</v>
      </c>
      <c r="E71" s="185" t="s">
        <v>2062</v>
      </c>
      <c r="F71" s="186"/>
      <c r="G71" s="186"/>
      <c r="H71" s="187"/>
      <c r="I71" s="1995"/>
      <c r="J71" s="2907"/>
      <c r="K71" s="2907"/>
      <c r="L71" s="2907"/>
      <c r="M71" s="2907"/>
      <c r="N71" s="1993"/>
      <c r="O71" s="1993"/>
      <c r="P71" s="1993"/>
      <c r="Q71" s="1993"/>
      <c r="R71" s="1993"/>
      <c r="S71" s="1993"/>
      <c r="T71" s="1993"/>
      <c r="U71" s="1993"/>
      <c r="V71" s="1993"/>
      <c r="W71" s="1993"/>
      <c r="X71" s="1993"/>
      <c r="Y71" s="1993"/>
      <c r="Z71" s="1993"/>
      <c r="AA71" s="1994"/>
      <c r="AB71" s="1994"/>
      <c r="AC71" s="1994"/>
      <c r="AD71" s="1994"/>
      <c r="AE71" s="1994"/>
      <c r="AF71" s="1994"/>
      <c r="AG71" s="1994"/>
      <c r="AH71" s="1994"/>
      <c r="AI71" s="1994"/>
    </row>
    <row r="72" spans="1:35" s="1992" customFormat="1" ht="14.25" hidden="1">
      <c r="A72" s="178" t="s">
        <v>775</v>
      </c>
      <c r="B72" s="179" t="s">
        <v>2080</v>
      </c>
      <c r="C72" s="2782">
        <f ca="1">ROUND(D45/(1+'数据-取费表'!C42),0)</f>
        <v>2227</v>
      </c>
      <c r="D72" s="175" t="s">
        <v>32</v>
      </c>
      <c r="E72" s="2543"/>
      <c r="F72" s="2542"/>
      <c r="G72" s="2542"/>
      <c r="H72" s="188"/>
      <c r="I72" s="1995"/>
      <c r="J72" s="2907"/>
      <c r="K72" s="2907"/>
      <c r="L72" s="2907"/>
      <c r="M72" s="2907"/>
      <c r="N72" s="1993"/>
      <c r="O72" s="1993"/>
      <c r="P72" s="1993"/>
      <c r="Q72" s="1993"/>
      <c r="R72" s="1993"/>
      <c r="S72" s="1993"/>
      <c r="T72" s="1993"/>
      <c r="U72" s="1993"/>
      <c r="V72" s="1993"/>
      <c r="W72" s="1993"/>
      <c r="X72" s="1993"/>
      <c r="Y72" s="1993"/>
      <c r="Z72" s="1993"/>
      <c r="AA72" s="1994"/>
      <c r="AB72" s="1994"/>
      <c r="AC72" s="1994"/>
      <c r="AD72" s="1994"/>
      <c r="AE72" s="1994"/>
      <c r="AF72" s="1994"/>
      <c r="AG72" s="1994"/>
      <c r="AH72" s="1994"/>
      <c r="AI72" s="1994"/>
    </row>
    <row r="73" spans="1:35" s="1992" customFormat="1" ht="14.25" hidden="1">
      <c r="A73" s="178" t="s">
        <v>772</v>
      </c>
      <c r="B73" s="168" t="s">
        <v>2081</v>
      </c>
      <c r="C73" s="2782">
        <f ca="1">C74+C78</f>
        <v>13</v>
      </c>
      <c r="D73" s="175" t="s">
        <v>32</v>
      </c>
      <c r="E73" s="2543"/>
      <c r="F73" s="2542"/>
      <c r="G73" s="2542"/>
      <c r="H73" s="188"/>
      <c r="I73" s="1995"/>
      <c r="J73" s="1993"/>
      <c r="K73" s="1993"/>
      <c r="L73" s="1993"/>
      <c r="M73" s="1993"/>
      <c r="N73" s="1993"/>
      <c r="O73" s="1993"/>
      <c r="P73" s="1993"/>
      <c r="Q73" s="1993"/>
      <c r="R73" s="1993"/>
      <c r="S73" s="1993"/>
      <c r="T73" s="1993"/>
      <c r="U73" s="1993"/>
      <c r="V73" s="1993"/>
      <c r="W73" s="1993"/>
      <c r="X73" s="1993"/>
      <c r="Y73" s="1993"/>
      <c r="Z73" s="1993"/>
      <c r="AA73" s="1994"/>
      <c r="AB73" s="1994"/>
      <c r="AC73" s="1994"/>
      <c r="AD73" s="1994"/>
      <c r="AE73" s="1994"/>
      <c r="AF73" s="1994"/>
      <c r="AG73" s="1994"/>
      <c r="AH73" s="1994"/>
      <c r="AI73" s="1994"/>
    </row>
    <row r="74" spans="1:35" s="1992" customFormat="1" ht="24" hidden="1">
      <c r="A74" s="174" t="s">
        <v>770</v>
      </c>
      <c r="B74" s="175" t="s">
        <v>2082</v>
      </c>
      <c r="C74" s="175">
        <f>ROUND(IF(G77="2016年5月1日后购买",C75/(1+'数据-取费表'!C42)+C76+C77,C75+C76+C77),0)</f>
        <v>0</v>
      </c>
      <c r="D74" s="175" t="s">
        <v>32</v>
      </c>
      <c r="E74" s="2543"/>
      <c r="F74" s="2542"/>
      <c r="G74" s="2542"/>
      <c r="H74" s="188"/>
      <c r="I74" s="1995"/>
      <c r="J74" s="1993"/>
      <c r="K74" s="1993"/>
      <c r="L74" s="1993"/>
      <c r="M74" s="1993"/>
      <c r="N74" s="1993"/>
      <c r="O74" s="1993"/>
      <c r="P74" s="1993"/>
      <c r="Q74" s="1993"/>
      <c r="R74" s="1993"/>
      <c r="S74" s="1993"/>
      <c r="T74" s="1993"/>
      <c r="U74" s="1993"/>
      <c r="V74" s="1993"/>
      <c r="W74" s="1993"/>
      <c r="X74" s="1993"/>
      <c r="Y74" s="1993"/>
      <c r="Z74" s="1993"/>
      <c r="AA74" s="1994"/>
      <c r="AB74" s="1994"/>
      <c r="AC74" s="1994"/>
      <c r="AD74" s="1994"/>
      <c r="AE74" s="1994"/>
      <c r="AF74" s="1994"/>
      <c r="AG74" s="1994"/>
      <c r="AH74" s="1994"/>
      <c r="AI74" s="1994"/>
    </row>
    <row r="75" spans="1:35" s="1992" customFormat="1" ht="14.25" hidden="1">
      <c r="A75" s="174" t="s">
        <v>776</v>
      </c>
      <c r="B75" s="175" t="s">
        <v>2083</v>
      </c>
      <c r="C75" s="2785"/>
      <c r="D75" s="175" t="s">
        <v>32</v>
      </c>
      <c r="E75" s="190" t="s">
        <v>2084</v>
      </c>
      <c r="F75" s="2786"/>
      <c r="G75" s="190" t="s">
        <v>2085</v>
      </c>
      <c r="H75" s="2787"/>
      <c r="I75" s="1996"/>
      <c r="J75" s="1993"/>
      <c r="K75" s="1993"/>
      <c r="L75" s="1993"/>
      <c r="M75" s="1993"/>
      <c r="N75" s="1993"/>
      <c r="O75" s="1993"/>
      <c r="P75" s="1993"/>
      <c r="Q75" s="1993"/>
      <c r="R75" s="1993"/>
      <c r="S75" s="1993"/>
      <c r="T75" s="1993"/>
      <c r="U75" s="1993"/>
      <c r="V75" s="1993"/>
      <c r="W75" s="1993"/>
      <c r="X75" s="1993"/>
      <c r="Y75" s="1993"/>
      <c r="Z75" s="1993"/>
      <c r="AA75" s="1994"/>
      <c r="AB75" s="1994"/>
      <c r="AC75" s="1994"/>
      <c r="AD75" s="1994"/>
      <c r="AE75" s="1994"/>
      <c r="AF75" s="1994"/>
      <c r="AG75" s="1994"/>
      <c r="AH75" s="1994"/>
      <c r="AI75" s="1994"/>
    </row>
    <row r="76" spans="1:35" s="1992" customFormat="1" ht="24.75" hidden="1" customHeight="1">
      <c r="A76" s="174" t="s">
        <v>777</v>
      </c>
      <c r="B76" s="191" t="s">
        <v>2086</v>
      </c>
      <c r="C76" s="175">
        <f>IF(F75="购房发票",ROUND(C75*H75*D76,0),0)</f>
        <v>0</v>
      </c>
      <c r="D76" s="2788">
        <v>0.05</v>
      </c>
      <c r="E76" s="3341" t="s">
        <v>2087</v>
      </c>
      <c r="F76" s="3340"/>
      <c r="G76" s="3340"/>
      <c r="H76" s="3343"/>
      <c r="I76" s="1995"/>
      <c r="J76" s="1993"/>
      <c r="K76" s="1993"/>
      <c r="L76" s="1993"/>
      <c r="M76" s="1993"/>
      <c r="N76" s="1993"/>
      <c r="O76" s="1993"/>
      <c r="P76" s="1993"/>
      <c r="Q76" s="1993"/>
      <c r="R76" s="1993"/>
      <c r="S76" s="1993"/>
      <c r="T76" s="1993"/>
      <c r="U76" s="1993"/>
      <c r="V76" s="1993"/>
      <c r="W76" s="1993"/>
      <c r="X76" s="1993"/>
      <c r="Y76" s="1993"/>
      <c r="Z76" s="1993"/>
      <c r="AA76" s="1994"/>
      <c r="AB76" s="1994"/>
      <c r="AC76" s="1994"/>
      <c r="AD76" s="1994"/>
      <c r="AE76" s="1994"/>
      <c r="AF76" s="1994"/>
      <c r="AG76" s="1994"/>
      <c r="AH76" s="1994"/>
      <c r="AI76" s="1994"/>
    </row>
    <row r="77" spans="1:35" s="1992" customFormat="1" ht="24.75" hidden="1" customHeight="1">
      <c r="A77" s="174" t="s">
        <v>778</v>
      </c>
      <c r="B77" s="175" t="s">
        <v>2088</v>
      </c>
      <c r="C77" s="175">
        <f>ROUND(IF(G77="个人住宅",0,IF(G77="2016年5月1日前购买",C75*D77,C75*D77/(1+'数据-取费表'!C42))),0)</f>
        <v>0</v>
      </c>
      <c r="D77" s="2789">
        <f>'数据-取费表'!B48+'数据-取费表'!B49</f>
        <v>3.0499999999999999E-2</v>
      </c>
      <c r="E77" s="2536" t="s">
        <v>2089</v>
      </c>
      <c r="F77" s="192"/>
      <c r="G77" s="1997"/>
      <c r="H77" s="2544" t="str">
        <f>IF(G77="个人买卖住房","免征印花税"," ")</f>
        <v xml:space="preserve"> </v>
      </c>
      <c r="I77" s="1995"/>
      <c r="J77" s="1993"/>
      <c r="K77" s="1993"/>
      <c r="L77" s="1993"/>
      <c r="M77" s="1993"/>
      <c r="N77" s="1993"/>
      <c r="O77" s="1993"/>
      <c r="P77" s="1993"/>
      <c r="Q77" s="1993"/>
      <c r="R77" s="1993"/>
      <c r="S77" s="1993"/>
      <c r="T77" s="1993"/>
      <c r="U77" s="1993"/>
      <c r="V77" s="1993"/>
      <c r="W77" s="1993"/>
      <c r="X77" s="1993"/>
      <c r="Y77" s="1993"/>
      <c r="Z77" s="1993"/>
      <c r="AA77" s="1994"/>
      <c r="AB77" s="1994"/>
      <c r="AC77" s="1994"/>
      <c r="AD77" s="1994"/>
      <c r="AE77" s="1994"/>
      <c r="AF77" s="1994"/>
      <c r="AG77" s="1994"/>
      <c r="AH77" s="1994"/>
      <c r="AI77" s="1994"/>
    </row>
    <row r="78" spans="1:35" s="1992" customFormat="1" ht="24.75" hidden="1" customHeight="1">
      <c r="A78" s="174" t="s">
        <v>771</v>
      </c>
      <c r="B78" s="175" t="s">
        <v>2090</v>
      </c>
      <c r="C78" s="2790">
        <f ca="1">ROUND(D45*D78/(1+'数据-取费表'!C42),0)</f>
        <v>13</v>
      </c>
      <c r="D78" s="2791">
        <f>'数据-取费表'!B43</f>
        <v>6.000000000000001E-3</v>
      </c>
      <c r="E78" s="3333" t="s">
        <v>2091</v>
      </c>
      <c r="F78" s="3334"/>
      <c r="G78" s="3334"/>
      <c r="H78" s="3335"/>
      <c r="I78" s="1998"/>
      <c r="J78" s="1993"/>
      <c r="K78" s="1993"/>
      <c r="L78" s="1993"/>
      <c r="M78" s="1993"/>
      <c r="N78" s="1993"/>
      <c r="O78" s="1993"/>
      <c r="P78" s="1993"/>
      <c r="Q78" s="1993"/>
      <c r="R78" s="1993"/>
      <c r="S78" s="1993"/>
      <c r="T78" s="1993"/>
      <c r="U78" s="1993"/>
      <c r="V78" s="1993"/>
      <c r="W78" s="1993"/>
      <c r="X78" s="1993"/>
      <c r="Y78" s="1993"/>
      <c r="Z78" s="1993"/>
      <c r="AA78" s="1994"/>
      <c r="AB78" s="1994"/>
      <c r="AC78" s="1994"/>
      <c r="AD78" s="1994"/>
      <c r="AE78" s="1994"/>
      <c r="AF78" s="1994"/>
      <c r="AG78" s="1994"/>
      <c r="AH78" s="1994"/>
      <c r="AI78" s="1994"/>
    </row>
    <row r="79" spans="1:35" s="1992" customFormat="1" ht="14.25" hidden="1">
      <c r="A79" s="178" t="s">
        <v>779</v>
      </c>
      <c r="B79" s="179" t="s">
        <v>2092</v>
      </c>
      <c r="C79" s="2782">
        <f ca="1">C72-C73</f>
        <v>2214</v>
      </c>
      <c r="D79" s="175" t="s">
        <v>32</v>
      </c>
      <c r="E79" s="2543"/>
      <c r="F79" s="2542"/>
      <c r="G79" s="2542"/>
      <c r="H79" s="188"/>
      <c r="I79" s="1995"/>
      <c r="J79" s="1993"/>
      <c r="K79" s="1993"/>
      <c r="L79" s="1993"/>
      <c r="M79" s="1993"/>
      <c r="N79" s="1993"/>
      <c r="O79" s="1993"/>
      <c r="P79" s="1993"/>
      <c r="Q79" s="1993"/>
      <c r="R79" s="1993"/>
      <c r="S79" s="1993"/>
      <c r="T79" s="1993"/>
      <c r="U79" s="1993"/>
      <c r="V79" s="1993"/>
      <c r="W79" s="1993"/>
      <c r="X79" s="1993"/>
      <c r="Y79" s="1993"/>
      <c r="Z79" s="1993"/>
      <c r="AA79" s="1994"/>
      <c r="AB79" s="1994"/>
      <c r="AC79" s="1994"/>
      <c r="AD79" s="1994"/>
      <c r="AE79" s="1994"/>
      <c r="AF79" s="1994"/>
      <c r="AG79" s="1994"/>
      <c r="AH79" s="1994"/>
      <c r="AI79" s="1994"/>
    </row>
    <row r="80" spans="1:35" s="1992" customFormat="1" ht="24" hidden="1">
      <c r="A80" s="178" t="s">
        <v>780</v>
      </c>
      <c r="B80" s="179" t="s">
        <v>2093</v>
      </c>
      <c r="C80" s="2792">
        <f ca="1">IF(C79&lt;=0,0,C79/C73)</f>
        <v>170.30769230769232</v>
      </c>
      <c r="D80" s="175"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8"/>
      <c r="I80" s="1995"/>
      <c r="J80" s="1993"/>
      <c r="K80" s="1993"/>
      <c r="L80" s="1993"/>
      <c r="M80" s="1993"/>
      <c r="N80" s="1993"/>
      <c r="O80" s="1993"/>
      <c r="P80" s="1993"/>
      <c r="Q80" s="1993"/>
      <c r="R80" s="1993"/>
      <c r="S80" s="1993"/>
      <c r="T80" s="1993"/>
      <c r="U80" s="1993"/>
      <c r="V80" s="1993"/>
      <c r="W80" s="1993"/>
      <c r="X80" s="1993"/>
      <c r="Y80" s="1993"/>
      <c r="Z80" s="1993"/>
      <c r="AA80" s="1994"/>
      <c r="AB80" s="1994"/>
      <c r="AC80" s="1994"/>
      <c r="AD80" s="1994"/>
      <c r="AE80" s="1994"/>
      <c r="AF80" s="1994"/>
      <c r="AG80" s="1994"/>
      <c r="AH80" s="1994"/>
      <c r="AI80" s="1994"/>
    </row>
    <row r="81" spans="1:35" s="1992" customFormat="1" ht="24.75" hidden="1" thickBot="1">
      <c r="A81" s="181" t="s">
        <v>781</v>
      </c>
      <c r="B81" s="182" t="s">
        <v>2094</v>
      </c>
      <c r="C81" s="2793">
        <f ca="1">ROUND(IF(C79&lt;=0,0,IF(C80&gt;=200%,C79*60%-C73*35%,IF(C80&gt;=100%,C79*50%-C73*15%,IF(C80&gt;=50%,C79*40%-C73*5%,IF(C80&lt;50%,C79*30%,0))))),0)</f>
        <v>1324</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5"/>
      <c r="J81" s="1993"/>
      <c r="K81" s="1993"/>
      <c r="L81" s="1993"/>
      <c r="M81" s="1993"/>
      <c r="N81" s="1993"/>
      <c r="O81" s="1993"/>
      <c r="P81" s="1993"/>
      <c r="Q81" s="1993"/>
      <c r="R81" s="1993"/>
      <c r="S81" s="1993"/>
      <c r="T81" s="1993"/>
      <c r="U81" s="1993"/>
      <c r="V81" s="1993"/>
      <c r="W81" s="1993"/>
      <c r="X81" s="1993"/>
      <c r="Y81" s="1993"/>
      <c r="Z81" s="1993"/>
      <c r="AA81" s="1994"/>
      <c r="AB81" s="1994"/>
      <c r="AC81" s="1994"/>
      <c r="AD81" s="1994"/>
      <c r="AE81" s="1994"/>
      <c r="AF81" s="1994"/>
      <c r="AG81" s="1994"/>
      <c r="AH81" s="1994"/>
      <c r="AI81" s="1994"/>
    </row>
    <row r="82" spans="1:35" s="1992" customFormat="1" ht="7.5" hidden="1" customHeight="1">
      <c r="A82" s="689"/>
      <c r="B82" s="690"/>
      <c r="C82" s="7"/>
      <c r="D82" s="7"/>
      <c r="E82" s="690"/>
      <c r="F82" s="690"/>
      <c r="G82" s="690"/>
      <c r="H82" s="691"/>
      <c r="I82" s="1998"/>
      <c r="J82" s="1993"/>
      <c r="K82" s="1993"/>
      <c r="L82" s="1993"/>
      <c r="M82" s="1993"/>
      <c r="N82" s="1993"/>
      <c r="O82" s="1993"/>
      <c r="P82" s="1993"/>
      <c r="Q82" s="1993"/>
      <c r="R82" s="1993"/>
      <c r="S82" s="1993"/>
      <c r="T82" s="1993"/>
      <c r="U82" s="1993"/>
      <c r="V82" s="1993"/>
      <c r="W82" s="1993"/>
      <c r="X82" s="1993"/>
      <c r="Y82" s="1993"/>
      <c r="Z82" s="1993"/>
      <c r="AA82" s="1994"/>
      <c r="AB82" s="1994"/>
      <c r="AC82" s="1994"/>
      <c r="AD82" s="1994"/>
      <c r="AE82" s="1994"/>
      <c r="AF82" s="1994"/>
      <c r="AG82" s="1994"/>
      <c r="AH82" s="1994"/>
      <c r="AI82" s="1994"/>
    </row>
    <row r="83" spans="1:35" s="1992" customFormat="1" ht="15" hidden="1" thickBot="1">
      <c r="A83" s="3344" t="s">
        <v>2095</v>
      </c>
      <c r="B83" s="3345"/>
      <c r="C83" s="3345"/>
      <c r="D83" s="3345"/>
      <c r="E83" s="3345"/>
      <c r="F83" s="3345"/>
      <c r="G83" s="3345"/>
      <c r="H83" s="3345"/>
      <c r="I83" s="1996"/>
      <c r="J83" s="1993"/>
      <c r="K83" s="1993"/>
      <c r="L83" s="1993"/>
      <c r="M83" s="1993"/>
      <c r="N83" s="1993"/>
      <c r="O83" s="1993"/>
      <c r="P83" s="1993"/>
      <c r="Q83" s="1993"/>
      <c r="R83" s="1993"/>
      <c r="S83" s="1993"/>
      <c r="T83" s="1993"/>
      <c r="U83" s="1993"/>
      <c r="V83" s="1993"/>
      <c r="W83" s="1993"/>
      <c r="X83" s="1993"/>
      <c r="Y83" s="1993"/>
      <c r="Z83" s="1993"/>
      <c r="AA83" s="1994"/>
      <c r="AB83" s="1994"/>
      <c r="AC83" s="1994"/>
      <c r="AD83" s="1994"/>
      <c r="AE83" s="1994"/>
      <c r="AF83" s="1994"/>
      <c r="AG83" s="1994"/>
      <c r="AH83" s="1994"/>
      <c r="AI83" s="1994"/>
    </row>
    <row r="84" spans="1:35" s="1992" customFormat="1" ht="14.25" hidden="1">
      <c r="A84" s="3336" t="s">
        <v>2060</v>
      </c>
      <c r="B84" s="3337"/>
      <c r="C84" s="2198"/>
      <c r="D84" s="2198" t="s">
        <v>2061</v>
      </c>
      <c r="E84" s="185" t="s">
        <v>2062</v>
      </c>
      <c r="F84" s="186"/>
      <c r="G84" s="186"/>
      <c r="H84" s="197"/>
      <c r="I84" s="1996"/>
      <c r="J84" s="1993"/>
      <c r="K84" s="1993"/>
      <c r="L84" s="1993"/>
      <c r="M84" s="1993"/>
      <c r="N84" s="1993"/>
      <c r="O84" s="1993"/>
      <c r="P84" s="1993"/>
      <c r="Q84" s="1993"/>
      <c r="R84" s="1993"/>
      <c r="S84" s="1993"/>
      <c r="T84" s="1993"/>
      <c r="U84" s="1993"/>
      <c r="V84" s="1993"/>
      <c r="W84" s="1993"/>
      <c r="X84" s="1993"/>
      <c r="Y84" s="1993"/>
      <c r="Z84" s="1993"/>
      <c r="AA84" s="1994"/>
      <c r="AB84" s="1994"/>
      <c r="AC84" s="1994"/>
      <c r="AD84" s="1994"/>
      <c r="AE84" s="1994"/>
      <c r="AF84" s="1994"/>
      <c r="AG84" s="1994"/>
      <c r="AH84" s="1994"/>
      <c r="AI84" s="1994"/>
    </row>
    <row r="85" spans="1:35" s="1992" customFormat="1" ht="14.25" hidden="1">
      <c r="A85" s="178" t="s">
        <v>775</v>
      </c>
      <c r="B85" s="179" t="s">
        <v>2080</v>
      </c>
      <c r="C85" s="2782">
        <f ca="1">ROUND(D45/(1+'数据-取费表'!C42),0)</f>
        <v>2227</v>
      </c>
      <c r="D85" s="175" t="s">
        <v>32</v>
      </c>
      <c r="E85" s="2543"/>
      <c r="F85" s="2542"/>
      <c r="G85" s="2542"/>
      <c r="H85" s="198"/>
      <c r="I85" s="1996"/>
      <c r="J85" s="1993"/>
      <c r="K85" s="1993"/>
      <c r="L85" s="1993"/>
      <c r="M85" s="1993"/>
      <c r="N85" s="1993"/>
      <c r="O85" s="1993"/>
      <c r="P85" s="1993"/>
      <c r="Q85" s="1993"/>
      <c r="R85" s="1993"/>
      <c r="S85" s="1993"/>
      <c r="T85" s="1993"/>
      <c r="U85" s="1993"/>
      <c r="V85" s="1993"/>
      <c r="W85" s="1993"/>
      <c r="X85" s="1993"/>
      <c r="Y85" s="1993"/>
      <c r="Z85" s="1993"/>
      <c r="AA85" s="1994"/>
      <c r="AB85" s="1994"/>
      <c r="AC85" s="1994"/>
      <c r="AD85" s="1994"/>
      <c r="AE85" s="1994"/>
      <c r="AF85" s="1994"/>
      <c r="AG85" s="1994"/>
      <c r="AH85" s="1994"/>
      <c r="AI85" s="1994"/>
    </row>
    <row r="86" spans="1:35" s="1992" customFormat="1" ht="14.25" hidden="1">
      <c r="A86" s="178" t="s">
        <v>772</v>
      </c>
      <c r="B86" s="168" t="s">
        <v>2081</v>
      </c>
      <c r="C86" s="2782">
        <f ca="1">IF(H88="仅含出让金",C87+C90+C91+C92+C93+C94,C87+C91+C92+C93+C94)</f>
        <v>13</v>
      </c>
      <c r="D86" s="2795"/>
      <c r="E86" s="2543"/>
      <c r="F86" s="2542"/>
      <c r="G86" s="2542"/>
      <c r="H86" s="198"/>
      <c r="I86" s="1996"/>
      <c r="J86" s="1993"/>
      <c r="K86" s="1993"/>
      <c r="L86" s="1993"/>
      <c r="M86" s="1993"/>
      <c r="N86" s="1993"/>
      <c r="O86" s="1993"/>
      <c r="P86" s="1993"/>
      <c r="Q86" s="1993"/>
      <c r="R86" s="1993"/>
      <c r="S86" s="1993"/>
      <c r="T86" s="1993"/>
      <c r="U86" s="1993"/>
      <c r="V86" s="1993"/>
      <c r="W86" s="1993"/>
      <c r="X86" s="1993"/>
      <c r="Y86" s="1993"/>
      <c r="Z86" s="1993"/>
      <c r="AA86" s="1994"/>
      <c r="AB86" s="1994"/>
      <c r="AC86" s="1994"/>
      <c r="AD86" s="1994"/>
      <c r="AE86" s="1994"/>
      <c r="AF86" s="1994"/>
      <c r="AG86" s="1994"/>
      <c r="AH86" s="1994"/>
      <c r="AI86" s="1994"/>
    </row>
    <row r="87" spans="1:35" s="1992" customFormat="1" ht="14.25" hidden="1">
      <c r="A87" s="174" t="s">
        <v>770</v>
      </c>
      <c r="B87" s="175" t="s">
        <v>2096</v>
      </c>
      <c r="C87" s="2790">
        <f>C88+C89</f>
        <v>0</v>
      </c>
      <c r="D87" s="2791"/>
      <c r="E87" s="2538"/>
      <c r="F87" s="2539"/>
      <c r="G87" s="2539"/>
      <c r="H87" s="2540"/>
      <c r="I87" s="1996"/>
      <c r="J87" s="1993"/>
      <c r="K87" s="1993"/>
      <c r="L87" s="1993"/>
      <c r="M87" s="1993"/>
      <c r="N87" s="1993"/>
      <c r="O87" s="1993"/>
      <c r="P87" s="1993"/>
      <c r="Q87" s="1993"/>
      <c r="R87" s="1993"/>
      <c r="S87" s="1993"/>
      <c r="T87" s="1993"/>
      <c r="U87" s="1993"/>
      <c r="V87" s="1993"/>
      <c r="W87" s="1993"/>
      <c r="X87" s="1993"/>
      <c r="Y87" s="1993"/>
      <c r="Z87" s="1993"/>
      <c r="AA87" s="1994"/>
      <c r="AB87" s="1994"/>
      <c r="AC87" s="1994"/>
      <c r="AD87" s="1994"/>
      <c r="AE87" s="1994"/>
      <c r="AF87" s="1994"/>
      <c r="AG87" s="1994"/>
      <c r="AH87" s="1994"/>
      <c r="AI87" s="1994"/>
    </row>
    <row r="88" spans="1:35" s="1992" customFormat="1" ht="14.25" hidden="1">
      <c r="A88" s="174" t="s">
        <v>776</v>
      </c>
      <c r="B88" s="175" t="s">
        <v>2097</v>
      </c>
      <c r="C88" s="2796"/>
      <c r="D88" s="2791"/>
      <c r="E88" s="199" t="s">
        <v>2098</v>
      </c>
      <c r="F88" s="2539"/>
      <c r="G88" s="200" t="s">
        <v>2099</v>
      </c>
      <c r="H88" s="1999"/>
      <c r="I88" s="1996"/>
      <c r="J88" s="2735" t="s">
        <v>3022</v>
      </c>
      <c r="K88" s="1993"/>
      <c r="L88" s="1993"/>
      <c r="M88" s="1993"/>
      <c r="N88" s="1993"/>
      <c r="O88" s="1993"/>
      <c r="P88" s="1993"/>
      <c r="Q88" s="1993"/>
      <c r="R88" s="1993"/>
      <c r="S88" s="1993"/>
      <c r="T88" s="1993"/>
      <c r="U88" s="1993"/>
      <c r="V88" s="1993"/>
      <c r="W88" s="1993"/>
      <c r="X88" s="1993"/>
      <c r="Y88" s="1993"/>
      <c r="Z88" s="1993"/>
      <c r="AA88" s="1994"/>
      <c r="AB88" s="1994"/>
      <c r="AC88" s="1994"/>
      <c r="AD88" s="1994"/>
      <c r="AE88" s="1994"/>
      <c r="AF88" s="1994"/>
      <c r="AG88" s="1994"/>
      <c r="AH88" s="1994"/>
      <c r="AI88" s="1994"/>
    </row>
    <row r="89" spans="1:35" s="1992" customFormat="1" ht="14.25" hidden="1">
      <c r="A89" s="174" t="s">
        <v>777</v>
      </c>
      <c r="B89" s="175" t="s">
        <v>2088</v>
      </c>
      <c r="C89" s="2790">
        <f>ROUND(C88*D89,0)</f>
        <v>0</v>
      </c>
      <c r="D89" s="2791">
        <f>'数据-取费表'!B48+'数据-取费表'!B49</f>
        <v>3.0499999999999999E-2</v>
      </c>
      <c r="E89" s="199" t="s">
        <v>2100</v>
      </c>
      <c r="F89" s="2539"/>
      <c r="G89" s="2539"/>
      <c r="H89" s="2540"/>
      <c r="I89" s="1996"/>
      <c r="J89" s="1993"/>
      <c r="K89" s="1993"/>
      <c r="L89" s="1993"/>
      <c r="M89" s="1993"/>
      <c r="N89" s="1993"/>
      <c r="O89" s="1993"/>
      <c r="P89" s="1993"/>
      <c r="Q89" s="1993"/>
      <c r="R89" s="1993"/>
      <c r="S89" s="1993"/>
      <c r="T89" s="1993"/>
      <c r="U89" s="1993"/>
      <c r="V89" s="1993"/>
      <c r="W89" s="1993"/>
      <c r="X89" s="1993"/>
      <c r="Y89" s="1993"/>
      <c r="Z89" s="1993"/>
      <c r="AA89" s="1994"/>
      <c r="AB89" s="1994"/>
      <c r="AC89" s="1994"/>
      <c r="AD89" s="1994"/>
      <c r="AE89" s="1994"/>
      <c r="AF89" s="1994"/>
      <c r="AG89" s="1994"/>
      <c r="AH89" s="1994"/>
      <c r="AI89" s="1994"/>
    </row>
    <row r="90" spans="1:35" s="1992" customFormat="1" ht="14.25" hidden="1">
      <c r="A90" s="174" t="s">
        <v>771</v>
      </c>
      <c r="B90" s="175" t="s">
        <v>2101</v>
      </c>
      <c r="C90" s="2796"/>
      <c r="D90" s="2791"/>
      <c r="E90" s="199" t="str">
        <f>IF(H88="-","土地取得成本中已包含该笔费用"," ")</f>
        <v xml:space="preserve"> </v>
      </c>
      <c r="F90" s="2539"/>
      <c r="G90" s="3302" t="s">
        <v>2863</v>
      </c>
      <c r="H90" s="3303"/>
      <c r="I90" s="1996"/>
      <c r="J90" s="2735" t="s">
        <v>3023</v>
      </c>
      <c r="K90" s="1993"/>
      <c r="L90" s="1993"/>
      <c r="M90" s="1993"/>
      <c r="N90" s="1993"/>
      <c r="O90" s="1993"/>
      <c r="P90" s="1993"/>
      <c r="Q90" s="1993"/>
      <c r="R90" s="1993"/>
      <c r="S90" s="1993"/>
      <c r="T90" s="1993"/>
      <c r="U90" s="1993"/>
      <c r="V90" s="1993"/>
      <c r="W90" s="1993"/>
      <c r="X90" s="1993"/>
      <c r="Y90" s="1993"/>
      <c r="Z90" s="1993"/>
      <c r="AA90" s="1994"/>
      <c r="AB90" s="1994"/>
      <c r="AC90" s="1994"/>
      <c r="AD90" s="1994"/>
      <c r="AE90" s="1994"/>
      <c r="AF90" s="1994"/>
      <c r="AG90" s="1994"/>
      <c r="AH90" s="1994"/>
      <c r="AI90" s="1994"/>
    </row>
    <row r="91" spans="1:35" s="1992" customFormat="1" ht="27.75" hidden="1" customHeight="1">
      <c r="A91" s="174" t="s">
        <v>2102</v>
      </c>
      <c r="B91" s="175" t="s">
        <v>2103</v>
      </c>
      <c r="C91" s="2790">
        <f>IF(H91="——",成本法!C33,I91)</f>
        <v>0</v>
      </c>
      <c r="D91" s="2791"/>
      <c r="E91" s="3333" t="s">
        <v>2104</v>
      </c>
      <c r="F91" s="3334"/>
      <c r="G91" s="3334"/>
      <c r="H91" s="2000"/>
      <c r="I91" s="2001"/>
      <c r="J91" s="1993"/>
      <c r="K91" s="1993"/>
      <c r="L91" s="1993"/>
      <c r="M91" s="1993"/>
      <c r="N91" s="1993"/>
      <c r="O91" s="1993"/>
      <c r="P91" s="1993"/>
      <c r="Q91" s="1993"/>
      <c r="R91" s="1993"/>
      <c r="S91" s="1993"/>
      <c r="T91" s="1993"/>
      <c r="U91" s="1993"/>
      <c r="V91" s="1993"/>
      <c r="W91" s="1993"/>
      <c r="X91" s="1993"/>
      <c r="Y91" s="1993"/>
      <c r="Z91" s="1993"/>
      <c r="AA91" s="1994"/>
      <c r="AB91" s="1994"/>
      <c r="AC91" s="1994"/>
      <c r="AD91" s="1994"/>
      <c r="AE91" s="1994"/>
      <c r="AF91" s="1994"/>
      <c r="AG91" s="1994"/>
      <c r="AH91" s="1994"/>
      <c r="AI91" s="1994"/>
    </row>
    <row r="92" spans="1:35" s="1992" customFormat="1" ht="25.5" hidden="1" customHeight="1">
      <c r="A92" s="174" t="s">
        <v>2105</v>
      </c>
      <c r="B92" s="175" t="s">
        <v>2106</v>
      </c>
      <c r="C92" s="2790">
        <f>ROUND((C87+C90+C91)*D92,0)</f>
        <v>0</v>
      </c>
      <c r="D92" s="2797"/>
      <c r="E92" s="3333" t="s">
        <v>2107</v>
      </c>
      <c r="F92" s="3334"/>
      <c r="G92" s="3334"/>
      <c r="H92" s="3335"/>
      <c r="I92" s="1996"/>
      <c r="J92" s="2736" t="s">
        <v>3024</v>
      </c>
      <c r="K92" s="1993"/>
      <c r="L92" s="1993"/>
      <c r="M92" s="1993"/>
      <c r="N92" s="1993"/>
      <c r="O92" s="1993"/>
      <c r="P92" s="1993"/>
      <c r="Q92" s="1993"/>
      <c r="R92" s="1993"/>
      <c r="S92" s="1993"/>
      <c r="T92" s="1993"/>
      <c r="U92" s="1993"/>
      <c r="V92" s="1993"/>
      <c r="W92" s="1993"/>
      <c r="X92" s="1993"/>
      <c r="Y92" s="1993"/>
      <c r="Z92" s="1993"/>
      <c r="AA92" s="1994"/>
      <c r="AB92" s="1994"/>
      <c r="AC92" s="1994"/>
      <c r="AD92" s="1994"/>
      <c r="AE92" s="1994"/>
      <c r="AF92" s="1994"/>
      <c r="AG92" s="1994"/>
      <c r="AH92" s="1994"/>
      <c r="AI92" s="1994"/>
    </row>
    <row r="93" spans="1:35" s="1992" customFormat="1" ht="25.5" hidden="1" customHeight="1">
      <c r="A93" s="174" t="s">
        <v>2108</v>
      </c>
      <c r="B93" s="175" t="s">
        <v>2090</v>
      </c>
      <c r="C93" s="2790">
        <f ca="1">ROUND(D45*D93/(1+'数据-取费表'!C42),0)</f>
        <v>13</v>
      </c>
      <c r="D93" s="2791">
        <f>'数据-取费表'!B43</f>
        <v>6.000000000000001E-3</v>
      </c>
      <c r="E93" s="3333" t="s">
        <v>2091</v>
      </c>
      <c r="F93" s="3334"/>
      <c r="G93" s="3334"/>
      <c r="H93" s="3335"/>
      <c r="I93" s="1996"/>
      <c r="J93" s="1993"/>
      <c r="K93" s="1993"/>
      <c r="L93" s="1993"/>
      <c r="M93" s="1993"/>
      <c r="N93" s="1993"/>
      <c r="O93" s="1993"/>
      <c r="P93" s="1993"/>
      <c r="Q93" s="1993"/>
      <c r="R93" s="1993"/>
      <c r="S93" s="1993"/>
      <c r="T93" s="1993"/>
      <c r="U93" s="1993"/>
      <c r="V93" s="1993"/>
      <c r="W93" s="1993"/>
      <c r="X93" s="1993"/>
      <c r="Y93" s="1993"/>
      <c r="Z93" s="1993"/>
      <c r="AA93" s="1994"/>
      <c r="AB93" s="1994"/>
      <c r="AC93" s="1994"/>
      <c r="AD93" s="1994"/>
      <c r="AE93" s="1994"/>
      <c r="AF93" s="1994"/>
      <c r="AG93" s="1994"/>
      <c r="AH93" s="1994"/>
      <c r="AI93" s="1994"/>
    </row>
    <row r="94" spans="1:35" s="1992" customFormat="1" ht="36.75" hidden="1" customHeight="1">
      <c r="A94" s="174" t="s">
        <v>2109</v>
      </c>
      <c r="B94" s="175" t="s">
        <v>2110</v>
      </c>
      <c r="C94" s="2796">
        <f>ROUND((C87+C90+C91)*D94,0)</f>
        <v>0</v>
      </c>
      <c r="D94" s="2791">
        <v>0.2</v>
      </c>
      <c r="E94" s="3381" t="s">
        <v>2111</v>
      </c>
      <c r="F94" s="3382"/>
      <c r="G94" s="3382"/>
      <c r="H94" s="3383"/>
      <c r="I94" s="1996"/>
      <c r="J94" s="1993"/>
      <c r="K94" s="1993"/>
      <c r="L94" s="1993"/>
      <c r="M94" s="1993"/>
      <c r="N94" s="1993"/>
      <c r="O94" s="1993"/>
      <c r="P94" s="1993"/>
      <c r="Q94" s="1993"/>
      <c r="R94" s="1993"/>
      <c r="S94" s="1993"/>
      <c r="T94" s="1993"/>
      <c r="U94" s="1993"/>
      <c r="V94" s="1993"/>
      <c r="W94" s="1993"/>
      <c r="X94" s="1993"/>
      <c r="Y94" s="1993"/>
      <c r="Z94" s="1993"/>
      <c r="AA94" s="1994"/>
      <c r="AB94" s="1994"/>
      <c r="AC94" s="1994"/>
      <c r="AD94" s="1994"/>
      <c r="AE94" s="1994"/>
      <c r="AF94" s="1994"/>
      <c r="AG94" s="1994"/>
      <c r="AH94" s="1994"/>
      <c r="AI94" s="1994"/>
    </row>
    <row r="95" spans="1:35" s="1992" customFormat="1" ht="14.25" hidden="1">
      <c r="A95" s="178" t="s">
        <v>779</v>
      </c>
      <c r="B95" s="179" t="s">
        <v>2092</v>
      </c>
      <c r="C95" s="2782">
        <f ca="1">ROUND(C85-C86,0)</f>
        <v>2214</v>
      </c>
      <c r="D95" s="175" t="s">
        <v>32</v>
      </c>
      <c r="E95" s="2543"/>
      <c r="F95" s="2542"/>
      <c r="G95" s="2542"/>
      <c r="H95" s="198"/>
      <c r="I95" s="1996"/>
      <c r="J95" s="1993"/>
      <c r="K95" s="1993"/>
      <c r="L95" s="1993"/>
      <c r="M95" s="1993"/>
      <c r="N95" s="1993"/>
      <c r="O95" s="1993"/>
      <c r="P95" s="1993"/>
      <c r="Q95" s="1993"/>
      <c r="R95" s="1993"/>
      <c r="S95" s="1993"/>
      <c r="T95" s="1993"/>
      <c r="U95" s="1993"/>
      <c r="V95" s="1993"/>
      <c r="W95" s="1993"/>
      <c r="X95" s="1993"/>
      <c r="Y95" s="1993"/>
      <c r="Z95" s="1993"/>
      <c r="AA95" s="1994"/>
      <c r="AB95" s="1994"/>
      <c r="AC95" s="1994"/>
      <c r="AD95" s="1994"/>
      <c r="AE95" s="1994"/>
      <c r="AF95" s="1994"/>
      <c r="AG95" s="1994"/>
      <c r="AH95" s="1994"/>
      <c r="AI95" s="1994"/>
    </row>
    <row r="96" spans="1:35" s="1992" customFormat="1" ht="24" hidden="1">
      <c r="A96" s="178" t="s">
        <v>780</v>
      </c>
      <c r="B96" s="179" t="s">
        <v>2093</v>
      </c>
      <c r="C96" s="2792">
        <f ca="1">IF(C95&lt;=0,0,C95/C86)</f>
        <v>170.30769230769232</v>
      </c>
      <c r="D96" s="175" t="s">
        <v>32</v>
      </c>
      <c r="E96" s="2536" t="str">
        <f ca="1">IF(C96&gt;=200%,"增值额超过扣除项目金额200%",IF(C96&gt;=100%,"增值额超过扣除项目金额100%，未超过200%",IF(C96&gt;=50%,"增值额超过扣除项目金额50%，未超过100%",IF(C96&lt;50%,"增值额未超过扣除项目金额50%"))))</f>
        <v>增值额超过扣除项目金额200%</v>
      </c>
      <c r="F96" s="2542"/>
      <c r="G96" s="2542"/>
      <c r="H96" s="198"/>
      <c r="I96" s="1996"/>
      <c r="J96" s="1993"/>
      <c r="K96" s="1993"/>
      <c r="L96" s="1993"/>
      <c r="M96" s="1993"/>
      <c r="N96" s="1993"/>
      <c r="O96" s="1993"/>
      <c r="P96" s="1993"/>
      <c r="Q96" s="1993"/>
      <c r="R96" s="1993"/>
      <c r="S96" s="1993"/>
      <c r="T96" s="1993"/>
      <c r="U96" s="1993"/>
      <c r="V96" s="1993"/>
      <c r="W96" s="1993"/>
      <c r="X96" s="1993"/>
      <c r="Y96" s="1993"/>
      <c r="Z96" s="1993"/>
      <c r="AA96" s="1994"/>
      <c r="AB96" s="1994"/>
      <c r="AC96" s="1994"/>
      <c r="AD96" s="1994"/>
      <c r="AE96" s="1994"/>
      <c r="AF96" s="1994"/>
      <c r="AG96" s="1994"/>
      <c r="AH96" s="1994"/>
      <c r="AI96" s="1994"/>
    </row>
    <row r="97" spans="1:35" s="1992" customFormat="1" ht="24.75" hidden="1" thickBot="1">
      <c r="A97" s="181" t="s">
        <v>781</v>
      </c>
      <c r="B97" s="182" t="s">
        <v>2094</v>
      </c>
      <c r="C97" s="2793">
        <f ca="1">ROUND(IF(C95&lt;=0,0,IF(C96&gt;=200%,C95*60%-C86*35%,IF(C96&gt;=100%,C95*50%-C86*15%,IF(C96&gt;=50%,C95*40%-C86*5%,IF(C96&lt;50%,C95*30%,0))))),0)</f>
        <v>1324</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6"/>
      <c r="J97" s="1993"/>
      <c r="K97" s="1993"/>
      <c r="L97" s="1993"/>
      <c r="M97" s="1993"/>
      <c r="N97" s="1993"/>
      <c r="O97" s="1993"/>
      <c r="P97" s="1993"/>
      <c r="Q97" s="1993"/>
      <c r="R97" s="1993"/>
      <c r="S97" s="1993"/>
      <c r="T97" s="1993"/>
      <c r="U97" s="1993"/>
      <c r="V97" s="1993"/>
      <c r="W97" s="1993"/>
      <c r="X97" s="1993"/>
      <c r="Y97" s="1993"/>
      <c r="Z97" s="1993"/>
      <c r="AA97" s="1994"/>
      <c r="AB97" s="1994"/>
      <c r="AC97" s="1994"/>
      <c r="AD97" s="1994"/>
      <c r="AE97" s="1994"/>
      <c r="AF97" s="1994"/>
      <c r="AG97" s="1994"/>
      <c r="AH97" s="1994"/>
      <c r="AI97" s="1994"/>
    </row>
    <row r="98" spans="1:35" ht="21.75" hidden="1" customHeight="1">
      <c r="A98" s="1984"/>
      <c r="B98" s="1922"/>
      <c r="C98" s="1922"/>
      <c r="D98" s="1922"/>
      <c r="E98" s="1753"/>
      <c r="F98" s="1753"/>
      <c r="G98" s="1753"/>
      <c r="H98" s="1752"/>
      <c r="I98" s="134"/>
    </row>
    <row r="99" spans="1:35" ht="21.75" customHeight="1" thickBot="1">
      <c r="A99" s="1975" t="s">
        <v>2112</v>
      </c>
      <c r="B99" s="1922"/>
      <c r="C99" s="1922"/>
      <c r="D99" s="1922"/>
      <c r="E99" s="1753"/>
      <c r="F99" s="1753"/>
      <c r="G99" s="1753"/>
      <c r="H99" s="1752"/>
      <c r="I99" s="134"/>
    </row>
    <row r="100" spans="1:35" ht="18.75" customHeight="1">
      <c r="A100" s="3283" t="s">
        <v>2113</v>
      </c>
      <c r="B100" s="3284"/>
      <c r="C100" s="3284"/>
      <c r="D100" s="3318"/>
      <c r="E100" s="3284" t="s">
        <v>2114</v>
      </c>
      <c r="F100" s="3284"/>
      <c r="G100" s="3284"/>
      <c r="H100" s="3318"/>
      <c r="I100" s="134"/>
    </row>
    <row r="101" spans="1:35" ht="18.75" customHeight="1">
      <c r="A101" s="3326" t="s">
        <v>2115</v>
      </c>
      <c r="B101" s="3327"/>
      <c r="C101" s="2799" t="str">
        <f>C4</f>
        <v>典型户型修正</v>
      </c>
      <c r="D101" s="2800" t="str">
        <f>D4</f>
        <v>收益法（汇总）</v>
      </c>
      <c r="E101" s="3296" t="s">
        <v>2116</v>
      </c>
      <c r="F101" s="3297"/>
      <c r="G101" s="2002" t="s">
        <v>2117</v>
      </c>
      <c r="H101" s="2809">
        <f ca="1">H118</f>
        <v>2338</v>
      </c>
      <c r="I101" s="134"/>
    </row>
    <row r="102" spans="1:35" ht="18.75" customHeight="1">
      <c r="A102" s="3328" t="s">
        <v>2118</v>
      </c>
      <c r="B102" s="2798" t="s">
        <v>2117</v>
      </c>
      <c r="C102" s="2799">
        <f ca="1">C19</f>
        <v>2785</v>
      </c>
      <c r="D102" s="2800">
        <f ca="1">D19</f>
        <v>1296</v>
      </c>
      <c r="E102" s="3296"/>
      <c r="F102" s="3297"/>
      <c r="G102" s="2002" t="s">
        <v>2119</v>
      </c>
      <c r="H102" s="2769">
        <f ca="1">I118</f>
        <v>23408</v>
      </c>
      <c r="I102" s="134"/>
    </row>
    <row r="103" spans="1:35" ht="42.75" customHeight="1">
      <c r="A103" s="3328"/>
      <c r="B103" s="2798" t="s">
        <v>2119</v>
      </c>
      <c r="C103" s="2801">
        <f ca="1">C20</f>
        <v>27883</v>
      </c>
      <c r="D103" s="2802">
        <f ca="1">D20</f>
        <v>12975</v>
      </c>
      <c r="E103" s="3289" t="s">
        <v>3461</v>
      </c>
      <c r="F103" s="3290"/>
      <c r="G103" s="2003" t="s">
        <v>2120</v>
      </c>
      <c r="H103" s="2809">
        <f>IF(D36="正常操作",H104+H105+H106,H105+H106)</f>
        <v>0</v>
      </c>
      <c r="I103" s="134"/>
    </row>
    <row r="104" spans="1:35" ht="18.75" customHeight="1">
      <c r="A104" s="3328" t="s">
        <v>2121</v>
      </c>
      <c r="B104" s="2803" t="s">
        <v>2117</v>
      </c>
      <c r="C104" s="2804">
        <f ca="1">H118</f>
        <v>2338</v>
      </c>
      <c r="D104" s="2805"/>
      <c r="E104" s="1849" t="s">
        <v>2122</v>
      </c>
      <c r="F104" s="1841"/>
      <c r="G104" s="2003" t="s">
        <v>2120</v>
      </c>
      <c r="H104" s="2810">
        <f>IF(D36="同一抵押权人同一抵押物续贷",C36&amp;"（续贷，未扣减，详见特别提示）",C36)</f>
        <v>2177.6000000000004</v>
      </c>
      <c r="I104" s="134"/>
    </row>
    <row r="105" spans="1:35" ht="18.75" customHeight="1" thickBot="1">
      <c r="A105" s="3338"/>
      <c r="B105" s="2806" t="s">
        <v>2119</v>
      </c>
      <c r="C105" s="2807">
        <f ca="1">I118</f>
        <v>23408</v>
      </c>
      <c r="D105" s="2808"/>
      <c r="E105" s="1849" t="s">
        <v>2123</v>
      </c>
      <c r="F105" s="1841"/>
      <c r="G105" s="2003" t="s">
        <v>2120</v>
      </c>
      <c r="H105" s="2811">
        <f>C37</f>
        <v>0</v>
      </c>
      <c r="I105" s="134"/>
    </row>
    <row r="106" spans="1:35" ht="18.75" customHeight="1">
      <c r="A106" s="1922" t="s">
        <v>2124</v>
      </c>
      <c r="B106" s="1922"/>
      <c r="C106" s="1922"/>
      <c r="D106" s="1922"/>
      <c r="E106" s="2004" t="s">
        <v>2125</v>
      </c>
      <c r="F106" s="1841"/>
      <c r="G106" s="2003" t="s">
        <v>2120</v>
      </c>
      <c r="H106" s="2811">
        <f>C38</f>
        <v>0</v>
      </c>
      <c r="I106" s="134"/>
    </row>
    <row r="107" spans="1:35" ht="18.75" customHeight="1">
      <c r="A107" s="134"/>
      <c r="B107" s="134"/>
      <c r="C107" s="134"/>
      <c r="D107" s="134"/>
      <c r="E107" s="3329" t="str">
        <f>IF(项目基本情况!E8="已注销","——","3.房地产抵押价值")</f>
        <v>——</v>
      </c>
      <c r="F107" s="3297"/>
      <c r="G107" s="2002" t="s">
        <v>2117</v>
      </c>
      <c r="H107" s="2809" t="str">
        <f>IF(E107="——","——",H101-H103)</f>
        <v>——</v>
      </c>
      <c r="I107" s="134"/>
    </row>
    <row r="108" spans="1:35" ht="18.75" customHeight="1">
      <c r="A108" s="134"/>
      <c r="B108" s="134"/>
      <c r="C108" s="134"/>
      <c r="D108" s="134"/>
      <c r="E108" s="3329"/>
      <c r="F108" s="3297"/>
      <c r="G108" s="2002" t="s">
        <v>2119</v>
      </c>
      <c r="H108" s="2769" t="e">
        <f>ROUND(H107*10000/'数据-汇总表'!E3,0)</f>
        <v>#VALUE!</v>
      </c>
      <c r="I108" s="134"/>
    </row>
    <row r="109" spans="1:35" ht="18.75" customHeight="1">
      <c r="A109" s="134"/>
      <c r="B109" s="134"/>
      <c r="C109" s="134"/>
      <c r="D109" s="134"/>
      <c r="E109" s="3329" t="str">
        <f>IF(项目基本情况!E8="已注销及未注销","4.抵押担保权已注销时的房地产抵押价值",IF(项目基本情况!E8="已注销","3.抵押担保权已注销时的房地产抵押价值","——"))</f>
        <v>3.抵押担保权已注销时的房地产抵押价值</v>
      </c>
      <c r="F109" s="3297"/>
      <c r="G109" s="2002" t="s">
        <v>2117</v>
      </c>
      <c r="H109" s="2812">
        <f ca="1">IF(E109="——","——",H101-H105-H106)</f>
        <v>2338</v>
      </c>
      <c r="I109" s="134"/>
    </row>
    <row r="110" spans="1:35" ht="18.75" customHeight="1">
      <c r="A110" s="134"/>
      <c r="B110" s="134"/>
      <c r="C110" s="134"/>
      <c r="D110" s="134"/>
      <c r="E110" s="3329"/>
      <c r="F110" s="3297"/>
      <c r="G110" s="2002" t="s">
        <v>2119</v>
      </c>
      <c r="H110" s="2769">
        <f ca="1">IF(H109="——","——",ROUND(H109*10000/'数据-汇总表'!E3,0))</f>
        <v>23408</v>
      </c>
      <c r="I110" s="134"/>
    </row>
    <row r="111" spans="1:35" ht="18.75" customHeight="1">
      <c r="A111" s="134"/>
      <c r="B111" s="134"/>
      <c r="C111" s="134"/>
      <c r="D111" s="134"/>
      <c r="E111" s="3330" t="str">
        <f>IF(项目基本情况!E9="抵押净值",IF(OR(项目基本情况!E8="已注销",项目基本情况!E8="房地产抵押价值"),"4.抵押净值","5.抵押净值"),"——")</f>
        <v>——</v>
      </c>
      <c r="F111" s="3316"/>
      <c r="G111" s="2002" t="s">
        <v>2117</v>
      </c>
      <c r="H111" s="2809" t="str">
        <f>IF(E111="——","——",N59)</f>
        <v>——</v>
      </c>
      <c r="I111" s="134"/>
    </row>
    <row r="112" spans="1:35" ht="18.75" customHeight="1" thickBot="1">
      <c r="A112" s="134"/>
      <c r="B112" s="134"/>
      <c r="C112" s="134"/>
      <c r="D112" s="134"/>
      <c r="E112" s="3331"/>
      <c r="F112" s="3332"/>
      <c r="G112" s="2005" t="s">
        <v>2119</v>
      </c>
      <c r="H112" s="2813" t="str">
        <f>IF(E111="——","——",N61)</f>
        <v>——</v>
      </c>
      <c r="I112" s="134"/>
    </row>
    <row r="113" spans="1:27" ht="18.75" customHeight="1">
      <c r="A113" s="134"/>
      <c r="B113" s="134"/>
      <c r="C113" s="134"/>
      <c r="D113" s="134"/>
      <c r="E113" s="3339" t="s">
        <v>2124</v>
      </c>
      <c r="F113" s="3339"/>
      <c r="G113" s="3339"/>
      <c r="H113" s="3339"/>
      <c r="I113" s="134"/>
    </row>
    <row r="114" spans="1:27" ht="3.75" customHeight="1">
      <c r="A114" s="1922"/>
      <c r="B114" s="1922"/>
      <c r="C114" s="1922"/>
      <c r="D114" s="1922"/>
      <c r="E114" s="1984"/>
      <c r="F114" s="1984"/>
      <c r="G114" s="1984"/>
      <c r="H114" s="1984"/>
      <c r="I114" s="1922"/>
    </row>
    <row r="115" spans="1:27" ht="18.75" customHeight="1">
      <c r="A115" s="3350" t="s">
        <v>2126</v>
      </c>
      <c r="B115" s="3351"/>
      <c r="C115" s="3351"/>
      <c r="D115" s="3351"/>
      <c r="E115" s="3351"/>
      <c r="F115" s="3351"/>
      <c r="G115" s="3351"/>
      <c r="H115" s="3351"/>
      <c r="I115" s="3352"/>
    </row>
    <row r="116" spans="1:27" ht="27" customHeight="1">
      <c r="A116" s="3304" t="s">
        <v>2127</v>
      </c>
      <c r="B116" s="3308" t="s">
        <v>2128</v>
      </c>
      <c r="C116" s="3308" t="s">
        <v>2129</v>
      </c>
      <c r="D116" s="3314" t="s">
        <v>2130</v>
      </c>
      <c r="E116" s="3315"/>
      <c r="F116" s="3346" t="s">
        <v>2131</v>
      </c>
      <c r="G116" s="3346"/>
      <c r="H116" s="3304" t="s">
        <v>2132</v>
      </c>
      <c r="I116" s="3304"/>
    </row>
    <row r="117" spans="1:27" ht="18.75" customHeight="1">
      <c r="A117" s="3304"/>
      <c r="B117" s="3309"/>
      <c r="C117" s="3309"/>
      <c r="D117" s="2541" t="s">
        <v>2133</v>
      </c>
      <c r="E117" s="2541" t="s">
        <v>2134</v>
      </c>
      <c r="F117" s="2541" t="s">
        <v>2133</v>
      </c>
      <c r="G117" s="2541" t="s">
        <v>2135</v>
      </c>
      <c r="H117" s="2541" t="s">
        <v>2133</v>
      </c>
      <c r="I117" s="2541" t="s">
        <v>2135</v>
      </c>
    </row>
    <row r="118" spans="1:27" ht="24.75" customHeight="1">
      <c r="A118" s="2814" t="str">
        <f>项目基本情况!S2</f>
        <v>北京市丰台区丰仪路1号院1号楼1至2层101房地产</v>
      </c>
      <c r="B118" s="2541">
        <f>M18</f>
        <v>998.81000000000006</v>
      </c>
      <c r="C118" s="2541">
        <f>M19</f>
        <v>0</v>
      </c>
      <c r="D118" s="2541">
        <f ca="1">ROUND(IF(D32="总价",C34,E118*B118/10000),0)</f>
        <v>1931</v>
      </c>
      <c r="E118" s="2541">
        <f ca="1">ROUND(IF(C33="自定义",IF(D32="楼面单价",C34,D118*10000/B118),I118-G118),0)</f>
        <v>19333</v>
      </c>
      <c r="F118" s="2541">
        <f ca="1">ROUND(IF(D32="总价",C35,G118*B118/10000),0)</f>
        <v>407</v>
      </c>
      <c r="G118" s="2541">
        <f ca="1">ROUND(IF(D32="楼面单价",C35,F118*10000/B118),0)</f>
        <v>4075</v>
      </c>
      <c r="H118" s="2541">
        <f ca="1">ROUND(IF(D32="总价",C32,I118*B118/10000),0)</f>
        <v>2338</v>
      </c>
      <c r="I118" s="2541">
        <f ca="1">ROUND(IF(D32="楼面单价",C32,H118*10000/B118),0)</f>
        <v>23408</v>
      </c>
    </row>
    <row r="119" spans="1:27" ht="18.75" customHeight="1">
      <c r="A119" s="3304" t="s">
        <v>2136</v>
      </c>
      <c r="B119" s="3304"/>
      <c r="C119" s="3304"/>
      <c r="D119" s="3310" t="str">
        <f ca="1">NUMBERSTRING(INT(D118*10000),2)&amp;"元整"</f>
        <v>壹仟玖佰叁拾壹万元整</v>
      </c>
      <c r="E119" s="3311"/>
      <c r="F119" s="3310" t="str">
        <f ca="1">NUMBERSTRING(INT(F118*10000),2)&amp;"元整"</f>
        <v>肆佰零柒万元整</v>
      </c>
      <c r="G119" s="3311"/>
      <c r="H119" s="3310" t="str">
        <f ca="1">NUMBERSTRING(INT(H118*10000),2)&amp;"元整"</f>
        <v>贰仟叁佰叁拾捌万元整</v>
      </c>
      <c r="I119" s="3311"/>
    </row>
    <row r="120" spans="1:27" ht="18.75" customHeight="1">
      <c r="A120" s="3305" t="str">
        <f>IF(项目基本情况!B9="房地产市场价值","",MID(E103,3,LEN(E103)-2))</f>
        <v>估价师知悉的除抵押担保权以外的法定优先受偿款</v>
      </c>
      <c r="B120" s="3306"/>
      <c r="C120" s="3307"/>
      <c r="D120" s="3305">
        <f>H103</f>
        <v>0</v>
      </c>
      <c r="E120" s="3306"/>
      <c r="F120" s="3306"/>
      <c r="G120" s="3306"/>
      <c r="H120" s="3306"/>
      <c r="I120" s="3307"/>
      <c r="J120" s="1927"/>
      <c r="K120" s="1927" t="str">
        <f>IF(D120=0,"故，本次评估不存在"&amp;A120,"故，本次评估"&amp;A120&amp;"为人民币"&amp;D120&amp;"万元整。")</f>
        <v>故，本次评估不存在估价师知悉的除抵押担保权以外的法定优先受偿款</v>
      </c>
      <c r="L120" s="1927"/>
      <c r="M120" s="1927"/>
      <c r="N120" s="1927"/>
      <c r="O120" s="1927"/>
      <c r="P120" s="1927"/>
      <c r="Q120" s="1927"/>
      <c r="R120" s="1927"/>
      <c r="S120" s="1927"/>
    </row>
    <row r="121" spans="1:27" ht="18.75" customHeight="1">
      <c r="A121" s="3347" t="s">
        <v>2136</v>
      </c>
      <c r="B121" s="3348"/>
      <c r="C121" s="3349"/>
      <c r="D121" s="3310" t="str">
        <f>IF(D120=0,"零元整",NUMBERSTRING(INT(D120*10000),2)&amp;"元整")</f>
        <v>零元整</v>
      </c>
      <c r="E121" s="3312"/>
      <c r="F121" s="3312"/>
      <c r="G121" s="3312"/>
      <c r="H121" s="3312"/>
      <c r="I121" s="3311"/>
      <c r="AA121" s="734"/>
    </row>
    <row r="122" spans="1:27" ht="18.75" customHeight="1">
      <c r="A122" s="3316" t="str">
        <f>IF(项目基本情况!B9="房地产市场价值","",MID(E107,3,LEN(E107)-2))</f>
        <v/>
      </c>
      <c r="B122" s="3316"/>
      <c r="C122" s="3316"/>
      <c r="D122" s="3305" t="str">
        <f>H107</f>
        <v>——</v>
      </c>
      <c r="E122" s="3306"/>
      <c r="F122" s="3306"/>
      <c r="G122" s="3306"/>
      <c r="H122" s="3306"/>
      <c r="I122" s="3307"/>
      <c r="AA122" s="734"/>
    </row>
    <row r="123" spans="1:27" ht="18.75" customHeight="1">
      <c r="A123" s="3304" t="s">
        <v>2136</v>
      </c>
      <c r="B123" s="3304"/>
      <c r="C123" s="3304"/>
      <c r="D123" s="3310" t="e">
        <f>NUMBERSTRING(INT(D122*10000),2)&amp;"元整"</f>
        <v>#VALUE!</v>
      </c>
      <c r="E123" s="3312"/>
      <c r="F123" s="3312"/>
      <c r="G123" s="3312"/>
      <c r="H123" s="3312"/>
      <c r="I123" s="3311"/>
      <c r="AA123" s="734"/>
    </row>
    <row r="124" spans="1:27" ht="18.75" customHeight="1">
      <c r="A124" s="3316" t="str">
        <f>IF(项目基本情况!B9="房地产市场价值","",MID(E109,3,LEN(E109)-2))</f>
        <v>抵押担保权已注销时的房地产抵押价值</v>
      </c>
      <c r="B124" s="3316"/>
      <c r="C124" s="3316"/>
      <c r="D124" s="3305">
        <f ca="1">H109</f>
        <v>2338</v>
      </c>
      <c r="E124" s="3306"/>
      <c r="F124" s="3306"/>
      <c r="G124" s="3306"/>
      <c r="H124" s="3306"/>
      <c r="I124" s="3307"/>
      <c r="AA124" s="734"/>
    </row>
    <row r="125" spans="1:27" ht="18.75" customHeight="1">
      <c r="A125" s="3304" t="s">
        <v>2136</v>
      </c>
      <c r="B125" s="3304"/>
      <c r="C125" s="3304"/>
      <c r="D125" s="3310" t="str">
        <f ca="1">NUMBERSTRING(INT(D124*10000),2)&amp;"元整"</f>
        <v>贰仟叁佰叁拾捌万元整</v>
      </c>
      <c r="E125" s="3312"/>
      <c r="F125" s="3312"/>
      <c r="G125" s="3312"/>
      <c r="H125" s="3312"/>
      <c r="I125" s="3311"/>
      <c r="AA125" s="734"/>
    </row>
    <row r="126" spans="1:27" ht="18.75" customHeight="1">
      <c r="A126" s="3316" t="str">
        <f>IF(项目基本情况!B9="房地产市场价值","",MID(E111,3,LEN(E111)-2))</f>
        <v/>
      </c>
      <c r="B126" s="3316"/>
      <c r="C126" s="3316"/>
      <c r="D126" s="3305" t="str">
        <f>H111</f>
        <v>——</v>
      </c>
      <c r="E126" s="3306"/>
      <c r="F126" s="3306"/>
      <c r="G126" s="3306"/>
      <c r="H126" s="3306"/>
      <c r="I126" s="3307"/>
      <c r="AA126" s="734"/>
    </row>
    <row r="127" spans="1:27" ht="18.75" customHeight="1">
      <c r="A127" s="3304" t="s">
        <v>2136</v>
      </c>
      <c r="B127" s="3304"/>
      <c r="C127" s="3304"/>
      <c r="D127" s="3310" t="e">
        <f>NUMBERSTRING(INT(D126*10000),2)&amp;"元整"</f>
        <v>#VALUE!</v>
      </c>
      <c r="E127" s="3312"/>
      <c r="F127" s="3312"/>
      <c r="G127" s="3312"/>
      <c r="H127" s="3312"/>
      <c r="I127" s="3311"/>
      <c r="AA127" s="734"/>
    </row>
    <row r="128" spans="1:27" ht="21.75" customHeight="1">
      <c r="A128" s="3313" t="s">
        <v>2137</v>
      </c>
      <c r="B128" s="3313"/>
      <c r="C128" s="3313"/>
      <c r="D128" s="3313"/>
      <c r="E128" s="3313"/>
      <c r="F128" s="3313"/>
      <c r="G128" s="3313"/>
      <c r="H128" s="3313"/>
      <c r="I128" s="3313"/>
      <c r="AA128" s="734"/>
    </row>
    <row r="129" spans="1:35" ht="21.75" customHeight="1">
      <c r="A129" s="2006" t="s">
        <v>2138</v>
      </c>
      <c r="B129" s="2007"/>
      <c r="C129" s="2008" t="s">
        <v>2139</v>
      </c>
      <c r="D129" s="2009"/>
      <c r="E129" s="2009"/>
      <c r="F129" s="2009"/>
      <c r="G129" s="2009"/>
      <c r="H129" s="2010"/>
      <c r="I129" s="2011"/>
      <c r="AA129" s="734"/>
    </row>
    <row r="130" spans="1:35" ht="21.75" customHeight="1">
      <c r="A130" s="2012">
        <v>1</v>
      </c>
      <c r="B130" s="2013"/>
      <c r="C130" s="2013"/>
      <c r="D130" s="2014"/>
      <c r="E130" s="2014"/>
      <c r="F130" s="2014"/>
      <c r="G130" s="2014"/>
      <c r="H130" s="2015"/>
      <c r="I130" s="2016"/>
      <c r="AA130" s="734"/>
    </row>
    <row r="131" spans="1:35" ht="21.75" customHeight="1">
      <c r="A131" s="2012">
        <v>2</v>
      </c>
      <c r="B131" s="2013"/>
      <c r="C131" s="2013"/>
      <c r="D131" s="2014"/>
      <c r="E131" s="2014"/>
      <c r="F131" s="2014"/>
      <c r="G131" s="2014"/>
      <c r="H131" s="2015"/>
      <c r="I131" s="2016"/>
      <c r="AA131" s="734"/>
    </row>
    <row r="132" spans="1:35" ht="21.75" customHeight="1">
      <c r="A132" s="2012">
        <v>3</v>
      </c>
      <c r="B132" s="2013"/>
      <c r="C132" s="2013"/>
      <c r="D132" s="2014"/>
      <c r="E132" s="2014"/>
      <c r="F132" s="2014"/>
      <c r="G132" s="2014"/>
      <c r="H132" s="2015"/>
      <c r="I132" s="2016"/>
      <c r="AA132" s="734"/>
    </row>
    <row r="133" spans="1:35" ht="21.75" customHeight="1">
      <c r="A133" s="2017"/>
      <c r="B133" s="2018"/>
      <c r="C133" s="2018"/>
      <c r="D133" s="2019"/>
      <c r="E133" s="2019"/>
      <c r="F133" s="2019"/>
      <c r="G133" s="2019"/>
      <c r="H133" s="2020"/>
      <c r="I133" s="2021"/>
    </row>
    <row r="134" spans="1:35" ht="21.75" customHeight="1">
      <c r="A134" s="2013"/>
      <c r="B134" s="2013"/>
      <c r="C134" s="2013"/>
      <c r="D134" s="2014"/>
      <c r="E134" s="2014"/>
      <c r="F134" s="2014"/>
      <c r="G134" s="2014"/>
      <c r="H134" s="2015"/>
      <c r="I134" s="734"/>
    </row>
    <row r="135" spans="1:35" ht="21.75" customHeight="1">
      <c r="A135" s="734"/>
      <c r="B135" s="734"/>
      <c r="C135" s="734"/>
      <c r="D135" s="734"/>
      <c r="E135" s="734"/>
      <c r="F135" s="2022" t="s">
        <v>2140</v>
      </c>
      <c r="G135" s="2023"/>
      <c r="H135" s="2023"/>
      <c r="I135" s="2024" t="s">
        <v>2141</v>
      </c>
    </row>
    <row r="136" spans="1:35" ht="21.75" customHeight="1">
      <c r="A136" s="734"/>
      <c r="B136" s="2025"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3"/>
      <c r="C138" s="2023"/>
      <c r="D138" s="2023"/>
      <c r="E138" s="2023"/>
      <c r="F138" s="2023"/>
      <c r="G138" s="2023"/>
      <c r="H138" s="2023"/>
      <c r="I138" s="2024" t="s">
        <v>2143</v>
      </c>
    </row>
    <row r="139" spans="1:35" ht="21.75" customHeight="1">
      <c r="A139" s="734"/>
      <c r="B139" s="2025" t="s">
        <v>2144</v>
      </c>
      <c r="C139" s="734"/>
      <c r="D139" s="734"/>
      <c r="E139" s="734"/>
      <c r="F139" s="734"/>
      <c r="G139" s="734"/>
      <c r="H139" s="734"/>
      <c r="I139" s="734"/>
    </row>
    <row r="140" spans="1:35" ht="21.75" customHeight="1">
      <c r="A140" s="734"/>
      <c r="B140" s="2025"/>
      <c r="C140" s="734"/>
      <c r="D140" s="734"/>
      <c r="E140" s="734"/>
      <c r="F140" s="734"/>
      <c r="G140" s="734"/>
      <c r="H140" s="734"/>
      <c r="I140" s="734"/>
    </row>
    <row r="141" spans="1:35" ht="21.75" customHeight="1">
      <c r="A141" s="734"/>
      <c r="B141" s="2023"/>
      <c r="C141" s="2023"/>
      <c r="D141" s="2023"/>
      <c r="E141" s="2023"/>
      <c r="F141" s="2023"/>
      <c r="G141" s="2023"/>
      <c r="H141" s="2023"/>
      <c r="I141" s="2024" t="s">
        <v>2143</v>
      </c>
    </row>
    <row r="142" spans="1:35" ht="21.75" customHeight="1">
      <c r="A142" s="734"/>
      <c r="B142" s="2025"/>
      <c r="C142" s="2026"/>
      <c r="D142" s="2027"/>
      <c r="E142" s="2027"/>
      <c r="F142" s="1916"/>
      <c r="G142" s="734"/>
      <c r="H142" s="734"/>
      <c r="I142" s="734"/>
    </row>
    <row r="143" spans="1:35" s="135" customFormat="1" ht="21.75" customHeight="1">
      <c r="A143" s="734"/>
      <c r="B143" s="2025"/>
      <c r="C143" s="2026"/>
      <c r="D143" s="2027"/>
      <c r="E143" s="2027"/>
      <c r="F143" s="191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L18" sqref="L18"/>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1546</v>
      </c>
      <c r="C2" s="1031"/>
      <c r="D2" s="1031"/>
      <c r="E2" s="1032"/>
      <c r="F2" s="1033"/>
      <c r="G2" s="1032"/>
      <c r="H2" s="1032"/>
      <c r="I2" s="1032"/>
      <c r="J2" s="1032"/>
      <c r="K2" s="1034"/>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15478</v>
      </c>
      <c r="C3" s="209" t="s">
        <v>2565</v>
      </c>
      <c r="D3" s="1346"/>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30" ht="15">
      <c r="A4" s="361" t="s">
        <v>2464</v>
      </c>
      <c r="B4" s="362"/>
      <c r="C4" s="3404" t="s">
        <v>2465</v>
      </c>
      <c r="D4" s="3405"/>
      <c r="E4" s="3406" t="s">
        <v>2466</v>
      </c>
      <c r="F4" s="3407"/>
      <c r="G4" s="3404" t="s">
        <v>2467</v>
      </c>
      <c r="H4" s="3405"/>
      <c r="I4" s="3404" t="s">
        <v>2468</v>
      </c>
      <c r="J4" s="3405"/>
      <c r="K4" s="567" t="s">
        <v>2469</v>
      </c>
      <c r="L4" s="2931"/>
      <c r="M4" s="2932"/>
      <c r="N4" s="2932"/>
      <c r="O4" s="2932"/>
      <c r="P4" s="3408" t="s">
        <v>2470</v>
      </c>
      <c r="Q4" s="3409"/>
      <c r="R4" s="3391" t="s">
        <v>2466</v>
      </c>
      <c r="S4" s="3392"/>
      <c r="T4" s="3391" t="s">
        <v>2467</v>
      </c>
      <c r="U4" s="3392"/>
      <c r="V4" s="3416" t="s">
        <v>2468</v>
      </c>
      <c r="W4" s="3416"/>
      <c r="X4" s="1529"/>
      <c r="Y4" s="3391" t="s">
        <v>2470</v>
      </c>
      <c r="Z4" s="3392"/>
      <c r="AA4" s="3386" t="s">
        <v>2466</v>
      </c>
      <c r="AB4" s="3387" t="s">
        <v>2467</v>
      </c>
      <c r="AC4" s="3386" t="s">
        <v>2468</v>
      </c>
    </row>
    <row r="5" spans="1:30" ht="48" customHeight="1">
      <c r="A5" s="364"/>
      <c r="B5" s="365"/>
      <c r="C5" s="3397" t="str">
        <f>项目基本情况!F10</f>
        <v>丰台区丰仪路1号院1号楼1至2层101</v>
      </c>
      <c r="D5" s="3398"/>
      <c r="E5" s="3395" t="str">
        <f>土地案例!A2</f>
        <v xml:space="preserve">北京市石景山区首钢园区东南区土地一级开发项目1612-774地块B4综合性商业金融服务业用地    </v>
      </c>
      <c r="F5" s="3396"/>
      <c r="G5" s="3397" t="str">
        <f>土地案例!A3</f>
        <v xml:space="preserve">北京市石景山区古城南街东侧(首钢园区东南区)1612-769、775等地块B4综合性商业金融服务业用地    </v>
      </c>
      <c r="H5" s="3398"/>
      <c r="I5" s="3397" t="str">
        <f>土地案例!A4</f>
        <v xml:space="preserve">北京市石景山区古城南街东侧(首钢园区东南区)1612-778、779、783、784、786等地块B4综合性商业金融服务业用地、F3其他类多功能用地    </v>
      </c>
      <c r="J5" s="3398"/>
      <c r="K5" s="567"/>
      <c r="L5" s="2931"/>
      <c r="M5" s="2932"/>
      <c r="N5" s="2932"/>
      <c r="O5" s="2932"/>
      <c r="P5" s="3410"/>
      <c r="Q5" s="3411"/>
      <c r="R5" s="3393"/>
      <c r="S5" s="3394"/>
      <c r="T5" s="3393"/>
      <c r="U5" s="3394"/>
      <c r="V5" s="3416"/>
      <c r="W5" s="3416"/>
      <c r="X5" s="1529"/>
      <c r="Y5" s="3393"/>
      <c r="Z5" s="3394"/>
      <c r="AA5" s="3387"/>
      <c r="AB5" s="3387"/>
      <c r="AC5" s="3387"/>
    </row>
    <row r="6" spans="1:30" ht="15.75" thickBot="1">
      <c r="A6" s="366"/>
      <c r="B6" s="367"/>
      <c r="C6" s="3399" t="s">
        <v>2365</v>
      </c>
      <c r="D6" s="3400"/>
      <c r="E6" s="3401" t="s">
        <v>2365</v>
      </c>
      <c r="F6" s="3402"/>
      <c r="G6" s="3399" t="s">
        <v>2365</v>
      </c>
      <c r="H6" s="3400"/>
      <c r="I6" s="3399" t="s">
        <v>2365</v>
      </c>
      <c r="J6" s="3400"/>
      <c r="K6" s="567" t="s">
        <v>2366</v>
      </c>
      <c r="L6" s="2931"/>
      <c r="M6" s="2932"/>
      <c r="N6" s="2932"/>
      <c r="O6" s="2932"/>
      <c r="P6" s="3412"/>
      <c r="Q6" s="3413"/>
      <c r="R6" s="3393"/>
      <c r="S6" s="3394"/>
      <c r="T6" s="3414"/>
      <c r="U6" s="3415"/>
      <c r="V6" s="3416"/>
      <c r="W6" s="3416"/>
      <c r="X6" s="1529"/>
      <c r="Y6" s="3414"/>
      <c r="Z6" s="3415"/>
      <c r="AA6" s="3388"/>
      <c r="AB6" s="3388"/>
      <c r="AC6" s="3388"/>
    </row>
    <row r="7" spans="1:30" s="113" customFormat="1" ht="15.75" thickBot="1">
      <c r="A7" s="368" t="s">
        <v>2367</v>
      </c>
      <c r="B7" s="369"/>
      <c r="C7" s="370">
        <f>'数据-取费表'!B2</f>
        <v>44523</v>
      </c>
      <c r="D7" s="371">
        <v>100</v>
      </c>
      <c r="E7" s="372">
        <f>土地案例!I2</f>
        <v>44495</v>
      </c>
      <c r="F7" s="373">
        <f>SUMIF(70:70,YEAR(E7)&amp;"-"&amp;INT((MONTH(E7)+2)/3),71:71)</f>
        <v>100</v>
      </c>
      <c r="G7" s="2149">
        <f>土地案例!I3</f>
        <v>43811</v>
      </c>
      <c r="H7" s="371">
        <f>SUMIF(70:70,YEAR(G7)&amp;"-"&amp;INT((MONTH(G7)+2)/3),71:71)</f>
        <v>96</v>
      </c>
      <c r="I7" s="2149">
        <f>土地案例!I4</f>
        <v>43811</v>
      </c>
      <c r="J7" s="371">
        <f>SUMIF(70:70,YEAR(I7)&amp;"-"&amp;INT((MONTH(I7)+2)/3),71:71)</f>
        <v>96</v>
      </c>
      <c r="K7" s="568"/>
      <c r="L7" s="2933"/>
      <c r="M7" s="2934"/>
      <c r="N7" s="2934"/>
      <c r="O7" s="2934"/>
      <c r="P7" s="3389" t="s">
        <v>2368</v>
      </c>
      <c r="Q7" s="3417"/>
      <c r="R7" s="710" t="s">
        <v>17</v>
      </c>
      <c r="S7" s="711">
        <f t="shared" ref="S7:S15" si="0">F7</f>
        <v>100</v>
      </c>
      <c r="T7" s="710" t="s">
        <v>17</v>
      </c>
      <c r="U7" s="711">
        <f t="shared" ref="U7:U15" si="1">H7</f>
        <v>96</v>
      </c>
      <c r="V7" s="710" t="s">
        <v>17</v>
      </c>
      <c r="W7" s="711">
        <f t="shared" ref="W7:W15" si="2">J7</f>
        <v>96</v>
      </c>
      <c r="X7" s="712"/>
      <c r="Y7" s="3389" t="s">
        <v>2368</v>
      </c>
      <c r="Z7" s="3390"/>
      <c r="AA7" s="713">
        <f>D7/F7</f>
        <v>1</v>
      </c>
      <c r="AB7" s="713">
        <f>D7/H7</f>
        <v>1.0416666666666667</v>
      </c>
      <c r="AC7" s="713">
        <f>D7/J7</f>
        <v>1.0416666666666667</v>
      </c>
    </row>
    <row r="8" spans="1:30" s="113" customFormat="1" ht="15.75" thickBot="1">
      <c r="A8" s="368" t="s">
        <v>2369</v>
      </c>
      <c r="B8" s="369"/>
      <c r="C8" s="374" t="s">
        <v>2370</v>
      </c>
      <c r="D8" s="371">
        <v>100</v>
      </c>
      <c r="E8" s="374" t="s">
        <v>2370</v>
      </c>
      <c r="F8" s="373">
        <f>SUMIF(73:73,E8,74:74)-SUMIF(73:73,C8,74:74)+100</f>
        <v>100</v>
      </c>
      <c r="G8" s="374" t="s">
        <v>2370</v>
      </c>
      <c r="H8" s="371">
        <f>SUMIF(73:73,G8,74:74)-SUMIF(73:73,C8,74:74)+100</f>
        <v>100</v>
      </c>
      <c r="I8" s="374" t="s">
        <v>2370</v>
      </c>
      <c r="J8" s="371">
        <f>SUMIF(73:73,I8,74:74)-SUMIF(73:73,C8,74:74)+100</f>
        <v>100</v>
      </c>
      <c r="K8" s="568"/>
      <c r="L8" s="2933"/>
      <c r="M8" s="2934"/>
      <c r="N8" s="2934"/>
      <c r="O8" s="2934"/>
      <c r="P8" s="3389" t="s">
        <v>2371</v>
      </c>
      <c r="Q8" s="3390"/>
      <c r="R8" s="710" t="s">
        <v>17</v>
      </c>
      <c r="S8" s="711">
        <f t="shared" si="0"/>
        <v>100</v>
      </c>
      <c r="T8" s="710" t="s">
        <v>17</v>
      </c>
      <c r="U8" s="711">
        <f t="shared" si="1"/>
        <v>100</v>
      </c>
      <c r="V8" s="710" t="s">
        <v>17</v>
      </c>
      <c r="W8" s="711">
        <f t="shared" si="2"/>
        <v>100</v>
      </c>
      <c r="X8" s="712"/>
      <c r="Y8" s="3389" t="s">
        <v>2371</v>
      </c>
      <c r="Z8" s="3390"/>
      <c r="AA8" s="713">
        <f t="shared" ref="AA8:AA45" si="3">D8/F8</f>
        <v>1</v>
      </c>
      <c r="AB8" s="713">
        <f t="shared" ref="AB8:AB45" si="4">D8/H8</f>
        <v>1</v>
      </c>
      <c r="AC8" s="713">
        <f t="shared" ref="AC8:AC45" si="5">D8/J8</f>
        <v>1</v>
      </c>
    </row>
    <row r="9" spans="1:30" s="113" customFormat="1">
      <c r="A9" s="375" t="s">
        <v>2372</v>
      </c>
      <c r="B9" s="67" t="s">
        <v>2373</v>
      </c>
      <c r="C9" s="2152" t="s">
        <v>3281</v>
      </c>
      <c r="D9" s="131">
        <v>100</v>
      </c>
      <c r="E9" s="2152" t="s">
        <v>3281</v>
      </c>
      <c r="F9" s="131">
        <f>SUMIF(75:75,E9,76:76)-SUMIF(75:75,C9,76:76)+100</f>
        <v>100</v>
      </c>
      <c r="G9" s="2152" t="s">
        <v>3281</v>
      </c>
      <c r="H9" s="131">
        <f>SUMIF(75:75,G9,76:76)-SUMIF(75:75,C9,76:76)+100</f>
        <v>100</v>
      </c>
      <c r="I9" s="2152" t="s">
        <v>3281</v>
      </c>
      <c r="J9" s="131">
        <f>SUMIF(75:75,I9,76:76)-SUMIF(75:75,C9,76:76)+100</f>
        <v>100</v>
      </c>
      <c r="K9" s="568"/>
      <c r="L9" s="2933"/>
      <c r="M9" s="2934"/>
      <c r="N9" s="2934"/>
      <c r="O9" s="2988"/>
      <c r="P9" s="3403"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713">
        <f t="shared" si="5"/>
        <v>1</v>
      </c>
    </row>
    <row r="10" spans="1:30" s="386" customFormat="1" ht="27">
      <c r="A10" s="380"/>
      <c r="B10" s="381" t="s">
        <v>2376</v>
      </c>
      <c r="C10" s="391">
        <f>'数据-取费表'!F6</f>
        <v>32</v>
      </c>
      <c r="D10" s="132">
        <v>100</v>
      </c>
      <c r="E10" s="424" t="s">
        <v>3299</v>
      </c>
      <c r="F10" s="132">
        <f>ROUND(100/'数据-取费表'!G16,0)</f>
        <v>108</v>
      </c>
      <c r="G10" s="424" t="s">
        <v>3299</v>
      </c>
      <c r="H10" s="132">
        <f>ROUND(100/'数据-取费表'!G16,0)</f>
        <v>108</v>
      </c>
      <c r="I10" s="424" t="s">
        <v>3299</v>
      </c>
      <c r="J10" s="132">
        <f>ROUND(100/'数据-取费表'!G16,0)</f>
        <v>108</v>
      </c>
      <c r="K10" s="628"/>
      <c r="L10" s="2935"/>
      <c r="M10" s="2936"/>
      <c r="N10" s="2936"/>
      <c r="O10" s="2989"/>
      <c r="P10" s="3403"/>
      <c r="Q10" s="1517" t="str">
        <f t="shared" si="6"/>
        <v>土地使用年限（年）</v>
      </c>
      <c r="R10" s="710" t="s">
        <v>17</v>
      </c>
      <c r="S10" s="711">
        <f t="shared" si="0"/>
        <v>108</v>
      </c>
      <c r="T10" s="710" t="s">
        <v>17</v>
      </c>
      <c r="U10" s="711">
        <f t="shared" si="1"/>
        <v>108</v>
      </c>
      <c r="V10" s="710" t="s">
        <v>17</v>
      </c>
      <c r="W10" s="711">
        <f t="shared" si="2"/>
        <v>108</v>
      </c>
      <c r="X10" s="712"/>
      <c r="Y10" s="3362"/>
      <c r="Z10" s="55" t="str">
        <f t="shared" si="7"/>
        <v>土地使用年限（年）</v>
      </c>
      <c r="AA10" s="713">
        <f t="shared" si="3"/>
        <v>0.92592592592592593</v>
      </c>
      <c r="AB10" s="713">
        <f t="shared" si="4"/>
        <v>0.92592592592592593</v>
      </c>
      <c r="AC10" s="713">
        <f t="shared" si="5"/>
        <v>0.92592592592592593</v>
      </c>
    </row>
    <row r="11" spans="1:30" ht="15">
      <c r="A11" s="387"/>
      <c r="B11" s="381" t="s">
        <v>2377</v>
      </c>
      <c r="C11" s="388">
        <v>0</v>
      </c>
      <c r="D11" s="132">
        <v>100</v>
      </c>
      <c r="E11" s="388">
        <v>0</v>
      </c>
      <c r="F11" s="132">
        <f>LOOKUP(E11,80:80,81:81)-LOOKUP(C11,80:80,81:81)+100</f>
        <v>100</v>
      </c>
      <c r="G11" s="389">
        <v>0</v>
      </c>
      <c r="H11" s="132">
        <f>LOOKUP(G11,80:80,81:81)-LOOKUP(C11,80:80,81:81)+100</f>
        <v>100</v>
      </c>
      <c r="I11" s="388">
        <v>0</v>
      </c>
      <c r="J11" s="132">
        <f>LOOKUP(I11,80:80,81:81)-LOOKUP(C11,80:80,81:81)+100</f>
        <v>100</v>
      </c>
      <c r="K11" s="629">
        <v>2</v>
      </c>
      <c r="L11" s="2937"/>
      <c r="M11" s="2932"/>
      <c r="N11" s="2932"/>
      <c r="O11" s="2990"/>
      <c r="P11" s="3403"/>
      <c r="Q11" s="1517" t="str">
        <f t="shared" si="6"/>
        <v>容积率</v>
      </c>
      <c r="R11" s="710" t="s">
        <v>17</v>
      </c>
      <c r="S11" s="711">
        <f t="shared" si="0"/>
        <v>100</v>
      </c>
      <c r="T11" s="710" t="s">
        <v>17</v>
      </c>
      <c r="U11" s="711">
        <f t="shared" si="1"/>
        <v>100</v>
      </c>
      <c r="V11" s="710" t="s">
        <v>17</v>
      </c>
      <c r="W11" s="711">
        <f t="shared" si="2"/>
        <v>100</v>
      </c>
      <c r="X11" s="712"/>
      <c r="Y11" s="3362"/>
      <c r="Z11" s="55" t="str">
        <f t="shared" si="7"/>
        <v>容积率</v>
      </c>
      <c r="AA11" s="713">
        <f t="shared" si="3"/>
        <v>1</v>
      </c>
      <c r="AB11" s="713">
        <f t="shared" si="4"/>
        <v>1</v>
      </c>
      <c r="AC11" s="713">
        <f t="shared" si="5"/>
        <v>1</v>
      </c>
    </row>
    <row r="12" spans="1:30" s="113" customFormat="1" ht="15" hidden="1">
      <c r="A12" s="390"/>
      <c r="B12" s="2068" t="s">
        <v>2566</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403"/>
      <c r="Q12" s="1517" t="str">
        <f t="shared" si="6"/>
        <v>配建</v>
      </c>
      <c r="R12" s="710" t="s">
        <v>17</v>
      </c>
      <c r="S12" s="711">
        <f t="shared" si="0"/>
        <v>100</v>
      </c>
      <c r="T12" s="710" t="s">
        <v>17</v>
      </c>
      <c r="U12" s="711">
        <f t="shared" si="1"/>
        <v>100</v>
      </c>
      <c r="V12" s="710" t="s">
        <v>17</v>
      </c>
      <c r="W12" s="711">
        <f t="shared" si="2"/>
        <v>100</v>
      </c>
      <c r="X12" s="712"/>
      <c r="Y12" s="3362"/>
      <c r="Z12" s="55" t="str">
        <f t="shared" si="7"/>
        <v>配建</v>
      </c>
      <c r="AA12" s="713">
        <f>D12/F12</f>
        <v>1</v>
      </c>
      <c r="AB12" s="713">
        <f>D12/H12</f>
        <v>1</v>
      </c>
      <c r="AC12" s="713">
        <f>D12/J12</f>
        <v>1</v>
      </c>
    </row>
    <row r="13" spans="1:30" ht="15" hidden="1">
      <c r="A13" s="387"/>
      <c r="B13" s="2068">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403"/>
      <c r="Q13" s="1517">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hidden="1" thickBot="1">
      <c r="A14" s="395"/>
      <c r="B14" s="2070">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403"/>
      <c r="Q14" s="1517">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15" hidden="1">
      <c r="A15" s="399" t="s">
        <v>2378</v>
      </c>
      <c r="B15" s="65" t="s">
        <v>1942</v>
      </c>
      <c r="C15" s="207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418" t="s">
        <v>2379</v>
      </c>
      <c r="Q15" s="1526" t="str">
        <f t="shared" si="6"/>
        <v>居住社区成熟度</v>
      </c>
      <c r="R15" s="714" t="s">
        <v>17</v>
      </c>
      <c r="S15" s="715">
        <f t="shared" si="0"/>
        <v>100</v>
      </c>
      <c r="T15" s="714" t="s">
        <v>17</v>
      </c>
      <c r="U15" s="715">
        <f t="shared" si="1"/>
        <v>100</v>
      </c>
      <c r="V15" s="714" t="s">
        <v>17</v>
      </c>
      <c r="W15" s="715">
        <f t="shared" si="2"/>
        <v>100</v>
      </c>
      <c r="X15" s="1529"/>
      <c r="Y15" s="3418" t="s">
        <v>2379</v>
      </c>
      <c r="Z15" s="1530" t="str">
        <f t="shared" si="7"/>
        <v>居住社区成熟度</v>
      </c>
      <c r="AA15" s="1527">
        <f t="shared" si="3"/>
        <v>1</v>
      </c>
      <c r="AB15" s="1527">
        <f t="shared" si="4"/>
        <v>1</v>
      </c>
      <c r="AC15" s="1527">
        <f t="shared" si="5"/>
        <v>1</v>
      </c>
    </row>
    <row r="16" spans="1:30" ht="15" hidden="1">
      <c r="A16" s="387"/>
      <c r="B16" s="405"/>
      <c r="C16" s="406"/>
      <c r="D16" s="407"/>
      <c r="E16" s="2073"/>
      <c r="F16" s="407"/>
      <c r="G16" s="2073"/>
      <c r="H16" s="409"/>
      <c r="I16" s="2072"/>
      <c r="J16" s="407"/>
      <c r="K16" s="628"/>
      <c r="L16" s="2938"/>
      <c r="M16" s="2932"/>
      <c r="N16" s="2932"/>
      <c r="O16" s="2990"/>
      <c r="P16" s="3419"/>
      <c r="Q16" s="1526"/>
      <c r="R16" s="714"/>
      <c r="S16" s="715"/>
      <c r="T16" s="714"/>
      <c r="U16" s="715"/>
      <c r="V16" s="714"/>
      <c r="W16" s="715"/>
      <c r="X16" s="1529"/>
      <c r="Y16" s="3419"/>
      <c r="Z16" s="1530"/>
      <c r="AA16" s="1527">
        <v>1</v>
      </c>
      <c r="AB16" s="1527">
        <v>1</v>
      </c>
      <c r="AC16" s="1527">
        <v>1</v>
      </c>
    </row>
    <row r="17" spans="1:29" ht="15">
      <c r="A17" s="387"/>
      <c r="B17" s="410" t="s">
        <v>2472</v>
      </c>
      <c r="C17" s="2130" t="str">
        <f>估价对象房地状况!C16</f>
        <v>一般</v>
      </c>
      <c r="D17" s="409">
        <v>100</v>
      </c>
      <c r="E17" s="411" t="s">
        <v>3265</v>
      </c>
      <c r="F17" s="409">
        <f>SUMIF(90:90,E18,91:91)-SUMIF(90:90,C18,91:91)+100</f>
        <v>100</v>
      </c>
      <c r="G17" s="411" t="s">
        <v>3265</v>
      </c>
      <c r="H17" s="414">
        <f>SUMIF(90:90,G18,91:91)-SUMIF(90:90,C18,91:91)+100</f>
        <v>100</v>
      </c>
      <c r="I17" s="411" t="s">
        <v>3265</v>
      </c>
      <c r="J17" s="414">
        <f>SUMIF(90:90,I18,91:91)-SUMIF(90:90,C18,91:91)+100</f>
        <v>100</v>
      </c>
      <c r="K17" s="629">
        <v>2</v>
      </c>
      <c r="L17" s="2938"/>
      <c r="M17" s="2932"/>
      <c r="N17" s="2932"/>
      <c r="O17" s="2990"/>
      <c r="P17" s="3419"/>
      <c r="Q17" s="1526" t="str">
        <f>B17</f>
        <v>商业繁华度</v>
      </c>
      <c r="R17" s="714" t="s">
        <v>17</v>
      </c>
      <c r="S17" s="715">
        <f>F17</f>
        <v>100</v>
      </c>
      <c r="T17" s="714" t="s">
        <v>17</v>
      </c>
      <c r="U17" s="715">
        <f>H17</f>
        <v>100</v>
      </c>
      <c r="V17" s="714" t="s">
        <v>17</v>
      </c>
      <c r="W17" s="715">
        <f>J17</f>
        <v>100</v>
      </c>
      <c r="X17" s="1529"/>
      <c r="Y17" s="3419"/>
      <c r="Z17" s="1530" t="str">
        <f>Q17</f>
        <v>商业繁华度</v>
      </c>
      <c r="AA17" s="1527">
        <f t="shared" si="3"/>
        <v>1</v>
      </c>
      <c r="AB17" s="1527">
        <f t="shared" si="4"/>
        <v>1</v>
      </c>
      <c r="AC17" s="1527">
        <f t="shared" si="5"/>
        <v>1</v>
      </c>
    </row>
    <row r="18" spans="1:29" ht="15">
      <c r="A18" s="387"/>
      <c r="B18" s="415"/>
      <c r="C18" s="2076" t="s">
        <v>3265</v>
      </c>
      <c r="D18" s="409"/>
      <c r="E18" s="2078" t="s">
        <v>3265</v>
      </c>
      <c r="F18" s="409"/>
      <c r="G18" s="2078" t="s">
        <v>3265</v>
      </c>
      <c r="H18" s="407"/>
      <c r="I18" s="2078" t="s">
        <v>3265</v>
      </c>
      <c r="J18" s="407"/>
      <c r="K18" s="628"/>
      <c r="L18" s="2938"/>
      <c r="M18" s="2932"/>
      <c r="N18" s="2932"/>
      <c r="O18" s="2990"/>
      <c r="P18" s="3419"/>
      <c r="Q18" s="1526"/>
      <c r="R18" s="714"/>
      <c r="S18" s="715"/>
      <c r="T18" s="714"/>
      <c r="U18" s="715"/>
      <c r="V18" s="714"/>
      <c r="W18" s="715"/>
      <c r="X18" s="1529"/>
      <c r="Y18" s="3419"/>
      <c r="Z18" s="1530"/>
      <c r="AA18" s="1527">
        <v>1</v>
      </c>
      <c r="AB18" s="1527">
        <v>1</v>
      </c>
      <c r="AC18" s="1527">
        <v>1</v>
      </c>
    </row>
    <row r="19" spans="1:29" ht="15">
      <c r="A19" s="387"/>
      <c r="B19" s="410" t="s">
        <v>2506</v>
      </c>
      <c r="C19" s="2130" t="str">
        <f>估价对象房地状况!C17</f>
        <v>一般</v>
      </c>
      <c r="D19" s="414">
        <v>100</v>
      </c>
      <c r="E19" s="416" t="s">
        <v>3265</v>
      </c>
      <c r="F19" s="414">
        <f>SUMIF(92:92,E20,93:93)-SUMIF(92:92,C20,93:93)+100</f>
        <v>100</v>
      </c>
      <c r="G19" s="416" t="s">
        <v>3265</v>
      </c>
      <c r="H19" s="409">
        <f>SUMIF(92:92,G20,93:93)-SUMIF(92:92,C20,93:93)+100</f>
        <v>100</v>
      </c>
      <c r="I19" s="416" t="s">
        <v>3265</v>
      </c>
      <c r="J19" s="409">
        <f>SUMIF(92:92,I20,93:93)-SUMIF(92:92,C20,93:93)+100</f>
        <v>100</v>
      </c>
      <c r="K19" s="629">
        <v>2</v>
      </c>
      <c r="L19" s="2938"/>
      <c r="M19" s="2932"/>
      <c r="N19" s="2932"/>
      <c r="O19" s="2990"/>
      <c r="P19" s="3419"/>
      <c r="Q19" s="1526" t="str">
        <f>B19</f>
        <v>办公集聚程度</v>
      </c>
      <c r="R19" s="714" t="s">
        <v>17</v>
      </c>
      <c r="S19" s="715">
        <f>F19</f>
        <v>100</v>
      </c>
      <c r="T19" s="714" t="s">
        <v>17</v>
      </c>
      <c r="U19" s="715">
        <f>H19</f>
        <v>100</v>
      </c>
      <c r="V19" s="714" t="s">
        <v>17</v>
      </c>
      <c r="W19" s="715">
        <f>J19</f>
        <v>100</v>
      </c>
      <c r="X19" s="1529"/>
      <c r="Y19" s="3419"/>
      <c r="Z19" s="1530" t="str">
        <f>Q19</f>
        <v>办公集聚程度</v>
      </c>
      <c r="AA19" s="1527">
        <f t="shared" si="3"/>
        <v>1</v>
      </c>
      <c r="AB19" s="1527">
        <f t="shared" si="4"/>
        <v>1</v>
      </c>
      <c r="AC19" s="1527">
        <f t="shared" si="5"/>
        <v>1</v>
      </c>
    </row>
    <row r="20" spans="1:29" ht="15">
      <c r="A20" s="387"/>
      <c r="B20" s="415"/>
      <c r="C20" s="406" t="s">
        <v>3265</v>
      </c>
      <c r="D20" s="407"/>
      <c r="E20" s="2073" t="s">
        <v>3265</v>
      </c>
      <c r="F20" s="407"/>
      <c r="G20" s="2073" t="s">
        <v>3265</v>
      </c>
      <c r="H20" s="407"/>
      <c r="I20" s="2073" t="s">
        <v>3265</v>
      </c>
      <c r="J20" s="407"/>
      <c r="K20" s="628"/>
      <c r="L20" s="2938"/>
      <c r="M20" s="2932"/>
      <c r="N20" s="2932"/>
      <c r="O20" s="2990"/>
      <c r="P20" s="3419"/>
      <c r="Q20" s="1526"/>
      <c r="R20" s="714"/>
      <c r="S20" s="715"/>
      <c r="T20" s="714"/>
      <c r="U20" s="715"/>
      <c r="V20" s="714"/>
      <c r="W20" s="715"/>
      <c r="X20" s="1529"/>
      <c r="Y20" s="3419"/>
      <c r="Z20" s="1530"/>
      <c r="AA20" s="1527">
        <v>1</v>
      </c>
      <c r="AB20" s="1527">
        <v>1</v>
      </c>
      <c r="AC20" s="1527">
        <v>1</v>
      </c>
    </row>
    <row r="21" spans="1:29" ht="15">
      <c r="A21" s="387"/>
      <c r="B21" s="410" t="s">
        <v>2528</v>
      </c>
      <c r="C21" s="2075" t="str">
        <f>估价对象房地状况!C18</f>
        <v>一般</v>
      </c>
      <c r="D21" s="409">
        <v>100</v>
      </c>
      <c r="E21" s="411" t="s">
        <v>3265</v>
      </c>
      <c r="F21" s="414">
        <f>SUMIF(94:94,E22,95:95)-SUMIF(94:94,C22,95:95)+100</f>
        <v>100</v>
      </c>
      <c r="G21" s="411" t="s">
        <v>3265</v>
      </c>
      <c r="H21" s="409">
        <f>SUMIF(94:94,G22,95:95)-SUMIF(94:94,C22,95:95)+100</f>
        <v>100</v>
      </c>
      <c r="I21" s="411" t="s">
        <v>3265</v>
      </c>
      <c r="J21" s="409">
        <f>SUMIF(94:94,I22,95:95)-SUMIF(94:94,C22,95:95)+100</f>
        <v>100</v>
      </c>
      <c r="K21" s="629">
        <v>2</v>
      </c>
      <c r="L21" s="2938"/>
      <c r="M21" s="2932"/>
      <c r="N21" s="2932"/>
      <c r="O21" s="2990"/>
      <c r="P21" s="3419"/>
      <c r="Q21" s="1526" t="str">
        <f>B21</f>
        <v>交通便捷度</v>
      </c>
      <c r="R21" s="714" t="s">
        <v>17</v>
      </c>
      <c r="S21" s="715">
        <f>F21</f>
        <v>100</v>
      </c>
      <c r="T21" s="714" t="s">
        <v>17</v>
      </c>
      <c r="U21" s="715">
        <f>H21</f>
        <v>100</v>
      </c>
      <c r="V21" s="714" t="s">
        <v>17</v>
      </c>
      <c r="W21" s="715">
        <f>J21</f>
        <v>100</v>
      </c>
      <c r="X21" s="1529"/>
      <c r="Y21" s="3419"/>
      <c r="Z21" s="1530" t="str">
        <f>Q21</f>
        <v>交通便捷度</v>
      </c>
      <c r="AA21" s="1527">
        <f t="shared" si="3"/>
        <v>1</v>
      </c>
      <c r="AB21" s="1527">
        <f t="shared" si="4"/>
        <v>1</v>
      </c>
      <c r="AC21" s="1527">
        <f t="shared" si="5"/>
        <v>1</v>
      </c>
    </row>
    <row r="22" spans="1:29" ht="15">
      <c r="A22" s="387"/>
      <c r="B22" s="1285"/>
      <c r="C22" s="406" t="s">
        <v>3265</v>
      </c>
      <c r="D22" s="409"/>
      <c r="E22" s="2073" t="s">
        <v>3265</v>
      </c>
      <c r="F22" s="407"/>
      <c r="G22" s="2073" t="s">
        <v>3265</v>
      </c>
      <c r="H22" s="407"/>
      <c r="I22" s="2073" t="s">
        <v>3265</v>
      </c>
      <c r="J22" s="407"/>
      <c r="K22" s="628"/>
      <c r="L22" s="2938"/>
      <c r="M22" s="2932"/>
      <c r="N22" s="2932"/>
      <c r="O22" s="2990"/>
      <c r="P22" s="3419"/>
      <c r="Q22" s="1526"/>
      <c r="R22" s="714"/>
      <c r="S22" s="715"/>
      <c r="T22" s="714"/>
      <c r="U22" s="715"/>
      <c r="V22" s="714"/>
      <c r="W22" s="715"/>
      <c r="X22" s="1529"/>
      <c r="Y22" s="3419"/>
      <c r="Z22" s="1530"/>
      <c r="AA22" s="1527">
        <v>1</v>
      </c>
      <c r="AB22" s="1527">
        <v>1</v>
      </c>
      <c r="AC22" s="1527">
        <v>1</v>
      </c>
    </row>
    <row r="23" spans="1:29" ht="15">
      <c r="A23" s="364"/>
      <c r="B23" s="410" t="s">
        <v>2567</v>
      </c>
      <c r="C23" s="1290">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38"/>
      <c r="M23" s="2932"/>
      <c r="N23" s="2932"/>
      <c r="O23" s="2990"/>
      <c r="P23" s="3419"/>
      <c r="Q23" s="1526" t="str">
        <f t="shared" ref="Q23:Q37" si="8">B23</f>
        <v>区域土地利用方向</v>
      </c>
      <c r="R23" s="714" t="s">
        <v>17</v>
      </c>
      <c r="S23" s="715">
        <f>F23</f>
        <v>100</v>
      </c>
      <c r="T23" s="714" t="s">
        <v>17</v>
      </c>
      <c r="U23" s="715">
        <f>H23</f>
        <v>100</v>
      </c>
      <c r="V23" s="714" t="s">
        <v>17</v>
      </c>
      <c r="W23" s="715">
        <f>J23</f>
        <v>100</v>
      </c>
      <c r="X23" s="1529"/>
      <c r="Y23" s="3419"/>
      <c r="Z23" s="1530" t="str">
        <f>Q23</f>
        <v>区域土地利用方向</v>
      </c>
      <c r="AA23" s="1527">
        <f t="shared" si="3"/>
        <v>1</v>
      </c>
      <c r="AB23" s="1527">
        <f t="shared" si="4"/>
        <v>1</v>
      </c>
      <c r="AC23" s="1527">
        <f t="shared" si="5"/>
        <v>1</v>
      </c>
    </row>
    <row r="24" spans="1:29" ht="15">
      <c r="A24" s="364"/>
      <c r="B24" s="415"/>
      <c r="C24" s="573" t="s">
        <v>3264</v>
      </c>
      <c r="D24" s="407"/>
      <c r="E24" s="2073" t="s">
        <v>3264</v>
      </c>
      <c r="F24" s="407"/>
      <c r="G24" s="2073" t="s">
        <v>3264</v>
      </c>
      <c r="H24" s="407"/>
      <c r="I24" s="2073" t="s">
        <v>3264</v>
      </c>
      <c r="J24" s="407"/>
      <c r="K24" s="745"/>
      <c r="L24" s="2938"/>
      <c r="M24" s="2932"/>
      <c r="N24" s="2932"/>
      <c r="O24" s="2990"/>
      <c r="P24" s="3419"/>
      <c r="Q24" s="1526"/>
      <c r="R24" s="714"/>
      <c r="S24" s="715"/>
      <c r="T24" s="714"/>
      <c r="U24" s="715"/>
      <c r="V24" s="714"/>
      <c r="W24" s="715"/>
      <c r="X24" s="1529"/>
      <c r="Y24" s="3419"/>
      <c r="Z24" s="1530"/>
      <c r="AA24" s="1527"/>
      <c r="AB24" s="1527"/>
      <c r="AC24" s="1527"/>
    </row>
    <row r="25" spans="1:29" ht="27">
      <c r="A25" s="364"/>
      <c r="B25" s="1285" t="s">
        <v>2568</v>
      </c>
      <c r="C25" s="2130" t="str">
        <f>估价对象房地状况!C20</f>
        <v>较好</v>
      </c>
      <c r="D25" s="409">
        <v>100</v>
      </c>
      <c r="E25" s="411" t="s">
        <v>3264</v>
      </c>
      <c r="F25" s="409">
        <f>SUMIF(98:98,E26,99:99)-SUMIF(98:98,C26,99:99)+100</f>
        <v>100</v>
      </c>
      <c r="G25" s="411" t="s">
        <v>3264</v>
      </c>
      <c r="H25" s="409">
        <f>SUMIF(98:98,G26,99:99)-SUMIF(98:98,C26,99:99)+100</f>
        <v>100</v>
      </c>
      <c r="I25" s="411" t="s">
        <v>3264</v>
      </c>
      <c r="J25" s="409">
        <f>SUMIF(98:98,I26,99:99)-SUMIF(98:98,C26,99:99)+100</f>
        <v>100</v>
      </c>
      <c r="K25" s="629">
        <v>2</v>
      </c>
      <c r="L25" s="2938"/>
      <c r="M25" s="2932"/>
      <c r="N25" s="2932"/>
      <c r="O25" s="2990"/>
      <c r="P25" s="3419"/>
      <c r="Q25" s="1526" t="str">
        <f t="shared" si="8"/>
        <v>自然及人文环境状况</v>
      </c>
      <c r="R25" s="714" t="s">
        <v>17</v>
      </c>
      <c r="S25" s="715">
        <f>F25</f>
        <v>100</v>
      </c>
      <c r="T25" s="714" t="s">
        <v>17</v>
      </c>
      <c r="U25" s="715">
        <f>H25</f>
        <v>100</v>
      </c>
      <c r="V25" s="714" t="s">
        <v>17</v>
      </c>
      <c r="W25" s="715">
        <f>J25</f>
        <v>100</v>
      </c>
      <c r="X25" s="1529"/>
      <c r="Y25" s="3419"/>
      <c r="Z25" s="1530" t="str">
        <f>Q25</f>
        <v>自然及人文环境状况</v>
      </c>
      <c r="AA25" s="1527">
        <f t="shared" si="3"/>
        <v>1</v>
      </c>
      <c r="AB25" s="1527">
        <f t="shared" si="4"/>
        <v>1</v>
      </c>
      <c r="AC25" s="1527">
        <f t="shared" si="5"/>
        <v>1</v>
      </c>
    </row>
    <row r="26" spans="1:29" ht="15">
      <c r="A26" s="364"/>
      <c r="B26" s="415"/>
      <c r="C26" s="406" t="s">
        <v>3264</v>
      </c>
      <c r="D26" s="407"/>
      <c r="E26" s="2079" t="s">
        <v>3264</v>
      </c>
      <c r="F26" s="407"/>
      <c r="G26" s="2079" t="s">
        <v>3264</v>
      </c>
      <c r="H26" s="407"/>
      <c r="I26" s="2079" t="s">
        <v>3264</v>
      </c>
      <c r="J26" s="407"/>
      <c r="K26" s="628"/>
      <c r="L26" s="2938"/>
      <c r="M26" s="2932"/>
      <c r="N26" s="2932"/>
      <c r="O26" s="2990"/>
      <c r="P26" s="3419"/>
      <c r="Q26" s="1526"/>
      <c r="R26" s="714"/>
      <c r="S26" s="715"/>
      <c r="T26" s="714"/>
      <c r="U26" s="715"/>
      <c r="V26" s="714"/>
      <c r="W26" s="715"/>
      <c r="X26" s="1529"/>
      <c r="Y26" s="3419"/>
      <c r="Z26" s="1530"/>
      <c r="AA26" s="1527">
        <v>1</v>
      </c>
      <c r="AB26" s="1527">
        <v>1</v>
      </c>
      <c r="AC26" s="1527">
        <v>1</v>
      </c>
    </row>
    <row r="27" spans="1:29" s="113" customFormat="1" ht="15">
      <c r="A27" s="605"/>
      <c r="B27" s="1285" t="s">
        <v>2473</v>
      </c>
      <c r="C27" s="2075" t="str">
        <f>估价对象房地状况!C21</f>
        <v>一般</v>
      </c>
      <c r="D27" s="409">
        <v>100</v>
      </c>
      <c r="E27" s="411" t="s">
        <v>3265</v>
      </c>
      <c r="F27" s="409">
        <f>SUMIF(100:100,E28,101:101)-SUMIF(100:100,C28,101:101)+100</f>
        <v>100</v>
      </c>
      <c r="G27" s="411" t="s">
        <v>3265</v>
      </c>
      <c r="H27" s="409">
        <f>SUMIF(100:100,G28,101:101)-SUMIF(100:100,C28,101:101)+100</f>
        <v>100</v>
      </c>
      <c r="I27" s="411" t="s">
        <v>3265</v>
      </c>
      <c r="J27" s="409">
        <f>SUMIF(100:100,I28,101:101)-SUMIF(100:100,C28,101:101)+100</f>
        <v>100</v>
      </c>
      <c r="K27" s="629">
        <v>2</v>
      </c>
      <c r="L27" s="2933"/>
      <c r="M27" s="2934"/>
      <c r="N27" s="2934"/>
      <c r="O27" s="2988"/>
      <c r="P27" s="3419"/>
      <c r="Q27" s="1517" t="str">
        <f t="shared" si="8"/>
        <v>公共配套设施</v>
      </c>
      <c r="R27" s="710" t="s">
        <v>17</v>
      </c>
      <c r="S27" s="711">
        <f>F27</f>
        <v>100</v>
      </c>
      <c r="T27" s="710" t="s">
        <v>17</v>
      </c>
      <c r="U27" s="711">
        <f>H27</f>
        <v>100</v>
      </c>
      <c r="V27" s="710" t="s">
        <v>17</v>
      </c>
      <c r="W27" s="711">
        <f>J27</f>
        <v>100</v>
      </c>
      <c r="X27" s="712"/>
      <c r="Y27" s="3419"/>
      <c r="Z27" s="55" t="str">
        <f>Q27</f>
        <v>公共配套设施</v>
      </c>
      <c r="AA27" s="1527">
        <f>D27/F27</f>
        <v>1</v>
      </c>
      <c r="AB27" s="1527">
        <f>D27/H27</f>
        <v>1</v>
      </c>
      <c r="AC27" s="1527">
        <f>D27/J27</f>
        <v>1</v>
      </c>
    </row>
    <row r="28" spans="1:29" s="113" customFormat="1" ht="15">
      <c r="A28" s="605"/>
      <c r="B28" s="415"/>
      <c r="C28" s="2153" t="s">
        <v>3265</v>
      </c>
      <c r="D28" s="407"/>
      <c r="E28" s="2079" t="s">
        <v>3265</v>
      </c>
      <c r="F28" s="407"/>
      <c r="G28" s="2079" t="s">
        <v>3265</v>
      </c>
      <c r="H28" s="407"/>
      <c r="I28" s="2079" t="s">
        <v>3265</v>
      </c>
      <c r="J28" s="407"/>
      <c r="K28" s="628"/>
      <c r="L28" s="2933"/>
      <c r="M28" s="2934"/>
      <c r="N28" s="2934"/>
      <c r="O28" s="2988"/>
      <c r="P28" s="3419"/>
      <c r="Q28" s="1517"/>
      <c r="R28" s="710"/>
      <c r="S28" s="711"/>
      <c r="T28" s="710"/>
      <c r="U28" s="711"/>
      <c r="V28" s="710"/>
      <c r="W28" s="711"/>
      <c r="X28" s="712"/>
      <c r="Y28" s="3419"/>
      <c r="Z28" s="55"/>
      <c r="AA28" s="1527">
        <v>1</v>
      </c>
      <c r="AB28" s="1527">
        <v>1</v>
      </c>
      <c r="AC28" s="1527">
        <v>1</v>
      </c>
    </row>
    <row r="29" spans="1:29" s="113" customFormat="1" ht="15">
      <c r="A29" s="605"/>
      <c r="B29" s="1285" t="s">
        <v>2474</v>
      </c>
      <c r="C29" s="2075" t="str">
        <f>估价对象房地状况!C22</f>
        <v>七通</v>
      </c>
      <c r="D29" s="409">
        <v>100</v>
      </c>
      <c r="E29" s="411" t="s">
        <v>3266</v>
      </c>
      <c r="F29" s="409">
        <f>SUMIF(102:102,E30,103:103)-SUMIF(102:102,C30,103:103)+100</f>
        <v>100</v>
      </c>
      <c r="G29" s="411" t="s">
        <v>3266</v>
      </c>
      <c r="H29" s="409">
        <f>SUMIF(102:102,G30,103:103)-SUMIF(102:102,C30,103:103)+100</f>
        <v>100</v>
      </c>
      <c r="I29" s="411" t="s">
        <v>3266</v>
      </c>
      <c r="J29" s="409">
        <f>SUMIF(102:102,I30,103:103)-SUMIF(102:102,C30,103:103)+100</f>
        <v>100</v>
      </c>
      <c r="K29" s="629">
        <v>1</v>
      </c>
      <c r="L29" s="2933"/>
      <c r="M29" s="2934"/>
      <c r="N29" s="2934"/>
      <c r="O29" s="2988"/>
      <c r="P29" s="3419"/>
      <c r="Q29" s="1517" t="str">
        <f t="shared" ref="Q29" si="9">B29</f>
        <v>基础设施水平</v>
      </c>
      <c r="R29" s="710" t="s">
        <v>17</v>
      </c>
      <c r="S29" s="711">
        <f>F29</f>
        <v>100</v>
      </c>
      <c r="T29" s="710" t="s">
        <v>17</v>
      </c>
      <c r="U29" s="711">
        <f>H29</f>
        <v>100</v>
      </c>
      <c r="V29" s="710" t="s">
        <v>17</v>
      </c>
      <c r="W29" s="711">
        <f>J29</f>
        <v>100</v>
      </c>
      <c r="X29" s="712"/>
      <c r="Y29" s="3419"/>
      <c r="Z29" s="55" t="str">
        <f>Q29</f>
        <v>基础设施水平</v>
      </c>
      <c r="AA29" s="1527">
        <f>D29/F29</f>
        <v>1</v>
      </c>
      <c r="AB29" s="1527">
        <f>D29/H29</f>
        <v>1</v>
      </c>
      <c r="AC29" s="1527">
        <f>D29/J29</f>
        <v>1</v>
      </c>
    </row>
    <row r="30" spans="1:29" s="113" customFormat="1" ht="15">
      <c r="A30" s="605"/>
      <c r="B30" s="415"/>
      <c r="C30" s="2153" t="s">
        <v>3266</v>
      </c>
      <c r="D30" s="407"/>
      <c r="E30" s="2154" t="s">
        <v>3266</v>
      </c>
      <c r="F30" s="407"/>
      <c r="G30" s="2154" t="s">
        <v>3266</v>
      </c>
      <c r="H30" s="407"/>
      <c r="I30" s="2154" t="s">
        <v>3266</v>
      </c>
      <c r="J30" s="407"/>
      <c r="K30" s="628"/>
      <c r="L30" s="2933"/>
      <c r="M30" s="2934"/>
      <c r="N30" s="2934"/>
      <c r="O30" s="2988"/>
      <c r="P30" s="3419"/>
      <c r="Q30" s="1517"/>
      <c r="R30" s="710"/>
      <c r="S30" s="711"/>
      <c r="T30" s="710"/>
      <c r="U30" s="711"/>
      <c r="V30" s="710"/>
      <c r="W30" s="711"/>
      <c r="X30" s="712"/>
      <c r="Y30" s="3419"/>
      <c r="Z30" s="55"/>
      <c r="AA30" s="1527">
        <v>1</v>
      </c>
      <c r="AB30" s="1527">
        <v>1</v>
      </c>
      <c r="AC30" s="152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419"/>
      <c r="Q31" s="1526" t="str">
        <f t="shared" si="8"/>
        <v>临街状况</v>
      </c>
      <c r="R31" s="714" t="s">
        <v>17</v>
      </c>
      <c r="S31" s="715">
        <f t="shared" ref="S31:S45" si="10">F31</f>
        <v>100</v>
      </c>
      <c r="T31" s="714" t="s">
        <v>17</v>
      </c>
      <c r="U31" s="715">
        <f t="shared" ref="U31:U45" si="11">H31</f>
        <v>100</v>
      </c>
      <c r="V31" s="714" t="s">
        <v>17</v>
      </c>
      <c r="W31" s="715">
        <f t="shared" ref="W31:W45" si="12">J31</f>
        <v>100</v>
      </c>
      <c r="X31" s="1529"/>
      <c r="Y31" s="3419"/>
      <c r="Z31" s="1530" t="str">
        <f t="shared" ref="Z31:Z45" si="13">Q31</f>
        <v>临街状况</v>
      </c>
      <c r="AA31" s="1527">
        <f t="shared" si="3"/>
        <v>1</v>
      </c>
      <c r="AB31" s="1527">
        <f t="shared" si="4"/>
        <v>1</v>
      </c>
      <c r="AC31" s="1527">
        <f t="shared" si="5"/>
        <v>1</v>
      </c>
    </row>
    <row r="32" spans="1:29" ht="27">
      <c r="A32" s="387"/>
      <c r="B32" s="1285"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419"/>
      <c r="Q32" s="1526" t="str">
        <f t="shared" si="8"/>
        <v>毗邻道路的类型与等级</v>
      </c>
      <c r="R32" s="714" t="s">
        <v>17</v>
      </c>
      <c r="S32" s="715">
        <f t="shared" si="10"/>
        <v>100</v>
      </c>
      <c r="T32" s="714" t="s">
        <v>17</v>
      </c>
      <c r="U32" s="715">
        <f t="shared" si="11"/>
        <v>100</v>
      </c>
      <c r="V32" s="714" t="s">
        <v>17</v>
      </c>
      <c r="W32" s="715">
        <f t="shared" si="12"/>
        <v>100</v>
      </c>
      <c r="X32" s="1529"/>
      <c r="Y32" s="3419"/>
      <c r="Z32" s="1530" t="str">
        <f t="shared" si="13"/>
        <v>毗邻道路的类型与等级</v>
      </c>
      <c r="AA32" s="1527">
        <f t="shared" si="3"/>
        <v>1</v>
      </c>
      <c r="AB32" s="1527">
        <f t="shared" si="4"/>
        <v>1</v>
      </c>
      <c r="AC32" s="1527">
        <f t="shared" si="5"/>
        <v>1</v>
      </c>
    </row>
    <row r="33" spans="1:29" ht="15.75" thickBot="1">
      <c r="A33" s="387"/>
      <c r="B33" s="415"/>
      <c r="C33" s="406"/>
      <c r="D33" s="407"/>
      <c r="E33" s="2079"/>
      <c r="F33" s="407"/>
      <c r="G33" s="2079"/>
      <c r="H33" s="407"/>
      <c r="I33" s="406"/>
      <c r="J33" s="407"/>
      <c r="K33" s="570"/>
      <c r="L33" s="2938"/>
      <c r="M33" s="2932"/>
      <c r="N33" s="2932"/>
      <c r="O33" s="2990"/>
      <c r="P33" s="3419"/>
      <c r="Q33" s="1526"/>
      <c r="R33" s="714"/>
      <c r="S33" s="715"/>
      <c r="T33" s="714"/>
      <c r="U33" s="715"/>
      <c r="V33" s="714"/>
      <c r="W33" s="715"/>
      <c r="X33" s="1529"/>
      <c r="Y33" s="3419"/>
      <c r="Z33" s="1530"/>
      <c r="AA33" s="1527">
        <v>1</v>
      </c>
      <c r="AB33" s="1527">
        <v>1</v>
      </c>
      <c r="AC33" s="1527">
        <v>1</v>
      </c>
    </row>
    <row r="34" spans="1:29" ht="15" hidden="1">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419"/>
      <c r="Q34" s="1526" t="str">
        <f t="shared" si="8"/>
        <v>土地级别</v>
      </c>
      <c r="R34" s="714" t="s">
        <v>17</v>
      </c>
      <c r="S34" s="715">
        <f t="shared" si="10"/>
        <v>100</v>
      </c>
      <c r="T34" s="714" t="s">
        <v>17</v>
      </c>
      <c r="U34" s="715">
        <f t="shared" si="11"/>
        <v>100</v>
      </c>
      <c r="V34" s="714" t="s">
        <v>17</v>
      </c>
      <c r="W34" s="715">
        <f t="shared" si="12"/>
        <v>100</v>
      </c>
      <c r="X34" s="1529"/>
      <c r="Y34" s="3419"/>
      <c r="Z34" s="1530" t="str">
        <f t="shared" si="13"/>
        <v>土地级别</v>
      </c>
      <c r="AA34" s="1527">
        <f t="shared" si="3"/>
        <v>1</v>
      </c>
      <c r="AB34" s="1527">
        <f t="shared" si="4"/>
        <v>1</v>
      </c>
      <c r="AC34" s="1527">
        <f t="shared" si="5"/>
        <v>1</v>
      </c>
    </row>
    <row r="35" spans="1:29" ht="15" hidden="1">
      <c r="A35" s="364"/>
      <c r="B35" s="128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419"/>
      <c r="Q35" s="1526">
        <f t="shared" si="8"/>
        <v>111</v>
      </c>
      <c r="R35" s="714" t="s">
        <v>17</v>
      </c>
      <c r="S35" s="715">
        <f t="shared" si="10"/>
        <v>100</v>
      </c>
      <c r="T35" s="714" t="s">
        <v>17</v>
      </c>
      <c r="U35" s="715">
        <f t="shared" si="11"/>
        <v>100</v>
      </c>
      <c r="V35" s="714" t="s">
        <v>17</v>
      </c>
      <c r="W35" s="715">
        <f t="shared" si="12"/>
        <v>100</v>
      </c>
      <c r="X35" s="1529"/>
      <c r="Y35" s="3419"/>
      <c r="Z35" s="1530">
        <f t="shared" si="13"/>
        <v>111</v>
      </c>
      <c r="AA35" s="1527">
        <f t="shared" si="3"/>
        <v>1</v>
      </c>
      <c r="AB35" s="1527">
        <f t="shared" si="4"/>
        <v>1</v>
      </c>
      <c r="AC35" s="1527">
        <f t="shared" si="5"/>
        <v>1</v>
      </c>
    </row>
    <row r="36" spans="1:29" ht="15" hidden="1">
      <c r="A36" s="631"/>
      <c r="B36" s="128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420" t="s">
        <v>2384</v>
      </c>
      <c r="Q36" s="1526">
        <f t="shared" si="8"/>
        <v>111</v>
      </c>
      <c r="R36" s="714" t="s">
        <v>17</v>
      </c>
      <c r="S36" s="715">
        <f t="shared" si="10"/>
        <v>100</v>
      </c>
      <c r="T36" s="714" t="s">
        <v>17</v>
      </c>
      <c r="U36" s="715">
        <f t="shared" si="11"/>
        <v>100</v>
      </c>
      <c r="V36" s="714" t="s">
        <v>17</v>
      </c>
      <c r="W36" s="715">
        <f t="shared" si="12"/>
        <v>100</v>
      </c>
      <c r="X36" s="1529"/>
      <c r="Y36" s="3421" t="s">
        <v>2384</v>
      </c>
      <c r="Z36" s="1530">
        <f t="shared" si="13"/>
        <v>111</v>
      </c>
      <c r="AA36" s="1527">
        <f t="shared" si="3"/>
        <v>1</v>
      </c>
      <c r="AB36" s="1527">
        <f t="shared" si="4"/>
        <v>1</v>
      </c>
      <c r="AC36" s="1527">
        <f t="shared" si="5"/>
        <v>1</v>
      </c>
    </row>
    <row r="37" spans="1:29" s="430" customFormat="1" ht="15.75" hidden="1" thickBot="1">
      <c r="A37" s="632"/>
      <c r="B37" s="128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421"/>
      <c r="Q37" s="1526">
        <f t="shared" si="8"/>
        <v>111</v>
      </c>
      <c r="R37" s="717" t="s">
        <v>17</v>
      </c>
      <c r="S37" s="718">
        <f t="shared" si="10"/>
        <v>100</v>
      </c>
      <c r="T37" s="717" t="s">
        <v>17</v>
      </c>
      <c r="U37" s="718">
        <f t="shared" si="11"/>
        <v>100</v>
      </c>
      <c r="V37" s="717" t="s">
        <v>17</v>
      </c>
      <c r="W37" s="718">
        <f t="shared" si="12"/>
        <v>100</v>
      </c>
      <c r="X37" s="719"/>
      <c r="Y37" s="3421"/>
      <c r="Z37" s="720">
        <f t="shared" si="13"/>
        <v>111</v>
      </c>
      <c r="AA37" s="1527">
        <f t="shared" si="3"/>
        <v>1</v>
      </c>
      <c r="AB37" s="1527">
        <f t="shared" si="4"/>
        <v>1</v>
      </c>
      <c r="AC37" s="1527">
        <f t="shared" si="5"/>
        <v>1</v>
      </c>
    </row>
    <row r="38" spans="1:29" ht="15">
      <c r="A38" s="431" t="s">
        <v>2382</v>
      </c>
      <c r="B38" s="415" t="s">
        <v>2570</v>
      </c>
      <c r="C38" s="635">
        <f>'数据-基础表'!A3</f>
        <v>0</v>
      </c>
      <c r="D38" s="426">
        <v>100</v>
      </c>
      <c r="E38" s="635">
        <f>土地案例!E2</f>
        <v>12136.3</v>
      </c>
      <c r="F38" s="426">
        <f>LOOKUP(E38,117:117,118:118)-LOOKUP(C38,117:117,118:118)+100</f>
        <v>102</v>
      </c>
      <c r="G38" s="635">
        <f>土地案例!E3</f>
        <v>30159.25</v>
      </c>
      <c r="H38" s="426">
        <f>LOOKUP(G38,117:117,118:118)-LOOKUP(C38,117:117,118:118)+100</f>
        <v>104</v>
      </c>
      <c r="I38" s="487">
        <f>土地案例!E4</f>
        <v>35629.120000000003</v>
      </c>
      <c r="J38" s="426">
        <f>LOOKUP(I38,117:117,118:118)-LOOKUP(C38,117:117,118:118)+100</f>
        <v>104</v>
      </c>
      <c r="K38" s="570"/>
      <c r="L38" s="2938"/>
      <c r="M38" s="2932"/>
      <c r="N38" s="2932"/>
      <c r="O38" s="2990"/>
      <c r="P38" s="3421"/>
      <c r="Q38" s="1526" t="str">
        <f>B38</f>
        <v>宗地面积</v>
      </c>
      <c r="R38" s="714" t="s">
        <v>17</v>
      </c>
      <c r="S38" s="715">
        <f t="shared" si="10"/>
        <v>102</v>
      </c>
      <c r="T38" s="714" t="s">
        <v>17</v>
      </c>
      <c r="U38" s="715">
        <f t="shared" si="11"/>
        <v>104</v>
      </c>
      <c r="V38" s="714" t="s">
        <v>17</v>
      </c>
      <c r="W38" s="715">
        <f t="shared" si="12"/>
        <v>104</v>
      </c>
      <c r="X38" s="1529"/>
      <c r="Y38" s="3421"/>
      <c r="Z38" s="1530" t="str">
        <f t="shared" si="13"/>
        <v>宗地面积</v>
      </c>
      <c r="AA38" s="1527">
        <f t="shared" si="3"/>
        <v>0.98039215686274506</v>
      </c>
      <c r="AB38" s="1527">
        <f t="shared" si="4"/>
        <v>0.96153846153846156</v>
      </c>
      <c r="AC38" s="1527">
        <f t="shared" si="5"/>
        <v>0.96153846153846156</v>
      </c>
    </row>
    <row r="39" spans="1:29" ht="15">
      <c r="A39" s="431"/>
      <c r="B39" s="381" t="s">
        <v>2571</v>
      </c>
      <c r="C39" s="2081" t="s">
        <v>3289</v>
      </c>
      <c r="D39" s="394">
        <v>100</v>
      </c>
      <c r="E39" s="2081" t="s">
        <v>3289</v>
      </c>
      <c r="F39" s="394">
        <f>SUMIF(119:119,E39,120:120)-SUMIF(119:119,C39,120:120)+100</f>
        <v>100</v>
      </c>
      <c r="G39" s="2081" t="s">
        <v>3289</v>
      </c>
      <c r="H39" s="394">
        <f>SUMIF(119:119,G39,120:120)-SUMIF(119:119,C39,120:120)+100</f>
        <v>100</v>
      </c>
      <c r="I39" s="2081" t="s">
        <v>3289</v>
      </c>
      <c r="J39" s="394">
        <f>SUMIF(119:119,I39,120:120)-SUMIF(119:119,C39,120:120)+100</f>
        <v>100</v>
      </c>
      <c r="K39" s="569">
        <v>2</v>
      </c>
      <c r="L39" s="2938"/>
      <c r="M39" s="2932"/>
      <c r="N39" s="2932"/>
      <c r="O39" s="2990"/>
      <c r="P39" s="3421"/>
      <c r="Q39" s="1526" t="str">
        <f t="shared" ref="Q39:Q45" si="14">B39</f>
        <v>宗地形状</v>
      </c>
      <c r="R39" s="714" t="s">
        <v>17</v>
      </c>
      <c r="S39" s="715">
        <f t="shared" si="10"/>
        <v>100</v>
      </c>
      <c r="T39" s="714" t="s">
        <v>17</v>
      </c>
      <c r="U39" s="715">
        <f t="shared" si="11"/>
        <v>100</v>
      </c>
      <c r="V39" s="714" t="s">
        <v>17</v>
      </c>
      <c r="W39" s="715">
        <f t="shared" si="12"/>
        <v>100</v>
      </c>
      <c r="X39" s="1529"/>
      <c r="Y39" s="3421"/>
      <c r="Z39" s="1530" t="str">
        <f t="shared" si="13"/>
        <v>宗地形状</v>
      </c>
      <c r="AA39" s="1527">
        <f t="shared" si="3"/>
        <v>1</v>
      </c>
      <c r="AB39" s="1527">
        <f t="shared" si="4"/>
        <v>1</v>
      </c>
      <c r="AC39" s="1527">
        <f t="shared" si="5"/>
        <v>1</v>
      </c>
    </row>
    <row r="40" spans="1:29" ht="15">
      <c r="A40" s="431"/>
      <c r="B40" s="381" t="s">
        <v>2572</v>
      </c>
      <c r="C40" s="2081" t="s">
        <v>3295</v>
      </c>
      <c r="D40" s="394">
        <v>100</v>
      </c>
      <c r="E40" s="2081" t="s">
        <v>3295</v>
      </c>
      <c r="F40" s="394">
        <f>SUMIF(121:121,E40,122:122)-SUMIF(121:121,C40,122:122)+100</f>
        <v>100</v>
      </c>
      <c r="G40" s="2081" t="s">
        <v>3295</v>
      </c>
      <c r="H40" s="394">
        <f>SUMIF(121:121,G40,122:122)-SUMIF(121:121,C40,122:122)+100</f>
        <v>100</v>
      </c>
      <c r="I40" s="2081" t="s">
        <v>3295</v>
      </c>
      <c r="J40" s="394">
        <f>SUMIF(121:121,I40,122:122)-SUMIF(121:121,C40,122:122)+100</f>
        <v>100</v>
      </c>
      <c r="K40" s="569">
        <v>2</v>
      </c>
      <c r="L40" s="2938"/>
      <c r="M40" s="2932"/>
      <c r="N40" s="2932"/>
      <c r="O40" s="2990"/>
      <c r="P40" s="3421"/>
      <c r="Q40" s="1526" t="str">
        <f t="shared" si="14"/>
        <v>临街宽度及深度</v>
      </c>
      <c r="R40" s="714" t="s">
        <v>17</v>
      </c>
      <c r="S40" s="715">
        <f t="shared" si="10"/>
        <v>100</v>
      </c>
      <c r="T40" s="714" t="s">
        <v>17</v>
      </c>
      <c r="U40" s="715">
        <f t="shared" si="11"/>
        <v>100</v>
      </c>
      <c r="V40" s="714" t="s">
        <v>17</v>
      </c>
      <c r="W40" s="715">
        <f t="shared" si="12"/>
        <v>100</v>
      </c>
      <c r="X40" s="1529"/>
      <c r="Y40" s="3421"/>
      <c r="Z40" s="1530" t="str">
        <f t="shared" si="13"/>
        <v>临街宽度及深度</v>
      </c>
      <c r="AA40" s="1527">
        <f t="shared" si="3"/>
        <v>1</v>
      </c>
      <c r="AB40" s="1527">
        <f t="shared" si="4"/>
        <v>1</v>
      </c>
      <c r="AC40" s="1527">
        <f t="shared" si="5"/>
        <v>1</v>
      </c>
    </row>
    <row r="41" spans="1:29" s="113" customFormat="1" ht="15">
      <c r="A41" s="432"/>
      <c r="B41" s="381" t="s">
        <v>2573</v>
      </c>
      <c r="C41" s="2155" t="s">
        <v>3266</v>
      </c>
      <c r="D41" s="132">
        <v>100</v>
      </c>
      <c r="E41" s="2155" t="s">
        <v>3300</v>
      </c>
      <c r="F41" s="394">
        <f>SUMIF(123:123,E41,124:124)-SUMIF(123:123,C41,124:124)+100</f>
        <v>99</v>
      </c>
      <c r="G41" s="2155" t="s">
        <v>3300</v>
      </c>
      <c r="H41" s="394">
        <f>SUMIF(123:123,G41,124:124)-SUMIF(123:123,C41,124:124)+100</f>
        <v>99</v>
      </c>
      <c r="I41" s="2155" t="s">
        <v>3300</v>
      </c>
      <c r="J41" s="394">
        <f>SUMIF(123:123,I41,124:124)-SUMIF(123:123,C41,124:124)+100</f>
        <v>99</v>
      </c>
      <c r="K41" s="569">
        <v>1</v>
      </c>
      <c r="L41" s="2933"/>
      <c r="M41" s="2934"/>
      <c r="N41" s="2934"/>
      <c r="O41" s="2988"/>
      <c r="P41" s="3421"/>
      <c r="Q41" s="1526" t="str">
        <f t="shared" si="14"/>
        <v>宗地开发程度</v>
      </c>
      <c r="R41" s="710" t="s">
        <v>17</v>
      </c>
      <c r="S41" s="711">
        <f t="shared" si="10"/>
        <v>99</v>
      </c>
      <c r="T41" s="710" t="s">
        <v>17</v>
      </c>
      <c r="U41" s="711">
        <f t="shared" si="11"/>
        <v>99</v>
      </c>
      <c r="V41" s="710" t="s">
        <v>17</v>
      </c>
      <c r="W41" s="711">
        <f t="shared" si="12"/>
        <v>99</v>
      </c>
      <c r="X41" s="712"/>
      <c r="Y41" s="3421"/>
      <c r="Z41" s="55" t="str">
        <f t="shared" si="13"/>
        <v>宗地开发程度</v>
      </c>
      <c r="AA41" s="713">
        <f t="shared" si="3"/>
        <v>1.0101010101010102</v>
      </c>
      <c r="AB41" s="713">
        <f t="shared" si="4"/>
        <v>1.0101010101010102</v>
      </c>
      <c r="AC41" s="713">
        <f t="shared" si="5"/>
        <v>1.0101010101010102</v>
      </c>
    </row>
    <row r="42" spans="1:29" ht="15.75" thickBot="1">
      <c r="A42" s="431"/>
      <c r="B42" s="381" t="s">
        <v>2574</v>
      </c>
      <c r="C42" s="2081" t="s">
        <v>3264</v>
      </c>
      <c r="D42" s="394">
        <v>100</v>
      </c>
      <c r="E42" s="2081" t="s">
        <v>3264</v>
      </c>
      <c r="F42" s="394">
        <f>SUMIF(125:125,E42,126:126)-SUMIF(125:125,C42,126:126)+100</f>
        <v>100</v>
      </c>
      <c r="G42" s="2081" t="s">
        <v>3264</v>
      </c>
      <c r="H42" s="394">
        <f>SUMIF(125:125,G42,126:126)-SUMIF(125:125,C42,126:126)+100</f>
        <v>100</v>
      </c>
      <c r="I42" s="2081" t="s">
        <v>3264</v>
      </c>
      <c r="J42" s="394">
        <f>SUMIF(125:125,I42,126:126)-SUMIF(125:125,C42,126:126)+100</f>
        <v>100</v>
      </c>
      <c r="K42" s="569">
        <v>2</v>
      </c>
      <c r="L42" s="2938"/>
      <c r="M42" s="2932"/>
      <c r="N42" s="2932"/>
      <c r="O42" s="2990"/>
      <c r="P42" s="3421" t="s">
        <v>2384</v>
      </c>
      <c r="Q42" s="1526" t="str">
        <f t="shared" si="14"/>
        <v>工程地质条件</v>
      </c>
      <c r="R42" s="714" t="s">
        <v>17</v>
      </c>
      <c r="S42" s="715">
        <f t="shared" si="10"/>
        <v>100</v>
      </c>
      <c r="T42" s="714" t="s">
        <v>17</v>
      </c>
      <c r="U42" s="715">
        <f t="shared" si="11"/>
        <v>100</v>
      </c>
      <c r="V42" s="714" t="s">
        <v>17</v>
      </c>
      <c r="W42" s="715">
        <f t="shared" si="12"/>
        <v>100</v>
      </c>
      <c r="X42" s="1529"/>
      <c r="Y42" s="3421" t="s">
        <v>2384</v>
      </c>
      <c r="Z42" s="1530" t="str">
        <f t="shared" si="13"/>
        <v>工程地质条件</v>
      </c>
      <c r="AA42" s="1527">
        <f t="shared" si="3"/>
        <v>1</v>
      </c>
      <c r="AB42" s="1527">
        <f t="shared" si="4"/>
        <v>1</v>
      </c>
      <c r="AC42" s="1527">
        <f t="shared" si="5"/>
        <v>1</v>
      </c>
    </row>
    <row r="43" spans="1:29" ht="15" hidden="1">
      <c r="A43" s="431"/>
      <c r="B43" s="128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421"/>
      <c r="Q43" s="1526">
        <f t="shared" si="14"/>
        <v>111</v>
      </c>
      <c r="R43" s="714" t="s">
        <v>17</v>
      </c>
      <c r="S43" s="715">
        <f t="shared" si="10"/>
        <v>100</v>
      </c>
      <c r="T43" s="714" t="s">
        <v>17</v>
      </c>
      <c r="U43" s="715">
        <f t="shared" si="11"/>
        <v>100</v>
      </c>
      <c r="V43" s="714" t="s">
        <v>17</v>
      </c>
      <c r="W43" s="715">
        <f t="shared" si="12"/>
        <v>100</v>
      </c>
      <c r="X43" s="1529"/>
      <c r="Y43" s="3421"/>
      <c r="Z43" s="1530">
        <f t="shared" si="13"/>
        <v>111</v>
      </c>
      <c r="AA43" s="1527">
        <f t="shared" si="3"/>
        <v>1</v>
      </c>
      <c r="AB43" s="1527">
        <f t="shared" si="4"/>
        <v>1</v>
      </c>
      <c r="AC43" s="1527">
        <f t="shared" si="5"/>
        <v>1</v>
      </c>
    </row>
    <row r="44" spans="1:29" ht="15" hidden="1">
      <c r="A44" s="431"/>
      <c r="B44" s="128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421"/>
      <c r="Q44" s="1526">
        <f t="shared" si="14"/>
        <v>111</v>
      </c>
      <c r="R44" s="714" t="s">
        <v>17</v>
      </c>
      <c r="S44" s="715">
        <f t="shared" si="10"/>
        <v>100</v>
      </c>
      <c r="T44" s="714" t="s">
        <v>17</v>
      </c>
      <c r="U44" s="715">
        <f t="shared" si="11"/>
        <v>100</v>
      </c>
      <c r="V44" s="714" t="s">
        <v>17</v>
      </c>
      <c r="W44" s="715">
        <f t="shared" si="12"/>
        <v>100</v>
      </c>
      <c r="X44" s="1529"/>
      <c r="Y44" s="3421"/>
      <c r="Z44" s="1530">
        <f t="shared" si="13"/>
        <v>111</v>
      </c>
      <c r="AA44" s="1527">
        <f t="shared" si="3"/>
        <v>1</v>
      </c>
      <c r="AB44" s="1527">
        <f t="shared" si="4"/>
        <v>1</v>
      </c>
      <c r="AC44" s="1527">
        <f t="shared" si="5"/>
        <v>1</v>
      </c>
    </row>
    <row r="45" spans="1:29" s="430" customFormat="1" ht="15.75" hidden="1" thickBot="1">
      <c r="A45" s="427"/>
      <c r="B45" s="1288">
        <v>111</v>
      </c>
      <c r="C45" s="2156"/>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421"/>
      <c r="Q45" s="1526">
        <f t="shared" si="14"/>
        <v>111</v>
      </c>
      <c r="R45" s="717" t="s">
        <v>17</v>
      </c>
      <c r="S45" s="718">
        <f t="shared" si="10"/>
        <v>100</v>
      </c>
      <c r="T45" s="717" t="s">
        <v>17</v>
      </c>
      <c r="U45" s="718">
        <f t="shared" si="11"/>
        <v>100</v>
      </c>
      <c r="V45" s="717" t="s">
        <v>17</v>
      </c>
      <c r="W45" s="718">
        <f t="shared" si="12"/>
        <v>100</v>
      </c>
      <c r="X45" s="719"/>
      <c r="Y45" s="3421"/>
      <c r="Z45" s="720">
        <f t="shared" si="13"/>
        <v>111</v>
      </c>
      <c r="AA45" s="1527">
        <f t="shared" si="3"/>
        <v>1</v>
      </c>
      <c r="AB45" s="1527">
        <f t="shared" si="4"/>
        <v>1</v>
      </c>
      <c r="AC45" s="1527">
        <f t="shared" si="5"/>
        <v>1</v>
      </c>
    </row>
    <row r="46" spans="1:29" ht="15">
      <c r="A46" s="438" t="s">
        <v>2539</v>
      </c>
      <c r="B46" s="2157" t="s">
        <v>2575</v>
      </c>
      <c r="C46" s="638" t="s">
        <v>1</v>
      </c>
      <c r="D46" s="440"/>
      <c r="E46" s="441">
        <f>土地案例!M2</f>
        <v>16715</v>
      </c>
      <c r="F46" s="442"/>
      <c r="G46" s="443">
        <f>土地案例!M3</f>
        <v>16623</v>
      </c>
      <c r="H46" s="444"/>
      <c r="I46" s="441">
        <f>土地案例!M4</f>
        <v>16599</v>
      </c>
      <c r="J46" s="444"/>
      <c r="K46" s="723"/>
      <c r="L46" s="2940"/>
      <c r="M46" s="2941"/>
      <c r="N46" s="2932"/>
      <c r="O46" s="2941"/>
      <c r="P46" s="3403" t="str">
        <f>A46</f>
        <v>成交单价</v>
      </c>
      <c r="Q46" s="3403"/>
      <c r="R46" s="3416">
        <f>E46</f>
        <v>16715</v>
      </c>
      <c r="S46" s="3416"/>
      <c r="T46" s="3416">
        <f>G46</f>
        <v>16623</v>
      </c>
      <c r="U46" s="3416"/>
      <c r="V46" s="3416">
        <f>I46</f>
        <v>16599</v>
      </c>
      <c r="W46" s="3416"/>
      <c r="X46" s="699"/>
      <c r="Y46" s="721"/>
      <c r="Z46" s="699"/>
      <c r="AA46" s="699"/>
      <c r="AB46" s="699"/>
      <c r="AC46" s="699"/>
    </row>
    <row r="47" spans="1:29" ht="15.75" thickBot="1">
      <c r="A47" s="445" t="s">
        <v>2488</v>
      </c>
      <c r="B47" s="639"/>
      <c r="C47" s="448">
        <f>R48</f>
        <v>15483</v>
      </c>
      <c r="D47" s="2527" t="s">
        <v>2872</v>
      </c>
      <c r="E47" s="448">
        <f>R47</f>
        <v>15327</v>
      </c>
      <c r="F47" s="2528"/>
      <c r="G47" s="447">
        <f>T47</f>
        <v>15572</v>
      </c>
      <c r="H47" s="2528"/>
      <c r="I47" s="448">
        <f>V47</f>
        <v>15550</v>
      </c>
      <c r="J47" s="2528"/>
      <c r="K47" s="2530">
        <f>F47+H47+J47</f>
        <v>0</v>
      </c>
      <c r="L47" s="2940"/>
      <c r="M47" s="2941"/>
      <c r="N47" s="2941"/>
      <c r="O47" s="2941"/>
      <c r="P47" s="3403" t="str">
        <f>A47</f>
        <v>比较价值（元/平方米）</v>
      </c>
      <c r="Q47" s="3403"/>
      <c r="R47" s="3422">
        <f>ROUND(PRODUCT(R46,AA7:AA45),0)</f>
        <v>15327</v>
      </c>
      <c r="S47" s="3422"/>
      <c r="T47" s="3422">
        <f>ROUND(PRODUCT(T46,AB7:AB45),0)</f>
        <v>15572</v>
      </c>
      <c r="U47" s="3422"/>
      <c r="V47" s="3422">
        <f>ROUND(PRODUCT(V46,AC7:AC45),0)</f>
        <v>15550</v>
      </c>
      <c r="W47" s="3422"/>
      <c r="X47" s="699"/>
      <c r="Y47" s="699"/>
      <c r="Z47" s="699"/>
      <c r="AA47" s="699"/>
      <c r="AB47" s="699"/>
      <c r="AC47" s="699"/>
    </row>
    <row r="48" spans="1:29" ht="15.75" thickBot="1">
      <c r="A48" s="449" t="s">
        <v>2576</v>
      </c>
      <c r="B48" s="450"/>
      <c r="C48" s="451">
        <f>R48</f>
        <v>15483</v>
      </c>
      <c r="D48" s="451"/>
      <c r="E48" s="451"/>
      <c r="F48" s="451"/>
      <c r="G48" s="451"/>
      <c r="H48" s="451"/>
      <c r="I48" s="451"/>
      <c r="J48" s="451"/>
      <c r="K48" s="724"/>
      <c r="L48" s="2940"/>
      <c r="M48" s="2941"/>
      <c r="N48" s="2941"/>
      <c r="O48" s="2941"/>
      <c r="P48" s="3423" t="str">
        <f>A48</f>
        <v>估价对象XX用房的比较价值（楼面单价，元/平方米）</v>
      </c>
      <c r="Q48" s="3424"/>
      <c r="R48" s="3425">
        <f>ROUND(IF(D47="简单平均",AVERAGE(R47:W47),R47*F47+T47*H47+V47*J47),0)</f>
        <v>15483</v>
      </c>
      <c r="S48" s="3425"/>
      <c r="T48" s="3425"/>
      <c r="U48" s="3425"/>
      <c r="V48" s="3425"/>
      <c r="W48" s="3425"/>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2490</v>
      </c>
      <c r="D51" s="455"/>
      <c r="E51" s="456">
        <f>IF(E46&lt;E47,E47/E46-1,E46/E47-1)</f>
        <v>9.0559143994258573E-2</v>
      </c>
      <c r="F51" s="457" t="str">
        <f>IF(OR(E51&gt;=0.3,E51&lt;=-0.3),"超过30%","")</f>
        <v/>
      </c>
      <c r="G51" s="456">
        <f>IF(G46&lt;G47,G47/G46-1,G46/G47-1)</f>
        <v>6.7492936039044382E-2</v>
      </c>
      <c r="H51" s="457" t="str">
        <f>IF(OR(G51&gt;=0.3,G51&lt;=-0.3),"超过30%","")</f>
        <v/>
      </c>
      <c r="I51" s="456">
        <f>IF(I46&lt;I47,I47/I46-1,I46/I47-1)</f>
        <v>6.7459807073954936E-2</v>
      </c>
      <c r="J51" s="457" t="str">
        <f>IF(OR(I51&gt;=0.3,I51&lt;=-0.3),"超过30%","")</f>
        <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2491</v>
      </c>
      <c r="D52" s="458"/>
      <c r="E52" s="456">
        <f>IF(E47&lt;G47,G47/E47-1,E47/G47-1)</f>
        <v>1.5984863313107667E-2</v>
      </c>
      <c r="F52" s="457" t="str">
        <f>IF(OR(E52&gt;=0.2,E52&lt;=-0.2),"超过20%","")</f>
        <v/>
      </c>
      <c r="G52" s="456">
        <f>IF(G47&lt;I47,I47/G47-1,G47/I47-1)</f>
        <v>1.4147909967845429E-3</v>
      </c>
      <c r="H52" s="457" t="str">
        <f>IF(OR(G52&gt;=0.2,G52&lt;=-0.2),"超过20%","")</f>
        <v/>
      </c>
      <c r="I52" s="456">
        <f>IF(I47&lt;E47,E47/I47-1,I47/E47-1)</f>
        <v>1.4549487831930552E-2</v>
      </c>
      <c r="J52" s="457" t="str">
        <f>IF(OR(I52&gt;=0.2,I52&lt;=-0.2),"超过20%","")</f>
        <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2492</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2577</v>
      </c>
      <c r="B55" s="641" t="s">
        <v>2578</v>
      </c>
      <c r="C55" s="2158" t="s">
        <v>2579</v>
      </c>
      <c r="D55" s="2159" t="s">
        <v>2580</v>
      </c>
      <c r="E55" s="642" t="s">
        <v>2581</v>
      </c>
      <c r="F55" s="1015" t="s">
        <v>2582</v>
      </c>
      <c r="G55" s="3404" t="s">
        <v>2583</v>
      </c>
      <c r="H55" s="3426"/>
      <c r="I55" s="140" t="s">
        <v>2584</v>
      </c>
      <c r="J55" s="2160">
        <f>项目基本情况!F35</f>
        <v>0</v>
      </c>
      <c r="K55" s="2161" t="s">
        <v>2585</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2586</v>
      </c>
      <c r="B56" s="645">
        <f>C48</f>
        <v>15483</v>
      </c>
      <c r="C56" s="646">
        <v>1</v>
      </c>
      <c r="D56" s="1068">
        <v>1</v>
      </c>
      <c r="E56" s="646">
        <f>'数据-汇总表'!E8+'数据-汇总表'!E9</f>
        <v>998.81000000000006</v>
      </c>
      <c r="F56" s="1011">
        <f t="shared" ref="F56:F65" si="15">ROUND(B56*E56/10000,0)</f>
        <v>1546</v>
      </c>
      <c r="G56" s="3427"/>
      <c r="H56" s="3403"/>
      <c r="I56" s="1016">
        <v>1</v>
      </c>
      <c r="J56" s="1019">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2587</v>
      </c>
      <c r="B57" s="224">
        <f>ROUND($C$48*C57*D57,0)</f>
        <v>2710</v>
      </c>
      <c r="C57" s="176">
        <f t="shared" ref="C57:C65" si="16">IF($C$55="北京市系数",I57,J57)</f>
        <v>0.7</v>
      </c>
      <c r="D57" s="1069">
        <v>0.25</v>
      </c>
      <c r="E57" s="650"/>
      <c r="F57" s="1011">
        <f t="shared" si="15"/>
        <v>0</v>
      </c>
      <c r="G57" s="3428" t="s">
        <v>2588</v>
      </c>
      <c r="H57" s="1012" t="str">
        <f>项目基本情况!B37</f>
        <v>六级</v>
      </c>
      <c r="I57" s="1016">
        <f>SUMIF(修正!A45:A56,H57,修正!B45:B56)</f>
        <v>0.7</v>
      </c>
      <c r="J57" s="1020"/>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2589</v>
      </c>
      <c r="B58" s="224">
        <f t="shared" ref="B58:B65" si="17">ROUND($C$48*C58*D58,0)</f>
        <v>1548</v>
      </c>
      <c r="C58" s="176">
        <f t="shared" si="16"/>
        <v>0.4</v>
      </c>
      <c r="D58" s="1069">
        <v>0.25</v>
      </c>
      <c r="E58" s="650"/>
      <c r="F58" s="1011">
        <f t="shared" si="15"/>
        <v>0</v>
      </c>
      <c r="G58" s="3428"/>
      <c r="H58" s="1012" t="str">
        <f>项目基本情况!B37</f>
        <v>六级</v>
      </c>
      <c r="I58" s="1016">
        <f>SUMIF(修正!A45:A56,H58,修正!C45:C56)</f>
        <v>0.4</v>
      </c>
      <c r="J58" s="1020"/>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2590</v>
      </c>
      <c r="B59" s="224">
        <f t="shared" si="17"/>
        <v>1084</v>
      </c>
      <c r="C59" s="176">
        <f t="shared" si="16"/>
        <v>0.28000000000000003</v>
      </c>
      <c r="D59" s="1069">
        <v>0.25</v>
      </c>
      <c r="E59" s="650"/>
      <c r="F59" s="1011">
        <f t="shared" si="15"/>
        <v>0</v>
      </c>
      <c r="G59" s="3428"/>
      <c r="H59" s="1012" t="str">
        <f>项目基本情况!B37</f>
        <v>六级</v>
      </c>
      <c r="I59" s="1016">
        <f>SUMIF(修正!A45:A56,H59,修正!D45:D56)</f>
        <v>0.28000000000000003</v>
      </c>
      <c r="J59" s="1020"/>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2591</v>
      </c>
      <c r="B60" s="224">
        <f t="shared" si="17"/>
        <v>968</v>
      </c>
      <c r="C60" s="176">
        <f t="shared" si="16"/>
        <v>0.25</v>
      </c>
      <c r="D60" s="1069">
        <v>0.25</v>
      </c>
      <c r="E60" s="650"/>
      <c r="F60" s="1011">
        <f t="shared" si="15"/>
        <v>0</v>
      </c>
      <c r="G60" s="3428"/>
      <c r="H60" s="1012" t="str">
        <f>项目基本情况!B37</f>
        <v>六级</v>
      </c>
      <c r="I60" s="1016">
        <f>SUMIF(修正!A45:A56,H60,修正!E45:E56)</f>
        <v>0.25</v>
      </c>
      <c r="J60" s="1020"/>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2592</v>
      </c>
      <c r="B61" s="224">
        <f t="shared" si="17"/>
        <v>0</v>
      </c>
      <c r="C61" s="176">
        <f t="shared" si="16"/>
        <v>0</v>
      </c>
      <c r="D61" s="1069">
        <v>0.25</v>
      </c>
      <c r="E61" s="223">
        <f>'数据-汇总表'!E11</f>
        <v>0</v>
      </c>
      <c r="F61" s="1011">
        <f t="shared" si="15"/>
        <v>0</v>
      </c>
      <c r="G61" s="2162" t="s">
        <v>2593</v>
      </c>
      <c r="H61" s="1012">
        <f>项目基本情况!C37</f>
        <v>0</v>
      </c>
      <c r="I61" s="1016">
        <f>SUMIF(修正!A45:A56,H61,修正!F45:F56)</f>
        <v>0</v>
      </c>
      <c r="J61" s="1020"/>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2594</v>
      </c>
      <c r="B62" s="224">
        <f t="shared" si="17"/>
        <v>0</v>
      </c>
      <c r="C62" s="176">
        <f t="shared" si="16"/>
        <v>0</v>
      </c>
      <c r="D62" s="1069">
        <v>0.25</v>
      </c>
      <c r="E62" s="223">
        <f>'数据-汇总表'!E12</f>
        <v>0</v>
      </c>
      <c r="F62" s="1011">
        <f t="shared" si="15"/>
        <v>0</v>
      </c>
      <c r="G62" s="1017" t="s">
        <v>2595</v>
      </c>
      <c r="H62" s="1012">
        <f>IF(G62="商业",项目基本情况!B37,IF(G62="办公",项目基本情况!C37,IF(G62="住宅",项目基本情况!D37,项目基本情况!E37)))</f>
        <v>0</v>
      </c>
      <c r="I62" s="1016">
        <f>SUMIF(修正!A45:A56,H62,修正!G45:G56)</f>
        <v>0</v>
      </c>
      <c r="J62" s="1020"/>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2596</v>
      </c>
      <c r="B63" s="224">
        <f t="shared" si="17"/>
        <v>0</v>
      </c>
      <c r="C63" s="176">
        <f t="shared" si="16"/>
        <v>0</v>
      </c>
      <c r="D63" s="1069">
        <v>0.25</v>
      </c>
      <c r="E63" s="223">
        <f>'数据-汇总表'!E13</f>
        <v>0</v>
      </c>
      <c r="F63" s="1011">
        <f t="shared" si="15"/>
        <v>0</v>
      </c>
      <c r="G63" s="1017" t="s">
        <v>2597</v>
      </c>
      <c r="H63" s="1012">
        <f>IF(G63="商业",项目基本情况!B37,IF(G63="办公",项目基本情况!C37,IF(G63="住宅",项目基本情况!D37,项目基本情况!E37)))</f>
        <v>0</v>
      </c>
      <c r="I63" s="1016">
        <f>SUMIF(修正!A45:A56,H63,修正!H45:H56)</f>
        <v>0</v>
      </c>
      <c r="J63" s="1020"/>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2598</v>
      </c>
      <c r="B64" s="224">
        <f t="shared" si="17"/>
        <v>774</v>
      </c>
      <c r="C64" s="176">
        <f t="shared" si="16"/>
        <v>0.2</v>
      </c>
      <c r="D64" s="1069">
        <v>0.25</v>
      </c>
      <c r="E64" s="223">
        <f>'数据-汇总表'!E14</f>
        <v>0</v>
      </c>
      <c r="F64" s="1011">
        <f t="shared" si="15"/>
        <v>0</v>
      </c>
      <c r="G64" s="2162" t="s">
        <v>2588</v>
      </c>
      <c r="H64" s="1012" t="str">
        <f>项目基本情况!B37</f>
        <v>六级</v>
      </c>
      <c r="I64" s="1016">
        <f>SUMIF(修正!A45:A56,H64,修正!H45:H56)</f>
        <v>0.2</v>
      </c>
      <c r="J64" s="1020"/>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2599</v>
      </c>
      <c r="B65" s="224">
        <f t="shared" si="17"/>
        <v>0</v>
      </c>
      <c r="C65" s="176">
        <f t="shared" si="16"/>
        <v>0</v>
      </c>
      <c r="D65" s="1069">
        <v>0.25</v>
      </c>
      <c r="E65" s="223">
        <f>'数据-汇总表'!E15</f>
        <v>0</v>
      </c>
      <c r="F65" s="1011">
        <f t="shared" si="15"/>
        <v>0</v>
      </c>
      <c r="G65" s="2163" t="s">
        <v>2593</v>
      </c>
      <c r="H65" s="1022">
        <f>项目基本情况!C37</f>
        <v>0</v>
      </c>
      <c r="I65" s="1018">
        <f>SUMIF(修正!A45:A56,H65,修正!H45:H56)</f>
        <v>0</v>
      </c>
      <c r="J65" s="1021"/>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2600</v>
      </c>
      <c r="B66" s="652" t="s">
        <v>28</v>
      </c>
      <c r="C66" s="652" t="s">
        <v>29</v>
      </c>
      <c r="D66" s="652" t="s">
        <v>997</v>
      </c>
      <c r="E66" s="652">
        <f>IF(B46="楼面地价",SUM(E56:E65),'数据-汇总表'!D3)</f>
        <v>998.81000000000006</v>
      </c>
      <c r="F66" s="653">
        <f>IF(B46="楼面地价",SUM(F56:F65),ROUND(C48*E66/10000,0))</f>
        <v>1546</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1"/>
      <c r="K67" s="1013"/>
      <c r="L67" s="1014"/>
      <c r="M67" s="1051"/>
      <c r="N67" s="1051"/>
      <c r="O67" s="1051"/>
      <c r="P67" s="2941"/>
      <c r="Q67" s="2941"/>
      <c r="R67" s="2941"/>
      <c r="S67" s="2941"/>
      <c r="T67" s="2941"/>
      <c r="U67" s="2941"/>
      <c r="V67" s="2941"/>
      <c r="W67" s="2941"/>
      <c r="X67" s="2941"/>
      <c r="Y67" s="2941"/>
      <c r="Z67" s="2941"/>
      <c r="AA67" s="2941"/>
      <c r="AB67" s="2941"/>
      <c r="AC67" s="294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1"/>
      <c r="Q68" s="2941"/>
      <c r="R68" s="2941"/>
      <c r="S68" s="2941"/>
      <c r="T68" s="2941"/>
      <c r="U68" s="2941"/>
      <c r="V68" s="2941"/>
      <c r="W68" s="2941"/>
      <c r="X68" s="2941"/>
      <c r="Y68" s="2941"/>
      <c r="Z68" s="2941"/>
      <c r="AA68" s="2941"/>
      <c r="AB68" s="2941"/>
      <c r="AC68" s="2941"/>
    </row>
    <row r="69" spans="1:29" ht="21.75" thickBot="1">
      <c r="A69" s="703" t="s">
        <v>2493</v>
      </c>
      <c r="B69" s="699"/>
      <c r="C69" s="704"/>
      <c r="D69" s="704"/>
      <c r="E69" s="704"/>
      <c r="F69" s="705"/>
      <c r="G69" s="705"/>
      <c r="H69" s="704"/>
      <c r="I69" s="704"/>
      <c r="J69" s="1064"/>
      <c r="K69" s="1065"/>
      <c r="L69" s="1066"/>
      <c r="M69" s="1064"/>
      <c r="N69" s="2985"/>
      <c r="O69" s="2985"/>
      <c r="P69" s="2985"/>
      <c r="Q69" s="2955"/>
      <c r="R69" s="2941"/>
      <c r="S69" s="2941"/>
      <c r="T69" s="2941"/>
      <c r="U69" s="2941"/>
      <c r="V69" s="2941"/>
      <c r="W69" s="2941"/>
      <c r="X69" s="2941"/>
      <c r="Y69" s="2941"/>
      <c r="Z69" s="2941"/>
      <c r="AA69" s="2941"/>
      <c r="AB69" s="2941"/>
      <c r="AC69" s="2941"/>
    </row>
    <row r="70" spans="1:29" s="465" customFormat="1" ht="15">
      <c r="A70" s="2164" t="s">
        <v>2601</v>
      </c>
      <c r="B70" s="1261"/>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92"/>
      <c r="Q70" s="2957"/>
      <c r="R70" s="2957"/>
      <c r="S70" s="2957"/>
      <c r="T70" s="2957"/>
      <c r="U70" s="2957"/>
      <c r="V70" s="2957"/>
      <c r="W70" s="2957"/>
      <c r="X70" s="2957"/>
      <c r="Y70" s="2957"/>
      <c r="Z70" s="2957"/>
      <c r="AA70" s="2957"/>
      <c r="AB70" s="2957"/>
      <c r="AC70" s="2957"/>
    </row>
    <row r="71" spans="1:29" s="113" customFormat="1" ht="30" customHeight="1">
      <c r="A71" s="2165"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5"/>
      <c r="Q71" s="2876"/>
      <c r="R71" s="2876"/>
      <c r="S71" s="2876"/>
      <c r="T71" s="2876"/>
      <c r="U71" s="2876"/>
      <c r="V71" s="2876"/>
      <c r="W71" s="2876"/>
      <c r="X71" s="2876"/>
      <c r="Y71" s="2876"/>
      <c r="Z71" s="2876"/>
      <c r="AA71" s="2876"/>
      <c r="AB71" s="2876"/>
      <c r="AC71" s="2876"/>
    </row>
    <row r="72" spans="1:29" s="113" customFormat="1" ht="15.75" thickBot="1">
      <c r="A72" s="472" t="s">
        <v>2404</v>
      </c>
      <c r="B72" s="473"/>
      <c r="C72" s="474"/>
      <c r="D72" s="475"/>
      <c r="E72" s="475"/>
      <c r="F72" s="475"/>
      <c r="G72" s="475"/>
      <c r="H72" s="475"/>
      <c r="I72" s="475"/>
      <c r="J72" s="475"/>
      <c r="K72" s="475"/>
      <c r="L72" s="475"/>
      <c r="M72" s="476"/>
      <c r="N72" s="475"/>
      <c r="O72" s="1067"/>
      <c r="P72" s="2955"/>
      <c r="Q72" s="2955"/>
      <c r="R72" s="2876"/>
      <c r="S72" s="2876"/>
      <c r="T72" s="2876"/>
      <c r="U72" s="2876"/>
      <c r="V72" s="2876"/>
      <c r="W72" s="2876"/>
      <c r="X72" s="2876"/>
      <c r="Y72" s="2876"/>
      <c r="Z72" s="2876"/>
      <c r="AA72" s="2876"/>
      <c r="AB72" s="2876"/>
      <c r="AC72" s="2876"/>
    </row>
    <row r="73" spans="1:29" s="113" customFormat="1" ht="15">
      <c r="A73" s="478" t="s">
        <v>2369</v>
      </c>
      <c r="B73" s="467"/>
      <c r="C73" s="479" t="s">
        <v>2471</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2407</v>
      </c>
      <c r="B75" s="485" t="s">
        <v>2373</v>
      </c>
      <c r="C75" s="3119" t="s">
        <v>3282</v>
      </c>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v>100</v>
      </c>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2376</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v>0</v>
      </c>
      <c r="D80" s="506">
        <v>1</v>
      </c>
      <c r="E80" s="506">
        <v>2</v>
      </c>
      <c r="F80" s="506">
        <v>3</v>
      </c>
      <c r="G80" s="506">
        <v>4</v>
      </c>
      <c r="H80" s="506">
        <v>5</v>
      </c>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2378</v>
      </c>
      <c r="B88" s="485" t="s">
        <v>2415</v>
      </c>
      <c r="C88" s="530" t="s">
        <v>2416</v>
      </c>
      <c r="D88" s="530" t="s">
        <v>2417</v>
      </c>
      <c r="E88" s="530" t="s">
        <v>2418</v>
      </c>
      <c r="F88" s="530" t="s">
        <v>2419</v>
      </c>
      <c r="G88" s="530" t="s">
        <v>2420</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2602</v>
      </c>
      <c r="C90" s="535" t="s">
        <v>2416</v>
      </c>
      <c r="D90" s="535" t="s">
        <v>2417</v>
      </c>
      <c r="E90" s="535" t="s">
        <v>2418</v>
      </c>
      <c r="F90" s="535" t="s">
        <v>2419</v>
      </c>
      <c r="G90" s="535" t="s">
        <v>2420</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98</v>
      </c>
      <c r="E91" s="501">
        <f>D91-$K17</f>
        <v>96</v>
      </c>
      <c r="F91" s="501">
        <f>E91-$K17</f>
        <v>94</v>
      </c>
      <c r="G91" s="501">
        <f>F91-$K17</f>
        <v>92</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2516</v>
      </c>
      <c r="C92" s="535" t="s">
        <v>2416</v>
      </c>
      <c r="D92" s="535" t="s">
        <v>2417</v>
      </c>
      <c r="E92" s="535" t="s">
        <v>2418</v>
      </c>
      <c r="F92" s="535" t="s">
        <v>2419</v>
      </c>
      <c r="G92" s="535" t="s">
        <v>2420</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98</v>
      </c>
      <c r="E93" s="501">
        <f>D93-$K19</f>
        <v>96</v>
      </c>
      <c r="F93" s="501">
        <f>E93-$K19</f>
        <v>94</v>
      </c>
      <c r="G93" s="501">
        <f>F93-$K19</f>
        <v>92</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2421</v>
      </c>
      <c r="C94" s="535" t="s">
        <v>2416</v>
      </c>
      <c r="D94" s="535" t="s">
        <v>2417</v>
      </c>
      <c r="E94" s="535" t="s">
        <v>2418</v>
      </c>
      <c r="F94" s="535" t="s">
        <v>2419</v>
      </c>
      <c r="G94" s="535" t="s">
        <v>2420</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98</v>
      </c>
      <c r="E95" s="501">
        <f>D95-$K21</f>
        <v>96</v>
      </c>
      <c r="F95" s="501">
        <f>E95-$K21</f>
        <v>94</v>
      </c>
      <c r="G95" s="501">
        <f>F95-$K21</f>
        <v>92</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86"/>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6"/>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2510</v>
      </c>
      <c r="C106" s="3120" t="s">
        <v>3283</v>
      </c>
      <c r="D106" s="3120" t="s">
        <v>3284</v>
      </c>
      <c r="E106" s="3120" t="s">
        <v>3285</v>
      </c>
      <c r="F106" s="3120" t="s">
        <v>3286</v>
      </c>
      <c r="G106" s="3120" t="s">
        <v>3287</v>
      </c>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2569</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ht="28.5">
      <c r="A116" s="484" t="s">
        <v>2382</v>
      </c>
      <c r="B116" s="485" t="s">
        <v>2609</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2610</v>
      </c>
      <c r="C119" s="3121" t="s">
        <v>3288</v>
      </c>
      <c r="D119" s="3121" t="s">
        <v>3290</v>
      </c>
      <c r="E119" s="3121" t="s">
        <v>3291</v>
      </c>
      <c r="F119" s="3121" t="s">
        <v>3292</v>
      </c>
      <c r="G119" s="3121" t="s">
        <v>3293</v>
      </c>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2611</v>
      </c>
      <c r="C121" s="3120" t="s">
        <v>3294</v>
      </c>
      <c r="D121" s="3120" t="s">
        <v>3296</v>
      </c>
      <c r="E121" s="3120" t="s">
        <v>3291</v>
      </c>
      <c r="F121" s="3121" t="s">
        <v>3297</v>
      </c>
      <c r="G121" s="3121" t="s">
        <v>3298</v>
      </c>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2612</v>
      </c>
      <c r="C123" s="511" t="str">
        <f>C102</f>
        <v>七通</v>
      </c>
      <c r="D123" s="511" t="str">
        <f>D102</f>
        <v>六通</v>
      </c>
      <c r="E123" s="511" t="str">
        <f>E102</f>
        <v>五通</v>
      </c>
      <c r="F123" s="511" t="str">
        <f>F102</f>
        <v>四通</v>
      </c>
      <c r="G123" s="511" t="str">
        <f>G102</f>
        <v>三通</v>
      </c>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2613</v>
      </c>
      <c r="C125" s="511" t="str">
        <f>C100</f>
        <v>好</v>
      </c>
      <c r="D125" s="511" t="str">
        <f>D100</f>
        <v>较好</v>
      </c>
      <c r="E125" s="511" t="str">
        <f>E100</f>
        <v>一般</v>
      </c>
      <c r="F125" s="511" t="str">
        <f>F100</f>
        <v>较差</v>
      </c>
      <c r="G125" s="511" t="str">
        <f>G100</f>
        <v>差</v>
      </c>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00" priority="18" stopIfTrue="1" operator="containsText" text="超过">
      <formula>NOT(ISERROR(SEARCH("超过",F51)))</formula>
    </cfRule>
  </conditionalFormatting>
  <conditionalFormatting sqref="J53">
    <cfRule type="containsText" dxfId="199" priority="17" stopIfTrue="1" operator="containsText" text="超过">
      <formula>NOT(ISERROR(SEARCH("超过",J53)))</formula>
    </cfRule>
  </conditionalFormatting>
  <conditionalFormatting sqref="H53">
    <cfRule type="containsText" dxfId="198" priority="16" stopIfTrue="1" operator="containsText" text="超过">
      <formula>NOT(ISERROR(SEARCH("超过",H53)))</formula>
    </cfRule>
  </conditionalFormatting>
  <conditionalFormatting sqref="F53">
    <cfRule type="containsText" dxfId="197" priority="15" stopIfTrue="1" operator="containsText" text="超过">
      <formula>NOT(ISERROR(SEARCH("超过",F53)))</formula>
    </cfRule>
  </conditionalFormatting>
  <conditionalFormatting sqref="F52 H52 J52">
    <cfRule type="containsText" dxfId="196" priority="14" stopIfTrue="1" operator="containsText" text="超过">
      <formula>NOT(ISERROR(SEARCH("超过",F52)))</formula>
    </cfRule>
  </conditionalFormatting>
  <conditionalFormatting sqref="E51">
    <cfRule type="expression" dxfId="195" priority="13" stopIfTrue="1">
      <formula>$F$51="超过30%"</formula>
    </cfRule>
  </conditionalFormatting>
  <conditionalFormatting sqref="G53">
    <cfRule type="expression" dxfId="194" priority="12" stopIfTrue="1">
      <formula>$H$53="超过30%"</formula>
    </cfRule>
  </conditionalFormatting>
  <conditionalFormatting sqref="E52">
    <cfRule type="expression" dxfId="193" priority="11" stopIfTrue="1">
      <formula>$F$52="超过20%"</formula>
    </cfRule>
  </conditionalFormatting>
  <conditionalFormatting sqref="E53">
    <cfRule type="expression" dxfId="192" priority="10" stopIfTrue="1">
      <formula>$F$53="超过30%"</formula>
    </cfRule>
  </conditionalFormatting>
  <conditionalFormatting sqref="G51">
    <cfRule type="expression" dxfId="191" priority="9" stopIfTrue="1">
      <formula>$H$53+$H$51="超过30%"</formula>
    </cfRule>
  </conditionalFormatting>
  <conditionalFormatting sqref="G52">
    <cfRule type="expression" dxfId="190" priority="8" stopIfTrue="1">
      <formula>$H$52="超过20%"</formula>
    </cfRule>
  </conditionalFormatting>
  <conditionalFormatting sqref="I51">
    <cfRule type="expression" dxfId="189" priority="7" stopIfTrue="1">
      <formula>$J$51="超过30%"</formula>
    </cfRule>
  </conditionalFormatting>
  <conditionalFormatting sqref="I52">
    <cfRule type="expression" dxfId="188" priority="6" stopIfTrue="1">
      <formula>$J$52="超过20%"</formula>
    </cfRule>
  </conditionalFormatting>
  <conditionalFormatting sqref="I53">
    <cfRule type="expression" dxfId="187" priority="5" stopIfTrue="1">
      <formula>$J$53="超过30%"</formula>
    </cfRule>
  </conditionalFormatting>
  <conditionalFormatting sqref="F47">
    <cfRule type="expression" dxfId="186" priority="4">
      <formula>$D$47="简单平均"</formula>
    </cfRule>
  </conditionalFormatting>
  <conditionalFormatting sqref="H47">
    <cfRule type="expression" dxfId="185" priority="3">
      <formula>$D$47="简单平均"</formula>
    </cfRule>
  </conditionalFormatting>
  <conditionalFormatting sqref="J47">
    <cfRule type="expression" dxfId="184" priority="2">
      <formula>$D$47="简单平均"</formula>
    </cfRule>
  </conditionalFormatting>
  <conditionalFormatting sqref="F7:F45 H7:H45 J7:J45">
    <cfRule type="cellIs" dxfId="18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97" t="str">
        <f>项目基本情况!B1</f>
        <v>北京市丰台区丰仪路1号院1号楼1至2层101房地产抵押价值预评估</v>
      </c>
      <c r="C37" s="3197"/>
      <c r="D37" s="3197"/>
      <c r="E37" s="3197"/>
      <c r="F37" s="3197"/>
      <c r="G37" s="3197"/>
      <c r="H37" s="3197"/>
      <c r="I37" s="3197"/>
    </row>
    <row r="38" spans="1:9">
      <c r="A38" s="947"/>
      <c r="B38" s="947"/>
    </row>
    <row r="39" spans="1:9">
      <c r="A39" s="945" t="s">
        <v>818</v>
      </c>
      <c r="B39" s="945" t="s">
        <v>820</v>
      </c>
    </row>
    <row r="40" spans="1:9">
      <c r="A40" s="945"/>
      <c r="B40" s="1649">
        <f>项目基本情况!B5</f>
        <v>0</v>
      </c>
    </row>
    <row r="41" spans="1:9">
      <c r="A41" s="945"/>
      <c r="B41" s="945"/>
    </row>
    <row r="42" spans="1:9">
      <c r="A42" s="945" t="s">
        <v>818</v>
      </c>
      <c r="B42" s="945" t="s">
        <v>821</v>
      </c>
    </row>
    <row r="43" spans="1:9">
      <c r="A43" s="945"/>
      <c r="B43" s="1649" t="s">
        <v>822</v>
      </c>
    </row>
    <row r="44" spans="1:9">
      <c r="A44" s="945"/>
      <c r="B44" s="945"/>
    </row>
    <row r="45" spans="1:9">
      <c r="A45" s="945" t="s">
        <v>818</v>
      </c>
      <c r="B45" s="945" t="s">
        <v>823</v>
      </c>
    </row>
    <row r="46" spans="1:9" s="945" customFormat="1" ht="12.75">
      <c r="B46" s="1649"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I3" sqref="I3"/>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4" customWidth="1"/>
    <col min="33" max="36" width="9.375" style="2239" customWidth="1"/>
    <col min="37" max="38" width="9.375" style="2173" customWidth="1"/>
    <col min="39" max="16384" width="12" style="2173"/>
  </cols>
  <sheetData>
    <row r="1" spans="1:36" ht="28.5">
      <c r="A1" s="202" t="s">
        <v>2622</v>
      </c>
      <c r="B1" s="203"/>
      <c r="C1" s="207" t="s">
        <v>2623</v>
      </c>
      <c r="D1" s="348">
        <f>SUM(D29:D30,D33:D39)</f>
        <v>998.81000000000006</v>
      </c>
      <c r="E1" s="2170"/>
      <c r="F1" s="2170"/>
      <c r="G1" s="2170"/>
      <c r="H1" s="2170"/>
      <c r="I1" s="2170"/>
      <c r="J1" s="2170"/>
      <c r="K1" s="1272"/>
      <c r="L1" s="2171" t="s">
        <v>2624</v>
      </c>
      <c r="M1" s="988">
        <f>SUMPRODUCT((区片价!B5:B9=I2)*(区片价!C3:F3=E2)*(区片价!C5:F9))</f>
        <v>0</v>
      </c>
      <c r="N1" s="991">
        <f>SUMPRODUCT((因素修正幅度!B5:B9=I2)*(因素修正幅度!C3:F3=E2)*(因素修正幅度!C5:F9))</f>
        <v>0</v>
      </c>
      <c r="O1" s="2172"/>
      <c r="P1" s="2172"/>
      <c r="Q1" s="1272"/>
      <c r="R1" s="1365" t="s">
        <v>2625</v>
      </c>
      <c r="S1" s="1365" t="s">
        <v>2626</v>
      </c>
      <c r="T1" s="1365" t="s">
        <v>2627</v>
      </c>
      <c r="U1" s="1365" t="s">
        <v>2628</v>
      </c>
      <c r="V1" s="1365" t="s">
        <v>2629</v>
      </c>
      <c r="W1" s="1369"/>
      <c r="X1" s="1369"/>
      <c r="Y1" s="1369"/>
      <c r="Z1" s="1369"/>
      <c r="AA1" s="1369"/>
      <c r="AB1" s="1369"/>
      <c r="AC1" s="1370"/>
      <c r="AD1" s="1371"/>
      <c r="AE1" s="1371"/>
      <c r="AF1" s="1371"/>
      <c r="AG1" s="1371"/>
      <c r="AH1" s="1371"/>
      <c r="AI1" s="1371"/>
      <c r="AJ1" s="1372"/>
    </row>
    <row r="2" spans="1:36" ht="15.75">
      <c r="A2" s="207" t="s">
        <v>2630</v>
      </c>
      <c r="B2" s="210" t="e">
        <f>C26</f>
        <v>#DIV/0!</v>
      </c>
      <c r="C2" s="2174" t="s">
        <v>2631</v>
      </c>
      <c r="D2" s="2175" t="s">
        <v>2632</v>
      </c>
      <c r="E2" s="2176" t="s">
        <v>1343</v>
      </c>
      <c r="F2" s="2175" t="s">
        <v>2633</v>
      </c>
      <c r="G2" s="2177" t="str">
        <f>IF(E2="商业",项目基本情况!B37,IF(E2="办公",项目基本情况!C37,IF(E2="住宅",项目基本情况!D37,项目基本情况!E37)))</f>
        <v>六级</v>
      </c>
      <c r="H2" s="2175" t="s">
        <v>2634</v>
      </c>
      <c r="I2" s="2177" t="str">
        <f>IF(E2="商业",项目基本情况!B38,IF(E2="办公",项目基本情况!C38,IF(E2="住宅",项目基本情况!D38,项目基本情况!E38)))</f>
        <v>Ⅵ-09</v>
      </c>
      <c r="J2" s="2178"/>
      <c r="K2" s="1272"/>
      <c r="L2" s="2179" t="s">
        <v>2635</v>
      </c>
      <c r="M2" s="989">
        <f>SUMPRODUCT((区片价!B10:B28=I2)*(区片价!C3:F3=E2)*(区片价!C10:F28))</f>
        <v>0</v>
      </c>
      <c r="N2" s="991">
        <f>SUMPRODUCT((因素修正幅度!B10:B28=I2)*(因素修正幅度!C3:F3=E2)*(因素修正幅度!C10:F28))</f>
        <v>0</v>
      </c>
      <c r="O2" s="1272"/>
      <c r="P2" s="1272"/>
      <c r="Q2" s="1272"/>
      <c r="R2" s="1365">
        <v>1</v>
      </c>
      <c r="S2" s="1365" t="e">
        <f>ROUND(IF(G3&gt;1,IF(R2&lt;7,SUMPRODUCT((B93:B98=R2)*(C92:N92=G2)*(C93:N98)),SUMIF(C92:N92,G2,C100:N100)),IF(R2&lt;7,SUMPRODUCT((B102:B107=R2)*(C92:N92=G2)*(C102:N107)),SUMIF(C92:N92,G2,C109:N109))),4)</f>
        <v>#DIV/0!</v>
      </c>
      <c r="T2" s="1365" t="e">
        <f>ROUND($C$5*$C$18*$C$19*$C$20*S2*$C$24,0)</f>
        <v>#DIV/0!</v>
      </c>
      <c r="U2" s="1366"/>
      <c r="V2" s="1365" t="e">
        <f>ROUND(T2*U2/10000,0)</f>
        <v>#DIV/0!</v>
      </c>
      <c r="W2" s="1369"/>
      <c r="X2" s="1369"/>
      <c r="Y2" s="1369"/>
      <c r="Z2" s="1369"/>
      <c r="AA2" s="1369"/>
      <c r="AB2" s="1369"/>
      <c r="AC2" s="1370"/>
      <c r="AD2" s="1371"/>
      <c r="AE2" s="1371"/>
      <c r="AF2" s="1371"/>
      <c r="AG2" s="1371"/>
      <c r="AH2" s="1371"/>
      <c r="AI2" s="1371"/>
      <c r="AJ2" s="1372"/>
    </row>
    <row r="3" spans="1:36" ht="25.5">
      <c r="A3" s="209" t="s">
        <v>2636</v>
      </c>
      <c r="B3" s="210" t="e">
        <f>ROUND(B2*10000/D1,0)</f>
        <v>#DIV/0!</v>
      </c>
      <c r="C3" s="2174" t="s">
        <v>2637</v>
      </c>
      <c r="D3" s="2175" t="s">
        <v>2638</v>
      </c>
      <c r="E3" s="2180" t="s">
        <v>3257</v>
      </c>
      <c r="F3" s="2181" t="s">
        <v>3258</v>
      </c>
      <c r="G3" s="849" t="e">
        <f>IF(F3="宗地容积率",'数据-汇总表'!I4,IF(F3="估价对象容积率",'数据-汇总表'!I6,'数据-汇总表'!I7))</f>
        <v>#DIV/0!</v>
      </c>
      <c r="H3" s="175" t="s">
        <v>2639</v>
      </c>
      <c r="I3" s="875"/>
      <c r="J3" s="2178" t="s">
        <v>2640</v>
      </c>
      <c r="K3" s="1272"/>
      <c r="L3" s="2179" t="s">
        <v>2641</v>
      </c>
      <c r="M3" s="989">
        <f>SUMPRODUCT((区片价!B29:B48=I2)*(区片价!C3:F3=E2)*(区片价!C29:F48))</f>
        <v>0</v>
      </c>
      <c r="N3" s="991">
        <f>SUMPRODUCT((因素修正幅度!B29:B48=I2)*(因素修正幅度!C3:F3=E2)*(因素修正幅度!C29:F48))</f>
        <v>0</v>
      </c>
      <c r="O3" s="1272"/>
      <c r="P3" s="1272"/>
      <c r="Q3" s="1272"/>
      <c r="R3" s="1365">
        <v>2</v>
      </c>
      <c r="S3" s="1365" t="e">
        <f>ROUND(IF(G3&gt;1,IF(R3&lt;7,SUMPRODUCT((B93:B98=R3)*(C92:N92=G2)*(C93:N98)),SUMIF(C92:N92,G2,C100:N100)),IF(R3&lt;7,SUMPRODUCT((B102:B107=R3)*(C92:N92=G2)*(C102:N107)),SUMIF(C92:N92,G2,C109:N109))),4)</f>
        <v>#DIV/0!</v>
      </c>
      <c r="T3" s="1365" t="e">
        <f t="shared" ref="T3:T16" si="0">ROUND($C$5*$C$18*$C$19*$C$20*S3*$C$24,0)</f>
        <v>#DIV/0!</v>
      </c>
      <c r="U3" s="1366"/>
      <c r="V3" s="1365" t="e">
        <f t="shared" ref="V3:V16" si="1">ROUND(T3*U3/10000,0)</f>
        <v>#DIV/0!</v>
      </c>
      <c r="W3" s="1369"/>
      <c r="X3" s="1369"/>
      <c r="Y3" s="1369"/>
      <c r="Z3" s="1369"/>
      <c r="AA3" s="1369"/>
      <c r="AB3" s="1369"/>
      <c r="AC3" s="1370"/>
      <c r="AD3" s="1371"/>
      <c r="AE3" s="1371"/>
      <c r="AF3" s="1371"/>
      <c r="AG3" s="1371"/>
      <c r="AH3" s="1371"/>
      <c r="AI3" s="1371"/>
      <c r="AJ3" s="1372"/>
    </row>
    <row r="4" spans="1:36" ht="15.75">
      <c r="A4" s="3448"/>
      <c r="B4" s="3449"/>
      <c r="C4" s="3449"/>
      <c r="D4" s="3450"/>
      <c r="E4" s="3450"/>
      <c r="F4" s="3450"/>
      <c r="G4" s="3450"/>
      <c r="H4" s="3450"/>
      <c r="I4" s="3450"/>
      <c r="J4" s="3451"/>
      <c r="K4" s="1272"/>
      <c r="L4" s="2179" t="s">
        <v>2642</v>
      </c>
      <c r="M4" s="989">
        <f>SUMPRODUCT((区片价!B49:B75=I2)*(区片价!C3:F3=E2)*(区片价!C49:F75))</f>
        <v>0</v>
      </c>
      <c r="N4" s="991">
        <f>SUMPRODUCT((因素修正幅度!B49:B75=I2)*(因素修正幅度!C3:F3=E2)*(因素修正幅度!C49:F75))</f>
        <v>0</v>
      </c>
      <c r="O4" s="1272"/>
      <c r="P4" s="1272"/>
      <c r="Q4" s="1272"/>
      <c r="R4" s="1365">
        <v>3</v>
      </c>
      <c r="S4" s="1365" t="e">
        <f>ROUND(IF(G3&gt;1,IF(R4&lt;7,SUMPRODUCT((B93:B98=R4)*(C92:N92=G2)*(C93:N98)),SUMIF(C92:N92,G2,C100:N100)),IF(R4&lt;7,SUMPRODUCT((B102:B107=R4)*(C92:N92=G2)*(C102:N107)),SUMIF(C92:N92,G2,C109:N109))),4)</f>
        <v>#DIV/0!</v>
      </c>
      <c r="T4" s="1365" t="e">
        <f t="shared" si="0"/>
        <v>#DIV/0!</v>
      </c>
      <c r="U4" s="1366"/>
      <c r="V4" s="1365" t="e">
        <f t="shared" si="1"/>
        <v>#DIV/0!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2643</v>
      </c>
      <c r="C5" s="850">
        <f>ROUND(IF(E2="商业",C6*C7+C16,(IF(E2="住宅",C6*C12+C16,C6+C16))),0)</f>
        <v>10080</v>
      </c>
      <c r="D5" s="1513">
        <f>ROUND(C6+C16,0)</f>
        <v>10080</v>
      </c>
      <c r="E5" s="1513"/>
      <c r="F5" s="2184"/>
      <c r="G5" s="2185"/>
      <c r="H5" s="2185"/>
      <c r="I5" s="2185"/>
      <c r="J5" s="2186"/>
      <c r="K5" s="2187"/>
      <c r="L5" s="2179" t="s">
        <v>2644</v>
      </c>
      <c r="M5" s="989">
        <f>SUMPRODUCT((区片价!B76:B109=I2)*(区片价!C3:F3=E2)*(区片价!C76:F109))</f>
        <v>0</v>
      </c>
      <c r="N5" s="991">
        <f>SUMPRODUCT((因素修正幅度!B76:B109=I2)*(因素修正幅度!C3:F3=E2)*(因素修正幅度!C76:F109))</f>
        <v>0</v>
      </c>
      <c r="O5" s="1272"/>
      <c r="P5" s="1272"/>
      <c r="Q5" s="1272"/>
      <c r="R5" s="1365">
        <v>4</v>
      </c>
      <c r="S5" s="1365" t="e">
        <f>ROUND(IF(G3&gt;1,IF(R5&lt;7,SUMPRODUCT((B93:B98=R5)*(C92:N92=G2)*(C93:N98)),SUMIF(C92:N92,G2,C100:N100)),IF(R5&lt;7,SUMPRODUCT((B102:B107=R5)*(C92:N92=G2)*(C102:N107)),SUMIF(C92:N92,G2,C109:N109))),4)</f>
        <v>#DIV/0!</v>
      </c>
      <c r="T5" s="1365" t="e">
        <f t="shared" si="0"/>
        <v>#DIV/0!</v>
      </c>
      <c r="U5" s="1366"/>
      <c r="V5" s="1365" t="e">
        <f t="shared" si="1"/>
        <v>#DIV/0!</v>
      </c>
      <c r="W5" s="1369"/>
      <c r="X5" s="1369"/>
      <c r="Y5" s="1369"/>
      <c r="Z5" s="1369"/>
      <c r="AA5" s="1369"/>
      <c r="AB5" s="1369"/>
      <c r="AC5" s="2188"/>
      <c r="AD5" s="2189"/>
      <c r="AE5" s="2189"/>
      <c r="AF5" s="2189"/>
      <c r="AG5" s="2189"/>
      <c r="AH5" s="2189"/>
      <c r="AI5" s="2189"/>
      <c r="AJ5" s="2190"/>
    </row>
    <row r="6" spans="1:36" ht="15.75" thickBot="1">
      <c r="A6" s="2192" t="s">
        <v>2645</v>
      </c>
      <c r="B6" s="2193" t="s">
        <v>2646</v>
      </c>
      <c r="C6" s="851">
        <f>SUMIF(L1:L12,G2,M1:M12)</f>
        <v>10080</v>
      </c>
      <c r="D6" s="2194" t="s">
        <v>2647</v>
      </c>
      <c r="E6" s="2195"/>
      <c r="F6" s="2195"/>
      <c r="G6" s="2196"/>
      <c r="H6" s="2196"/>
      <c r="I6" s="2196"/>
      <c r="J6" s="2197"/>
      <c r="K6" s="1558"/>
      <c r="L6" s="2179" t="s">
        <v>2648</v>
      </c>
      <c r="M6" s="989">
        <f>SUMPRODUCT((区片价!B110:B157=I2)*(区片价!C3:F3=E2)*(区片价!C110:F157))</f>
        <v>10080</v>
      </c>
      <c r="N6" s="991">
        <f>SUMPRODUCT((因素修正幅度!B110:B157=I2)*(因素修正幅度!C3:F3=E2)*(因素修正幅度!C110:F157))</f>
        <v>0.123</v>
      </c>
      <c r="O6" s="1272"/>
      <c r="P6" s="1272"/>
      <c r="Q6" s="1272"/>
      <c r="R6" s="1365">
        <v>5</v>
      </c>
      <c r="S6" s="1365" t="e">
        <f>ROUND(IF(G3&gt;1,IF(R6&lt;7,SUMPRODUCT((B93:B98=R6)*(C92:N92=G2)*(C93:N98)),SUMIF(C92:N92,G2,C100:N100)),IF(R6&lt;7,SUMPRODUCT((B102:B107=R6)*(C92:N92=G2)*(C102:N107)),SUMIF(C92:N92,G2,C109:N109))),4)</f>
        <v>#DIV/0!</v>
      </c>
      <c r="T6" s="1365" t="e">
        <f t="shared" si="0"/>
        <v>#DIV/0!</v>
      </c>
      <c r="U6" s="1366"/>
      <c r="V6" s="1365" t="e">
        <f t="shared" si="1"/>
        <v>#DIV/0!</v>
      </c>
      <c r="W6" s="1369"/>
      <c r="X6" s="1369"/>
      <c r="Y6" s="1369"/>
      <c r="Z6" s="1369"/>
      <c r="AA6" s="1369"/>
      <c r="AB6" s="1369"/>
      <c r="AC6" s="2188"/>
      <c r="AD6" s="2189"/>
      <c r="AE6" s="2189"/>
      <c r="AF6" s="2189"/>
      <c r="AG6" s="2189"/>
      <c r="AH6" s="2189"/>
      <c r="AI6" s="2189"/>
      <c r="AJ6" s="2190"/>
    </row>
    <row r="7" spans="1:36" ht="24">
      <c r="A7" s="3429" t="str">
        <f>IF(E2="商业",IF(C8="不临58条商业街","",2),"")</f>
        <v/>
      </c>
      <c r="B7" s="2198" t="s">
        <v>2649</v>
      </c>
      <c r="C7" s="852">
        <f>IF(C8="不临58条商业街",1,ROUND(1+(1.6*E8+1.2*E9+0.8*E10+0.4*E11)*C9,4))</f>
        <v>1</v>
      </c>
      <c r="D7" s="2199" t="s">
        <v>2650</v>
      </c>
      <c r="E7" s="876"/>
      <c r="F7" s="2200"/>
      <c r="G7" s="2201"/>
      <c r="H7" s="2201"/>
      <c r="I7" s="2201"/>
      <c r="J7" s="2202"/>
      <c r="K7" s="1558"/>
      <c r="L7" s="2179" t="s">
        <v>2651</v>
      </c>
      <c r="M7" s="989">
        <f>SUMPRODUCT((区片价!B158:B205=I2)*(区片价!C3:F3=E2)*(区片价!C158:F205))</f>
        <v>0</v>
      </c>
      <c r="N7" s="991">
        <f>SUMPRODUCT((因素修正幅度!B158:B205=I2)*(因素修正幅度!C3:F3=E2)*(因素修正幅度!C158:F205))</f>
        <v>0</v>
      </c>
      <c r="O7" s="1272"/>
      <c r="P7" s="1272"/>
      <c r="Q7" s="1272"/>
      <c r="R7" s="1365">
        <v>6</v>
      </c>
      <c r="S7" s="1365" t="e">
        <f>ROUND(IF(G3&gt;1,IF(R7&lt;7,SUMPRODUCT((B93:B98=R7)*(C92:N92=G2)*(C93:N98)),SUMIF(C92:N92,G2,C100:N100)),IF(R7&lt;7,SUMPRODUCT((B102:B107=R7)*(C92:N92=G2)*(C102:N107)),SUMIF(C92:N92,G2,C109:N109))),4)</f>
        <v>#DIV/0!</v>
      </c>
      <c r="T7" s="1365" t="e">
        <f t="shared" si="0"/>
        <v>#DIV/0!</v>
      </c>
      <c r="U7" s="1366"/>
      <c r="V7" s="1365" t="e">
        <f t="shared" si="1"/>
        <v>#DIV/0!</v>
      </c>
      <c r="W7" s="1532" t="s">
        <v>2652</v>
      </c>
      <c r="X7" s="1367" t="str">
        <f>G2</f>
        <v>六级</v>
      </c>
      <c r="Y7" s="1367" t="s">
        <v>2653</v>
      </c>
      <c r="Z7" s="1368" t="e">
        <f>G3</f>
        <v>#DIV/0!</v>
      </c>
      <c r="AA7" s="1369"/>
      <c r="AB7" s="1369"/>
      <c r="AC7" s="1370"/>
      <c r="AD7" s="1371"/>
      <c r="AE7" s="1371"/>
      <c r="AF7" s="1371"/>
      <c r="AG7" s="1371"/>
      <c r="AH7" s="1371"/>
      <c r="AI7" s="1371"/>
      <c r="AJ7" s="1372"/>
    </row>
    <row r="8" spans="1:36" ht="25.5">
      <c r="A8" s="3452"/>
      <c r="B8" s="175" t="s">
        <v>2654</v>
      </c>
      <c r="C8" s="2203" t="s">
        <v>3259</v>
      </c>
      <c r="D8" s="853" t="s">
        <v>139</v>
      </c>
      <c r="E8" s="854" t="e">
        <f>ROUND(C11/E7,4)</f>
        <v>#DIV/0!</v>
      </c>
      <c r="F8" s="2204" t="s">
        <v>2655</v>
      </c>
      <c r="G8" s="2205"/>
      <c r="H8" s="2205"/>
      <c r="I8" s="2205"/>
      <c r="J8" s="2206"/>
      <c r="K8" s="1272"/>
      <c r="L8" s="2179" t="s">
        <v>2656</v>
      </c>
      <c r="M8" s="989">
        <f>SUMPRODUCT((区片价!B206:B244=I2)*(区片价!C3:F3=E2)*(区片价!C206:F244))</f>
        <v>0</v>
      </c>
      <c r="N8" s="991">
        <f>SUMPRODUCT((因素修正幅度!B206:B244=I2)*(因素修正幅度!C3:F3=E2)*(因素修正幅度!C206:F244))</f>
        <v>0</v>
      </c>
      <c r="O8" s="1272"/>
      <c r="P8" s="1272"/>
      <c r="Q8" s="1272"/>
      <c r="R8" s="1365">
        <v>7</v>
      </c>
      <c r="S8" s="1366"/>
      <c r="T8" s="1365">
        <f t="shared" si="0"/>
        <v>0</v>
      </c>
      <c r="U8" s="1366"/>
      <c r="V8" s="1365">
        <f t="shared" si="1"/>
        <v>0</v>
      </c>
      <c r="W8" s="3445" t="s">
        <v>2657</v>
      </c>
      <c r="X8" s="3446"/>
      <c r="Y8" s="1373" t="s">
        <v>2658</v>
      </c>
      <c r="Z8" s="1373" t="s">
        <v>2659</v>
      </c>
      <c r="AA8" s="1373" t="s">
        <v>2660</v>
      </c>
      <c r="AB8" s="1373" t="s">
        <v>2661</v>
      </c>
      <c r="AC8" s="1373" t="s">
        <v>2662</v>
      </c>
      <c r="AD8" s="1373" t="s">
        <v>2663</v>
      </c>
      <c r="AE8" s="1373" t="s">
        <v>2664</v>
      </c>
      <c r="AF8" s="1373" t="s">
        <v>2665</v>
      </c>
      <c r="AG8" s="1373" t="s">
        <v>2666</v>
      </c>
      <c r="AH8" s="1373" t="s">
        <v>2667</v>
      </c>
      <c r="AI8" s="1373" t="s">
        <v>2668</v>
      </c>
      <c r="AJ8" s="1373" t="s">
        <v>2669</v>
      </c>
    </row>
    <row r="9" spans="1:36" ht="15">
      <c r="A9" s="3452"/>
      <c r="B9" s="175" t="s">
        <v>2670</v>
      </c>
      <c r="C9" s="855">
        <f>SUMIF(修正!C59:C119,C8,修正!E59:E119)</f>
        <v>0</v>
      </c>
      <c r="D9" s="176" t="s">
        <v>140</v>
      </c>
      <c r="E9" s="176" t="e">
        <f>ROUND(C11/E7,4)</f>
        <v>#DIV/0!</v>
      </c>
      <c r="F9" s="2204" t="s">
        <v>2671</v>
      </c>
      <c r="G9" s="2205"/>
      <c r="H9" s="2205"/>
      <c r="I9" s="2205"/>
      <c r="J9" s="2206"/>
      <c r="K9" s="1272"/>
      <c r="L9" s="2179" t="s">
        <v>2672</v>
      </c>
      <c r="M9" s="989">
        <f>SUMPRODUCT((区片价!B245:B289=I2)*(区片价!C3:F3=E2)*(区片价!C245:F289))</f>
        <v>0</v>
      </c>
      <c r="N9" s="991">
        <f>SUMPRODUCT((因素修正幅度!B245:B289=I2)*(因素修正幅度!C3:F3=E2)*(因素修正幅度!C245:F289))</f>
        <v>0</v>
      </c>
      <c r="O9" s="1272"/>
      <c r="P9" s="1272"/>
      <c r="Q9" s="1272"/>
      <c r="R9" s="1365">
        <v>8</v>
      </c>
      <c r="S9" s="1366"/>
      <c r="T9" s="1365">
        <f t="shared" si="0"/>
        <v>0</v>
      </c>
      <c r="U9" s="1366"/>
      <c r="V9" s="1365">
        <f t="shared" si="1"/>
        <v>0</v>
      </c>
      <c r="W9" s="3447" t="s">
        <v>2673</v>
      </c>
      <c r="X9" s="1374" t="s">
        <v>2674</v>
      </c>
      <c r="Y9" s="1498"/>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452"/>
      <c r="B10" s="175" t="s">
        <v>2675</v>
      </c>
      <c r="C10" s="176">
        <f>SUMIF(修正!C59:C119,C8,修正!F59:F119)</f>
        <v>0</v>
      </c>
      <c r="D10" s="176" t="s">
        <v>141</v>
      </c>
      <c r="E10" s="176" t="e">
        <f>ROUND(C11/E7,4)</f>
        <v>#DIV/0!</v>
      </c>
      <c r="F10" s="2204" t="s">
        <v>2676</v>
      </c>
      <c r="G10" s="2205"/>
      <c r="H10" s="2205"/>
      <c r="I10" s="2205"/>
      <c r="J10" s="2206"/>
      <c r="K10" s="1272"/>
      <c r="L10" s="2179" t="s">
        <v>2677</v>
      </c>
      <c r="M10" s="989">
        <f>SUMPRODUCT((区片价!B290:B316=I2)*(区片价!C3:F3=E2)*(区片价!C290:F316))</f>
        <v>0</v>
      </c>
      <c r="N10" s="991">
        <f>SUMPRODUCT((因素修正幅度!B290:B316=I2)*(因素修正幅度!C3:F3=E2)*(因素修正幅度!C290:F316))</f>
        <v>0</v>
      </c>
      <c r="O10" s="1272"/>
      <c r="P10" s="1272"/>
      <c r="Q10" s="1272"/>
      <c r="R10" s="1365">
        <v>9</v>
      </c>
      <c r="S10" s="1366"/>
      <c r="T10" s="1365">
        <f t="shared" si="0"/>
        <v>0</v>
      </c>
      <c r="U10" s="1366"/>
      <c r="V10" s="1365">
        <f t="shared" si="1"/>
        <v>0</v>
      </c>
      <c r="W10" s="3447"/>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452"/>
      <c r="B11" s="2207" t="s">
        <v>2678</v>
      </c>
      <c r="C11" s="856">
        <f>C10/4</f>
        <v>0</v>
      </c>
      <c r="D11" s="856" t="s">
        <v>142</v>
      </c>
      <c r="E11" s="856" t="e">
        <f>ROUND(C11/E7,4)</f>
        <v>#DIV/0!</v>
      </c>
      <c r="F11" s="2208" t="s">
        <v>2679</v>
      </c>
      <c r="G11" s="2209"/>
      <c r="H11" s="2209"/>
      <c r="I11" s="2209"/>
      <c r="J11" s="2210"/>
      <c r="K11" s="1272"/>
      <c r="L11" s="2179" t="s">
        <v>2680</v>
      </c>
      <c r="M11" s="989">
        <f>SUMPRODUCT((区片价!B317:B337=I2)*(区片价!C3:F3=E2)*(区片价!C317:F337))</f>
        <v>0</v>
      </c>
      <c r="N11" s="991">
        <f>SUMPRODUCT((因素修正幅度!B317:B337=I2)*(因素修正幅度!C3:F3=E2)*(因素修正幅度!C317:F337))</f>
        <v>0</v>
      </c>
      <c r="O11" s="1272"/>
      <c r="P11" s="1272"/>
      <c r="Q11" s="1272"/>
      <c r="R11" s="1365">
        <v>10</v>
      </c>
      <c r="S11" s="1366"/>
      <c r="T11" s="1365">
        <f t="shared" si="0"/>
        <v>0</v>
      </c>
      <c r="U11" s="1366"/>
      <c r="V11" s="1365">
        <f t="shared" si="1"/>
        <v>0</v>
      </c>
      <c r="W11" s="3447" t="s">
        <v>2681</v>
      </c>
      <c r="X11" s="1377" t="s">
        <v>2682</v>
      </c>
      <c r="Y11" s="1378" t="e">
        <f>$G$3</f>
        <v>#DIV/0!</v>
      </c>
      <c r="Z11" s="1378" t="e">
        <f t="shared" ref="Z11:AJ11" si="3">$G$3</f>
        <v>#DIV/0!</v>
      </c>
      <c r="AA11" s="1378" t="e">
        <f t="shared" si="3"/>
        <v>#DIV/0!</v>
      </c>
      <c r="AB11" s="1378" t="e">
        <f t="shared" si="3"/>
        <v>#DIV/0!</v>
      </c>
      <c r="AC11" s="1378" t="e">
        <f t="shared" si="3"/>
        <v>#DIV/0!</v>
      </c>
      <c r="AD11" s="1378" t="e">
        <f t="shared" si="3"/>
        <v>#DIV/0!</v>
      </c>
      <c r="AE11" s="1378" t="e">
        <f t="shared" si="3"/>
        <v>#DIV/0!</v>
      </c>
      <c r="AF11" s="1378" t="e">
        <f t="shared" si="3"/>
        <v>#DIV/0!</v>
      </c>
      <c r="AG11" s="1378" t="e">
        <f t="shared" si="3"/>
        <v>#DIV/0!</v>
      </c>
      <c r="AH11" s="1378" t="e">
        <f t="shared" si="3"/>
        <v>#DIV/0!</v>
      </c>
      <c r="AI11" s="1378" t="e">
        <f t="shared" si="3"/>
        <v>#DIV/0!</v>
      </c>
      <c r="AJ11" s="1378" t="e">
        <f t="shared" si="3"/>
        <v>#DIV/0!</v>
      </c>
    </row>
    <row r="12" spans="1:36" ht="25.5" thickBot="1">
      <c r="A12" s="3429" t="s">
        <v>2683</v>
      </c>
      <c r="B12" s="2211" t="s">
        <v>2684</v>
      </c>
      <c r="C12" s="852">
        <f>ROUND(C15*D15*E15*F15*G15*H15*I15*J15,4)</f>
        <v>1</v>
      </c>
      <c r="D12" s="2212" t="s">
        <v>2685</v>
      </c>
      <c r="E12" s="2213"/>
      <c r="F12" s="2213"/>
      <c r="G12" s="2214"/>
      <c r="H12" s="2214"/>
      <c r="I12" s="2214"/>
      <c r="J12" s="2215"/>
      <c r="K12" s="1272"/>
      <c r="L12" s="2216" t="s">
        <v>2686</v>
      </c>
      <c r="M12" s="990">
        <f>SUMPRODUCT((区片价!B338:B344=I2)*(区片价!C3:F3=E2)*(区片价!C338:F344))</f>
        <v>0</v>
      </c>
      <c r="N12" s="991">
        <f>SUMPRODUCT((因素修正幅度!B338:B344=I2)*(因素修正幅度!C3:F3=E2)*(因素修正幅度!C338:F344))</f>
        <v>0</v>
      </c>
      <c r="O12" s="1272"/>
      <c r="P12" s="1272"/>
      <c r="Q12" s="1272"/>
      <c r="R12" s="1365">
        <v>11</v>
      </c>
      <c r="S12" s="1366"/>
      <c r="T12" s="1365">
        <f t="shared" si="0"/>
        <v>0</v>
      </c>
      <c r="U12" s="1366"/>
      <c r="V12" s="1365">
        <f t="shared" si="1"/>
        <v>0</v>
      </c>
      <c r="W12" s="3447"/>
      <c r="X12" s="1379" t="s">
        <v>2687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453"/>
      <c r="B13" s="2217" t="s">
        <v>2688</v>
      </c>
      <c r="C13" s="2218" t="s">
        <v>2689</v>
      </c>
      <c r="D13" s="1524" t="s">
        <v>2690</v>
      </c>
      <c r="E13" s="1524" t="s">
        <v>2691</v>
      </c>
      <c r="F13" s="30" t="s">
        <v>2692</v>
      </c>
      <c r="G13" s="2219" t="s">
        <v>2693</v>
      </c>
      <c r="H13" s="2219" t="s">
        <v>2693</v>
      </c>
      <c r="I13" s="2219" t="s">
        <v>2693</v>
      </c>
      <c r="J13" s="2220" t="s">
        <v>2693</v>
      </c>
      <c r="K13" s="1272"/>
      <c r="L13" s="1272"/>
      <c r="M13" s="1272"/>
      <c r="N13" s="1272"/>
      <c r="O13" s="1272"/>
      <c r="P13" s="1272"/>
      <c r="Q13" s="1272"/>
      <c r="R13" s="1365">
        <v>12</v>
      </c>
      <c r="S13" s="1366"/>
      <c r="T13" s="1365">
        <f t="shared" si="0"/>
        <v>0</v>
      </c>
      <c r="U13" s="1366"/>
      <c r="V13" s="1365">
        <f t="shared" si="1"/>
        <v>0</v>
      </c>
      <c r="W13" s="3447"/>
      <c r="X13" s="1379"/>
      <c r="Y13" s="1376" t="e">
        <f>(-0.163*(Y12^2)-0.59*Y12+7617)*(10^(-4))/Y11</f>
        <v>#DIV/0!</v>
      </c>
      <c r="Z13" s="1376" t="e">
        <f t="shared" ref="Z13:AJ13" si="5">(-0.163*(Z12^2)-0.59*Z12+7617)*(10^(-4))/Z11</f>
        <v>#DIV/0!</v>
      </c>
      <c r="AA13" s="1376" t="e">
        <f t="shared" si="5"/>
        <v>#DIV/0!</v>
      </c>
      <c r="AB13" s="1376" t="e">
        <f t="shared" si="5"/>
        <v>#DIV/0!</v>
      </c>
      <c r="AC13" s="1376" t="e">
        <f t="shared" si="5"/>
        <v>#DIV/0!</v>
      </c>
      <c r="AD13" s="1376" t="e">
        <f t="shared" si="5"/>
        <v>#DIV/0!</v>
      </c>
      <c r="AE13" s="1376" t="e">
        <f t="shared" si="5"/>
        <v>#DIV/0!</v>
      </c>
      <c r="AF13" s="1376" t="e">
        <f t="shared" si="5"/>
        <v>#DIV/0!</v>
      </c>
      <c r="AG13" s="1376" t="e">
        <f t="shared" si="5"/>
        <v>#DIV/0!</v>
      </c>
      <c r="AH13" s="1376" t="e">
        <f t="shared" si="5"/>
        <v>#DIV/0!</v>
      </c>
      <c r="AI13" s="1376" t="e">
        <f t="shared" si="5"/>
        <v>#DIV/0!</v>
      </c>
      <c r="AJ13" s="1376" t="e">
        <f t="shared" si="5"/>
        <v>#DIV/0!</v>
      </c>
    </row>
    <row r="14" spans="1:36" ht="15">
      <c r="A14" s="3453"/>
      <c r="B14" s="2221"/>
      <c r="C14" s="2222"/>
      <c r="D14" s="2223"/>
      <c r="E14" s="2223"/>
      <c r="F14" s="2224"/>
      <c r="G14" s="2225" t="s">
        <v>2694</v>
      </c>
      <c r="H14" s="2226"/>
      <c r="I14" s="2227"/>
      <c r="J14" s="2228"/>
      <c r="K14" s="1272"/>
      <c r="L14" s="1272"/>
      <c r="M14" s="1272"/>
      <c r="N14" s="1272"/>
      <c r="O14" s="1272"/>
      <c r="P14" s="1272"/>
      <c r="Q14" s="1272"/>
      <c r="R14" s="1365">
        <v>13</v>
      </c>
      <c r="S14" s="1366"/>
      <c r="T14" s="1365">
        <f t="shared" si="0"/>
        <v>0</v>
      </c>
      <c r="U14" s="1366"/>
      <c r="V14" s="1365">
        <f t="shared" si="1"/>
        <v>0</v>
      </c>
      <c r="W14" s="1369"/>
      <c r="X14" s="1369"/>
      <c r="Y14" s="1369"/>
      <c r="Z14" s="1369"/>
      <c r="AA14" s="1369"/>
      <c r="AB14" s="1369"/>
      <c r="AC14" s="1370"/>
      <c r="AD14" s="3007"/>
      <c r="AE14" s="3007"/>
      <c r="AF14" s="3007"/>
      <c r="AG14" s="3007"/>
      <c r="AH14" s="3007"/>
      <c r="AI14" s="3007"/>
      <c r="AJ14" s="3008"/>
    </row>
    <row r="15" spans="1:36" ht="15.75" thickBot="1">
      <c r="A15" s="3454"/>
      <c r="B15" s="2229" t="s">
        <v>2695</v>
      </c>
      <c r="C15" s="193">
        <f>IF(C14="有",1.1,1)</f>
        <v>1</v>
      </c>
      <c r="D15" s="193">
        <f>IF(D14="有",1.1,1)</f>
        <v>1</v>
      </c>
      <c r="E15" s="193">
        <f>IF(E14="有",1.1,1)</f>
        <v>1</v>
      </c>
      <c r="F15" s="193">
        <f>IF(F14="500米范围内",1.2,IF(F14="500-1000米",1.1,1))</f>
        <v>1</v>
      </c>
      <c r="G15" s="877">
        <v>1</v>
      </c>
      <c r="H15" s="877">
        <v>1</v>
      </c>
      <c r="I15" s="877">
        <v>1</v>
      </c>
      <c r="J15" s="878">
        <v>1</v>
      </c>
      <c r="K15" s="1272"/>
      <c r="L15" s="2172"/>
      <c r="M15" s="2172"/>
      <c r="N15" s="2172"/>
      <c r="O15" s="2172"/>
      <c r="P15" s="2172"/>
      <c r="Q15" s="1272"/>
      <c r="R15" s="1365">
        <v>14</v>
      </c>
      <c r="S15" s="1366"/>
      <c r="T15" s="1365">
        <f t="shared" si="0"/>
        <v>0</v>
      </c>
      <c r="U15" s="1366"/>
      <c r="V15" s="1365">
        <f t="shared" si="1"/>
        <v>0</v>
      </c>
      <c r="W15" s="1369"/>
      <c r="X15" s="1369"/>
      <c r="Y15" s="1369"/>
      <c r="Z15" s="1369"/>
      <c r="AA15" s="1369"/>
      <c r="AB15" s="1369"/>
      <c r="AC15" s="1370"/>
      <c r="AD15" s="3007"/>
      <c r="AE15" s="3007"/>
      <c r="AF15" s="3007"/>
      <c r="AG15" s="3007"/>
      <c r="AH15" s="3007"/>
      <c r="AI15" s="3007"/>
      <c r="AJ15" s="3008"/>
    </row>
    <row r="16" spans="1:36" ht="24.6" customHeight="1">
      <c r="A16" s="3429" t="s">
        <v>2700</v>
      </c>
      <c r="B16" s="2198" t="s">
        <v>2701</v>
      </c>
      <c r="C16" s="2360">
        <f>ROUND(IF(F17="与级别开发程度一致",0,(G17-E17)/C17),0)</f>
        <v>0</v>
      </c>
      <c r="D16" s="3442" t="s">
        <v>2705</v>
      </c>
      <c r="E16" s="3443"/>
      <c r="F16" s="3442" t="s">
        <v>2702</v>
      </c>
      <c r="G16" s="3443"/>
      <c r="H16" s="2230" t="s">
        <v>3171</v>
      </c>
      <c r="I16" s="2230" t="s">
        <v>3172</v>
      </c>
      <c r="J16" s="2364" t="s">
        <v>3173</v>
      </c>
      <c r="K16" s="2230" t="s">
        <v>3174</v>
      </c>
      <c r="L16" s="2230" t="s">
        <v>3175</v>
      </c>
      <c r="M16" s="2230" t="s">
        <v>3176</v>
      </c>
      <c r="N16" s="2230" t="s">
        <v>3177</v>
      </c>
      <c r="O16" s="2231" t="s">
        <v>3260</v>
      </c>
      <c r="P16" s="2172"/>
      <c r="Q16" s="1272"/>
      <c r="R16" s="1365">
        <v>15</v>
      </c>
      <c r="S16" s="1366"/>
      <c r="T16" s="1365">
        <f t="shared" si="0"/>
        <v>0</v>
      </c>
      <c r="U16" s="1366"/>
      <c r="V16" s="1365">
        <f t="shared" si="1"/>
        <v>0</v>
      </c>
      <c r="W16" s="1369"/>
      <c r="X16" s="1369"/>
      <c r="Y16" s="1369"/>
      <c r="Z16" s="1369"/>
      <c r="AA16" s="1369"/>
      <c r="AB16" s="1369"/>
      <c r="AC16" s="1370"/>
      <c r="AD16" s="3007"/>
      <c r="AE16" s="3007"/>
      <c r="AF16" s="3007"/>
      <c r="AG16" s="3007"/>
      <c r="AH16" s="3007"/>
      <c r="AI16" s="3007"/>
      <c r="AJ16" s="3008"/>
    </row>
    <row r="17" spans="1:37" ht="26.25" thickBot="1">
      <c r="A17" s="3430"/>
      <c r="B17" s="2371" t="s">
        <v>2704</v>
      </c>
      <c r="C17" s="2372">
        <f>SUMPRODUCT((修正!A2:A5=E2)*(修正!B1:M1=G2)*(修正!B2:M5))</f>
        <v>2.5</v>
      </c>
      <c r="D17" s="193" t="str">
        <f>IF(OR(G2="八级",G2="九级",G2="十级",G2="十一级",G2="十二级"),"五通一平","七通一平")</f>
        <v>七通一平</v>
      </c>
      <c r="E17" s="2361">
        <f>SUMPRODUCT((修正!B1:M1=G2)*(修正!B15:M15))</f>
        <v>300</v>
      </c>
      <c r="F17" s="2362" t="s">
        <v>3261</v>
      </c>
      <c r="G17" s="2363">
        <f>SUM(H17:O17)</f>
        <v>300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50</v>
      </c>
      <c r="N17" s="2372">
        <f>SUMPRODUCT((七通一平=N16)*(修正!B1:M1=G2)*(修正!B6:M14))</f>
        <v>40</v>
      </c>
      <c r="O17" s="2374">
        <f>SUMPRODUCT((七通一平=O16)*(修正!B1:M1=G2)*(修正!B6:M14))</f>
        <v>15</v>
      </c>
      <c r="P17" s="2172"/>
      <c r="Q17" s="1272"/>
      <c r="R17" s="1272"/>
      <c r="S17" s="1272"/>
      <c r="T17" s="1272"/>
      <c r="U17" s="1272"/>
      <c r="V17" s="1272"/>
      <c r="W17" s="1272"/>
      <c r="X17" s="1272"/>
      <c r="Y17" s="1272"/>
      <c r="Z17" s="1273"/>
      <c r="AA17" s="1273"/>
      <c r="AB17" s="1273"/>
      <c r="AC17" s="1273"/>
      <c r="AD17" s="1273"/>
      <c r="AE17" s="1272"/>
      <c r="AF17" s="1272"/>
      <c r="AG17" s="2172"/>
      <c r="AH17" s="2172"/>
      <c r="AI17" s="2172"/>
      <c r="AJ17" s="2172"/>
    </row>
    <row r="18" spans="1:37" s="2191" customFormat="1" ht="15.75" thickBot="1">
      <c r="A18" s="2365" t="s">
        <v>808</v>
      </c>
      <c r="B18" s="2366" t="s">
        <v>2707</v>
      </c>
      <c r="C18" s="2367">
        <f>SUMIF(修正!C18:C39,E3,修正!E18:E39)</f>
        <v>1.1000000000000001</v>
      </c>
      <c r="D18" s="2368"/>
      <c r="E18" s="2369"/>
      <c r="F18" s="2369"/>
      <c r="G18" s="2369"/>
      <c r="H18" s="2369"/>
      <c r="I18" s="2369"/>
      <c r="J18" s="2370"/>
      <c r="K18" s="1279"/>
      <c r="L18" s="3006"/>
      <c r="M18" s="3006"/>
      <c r="N18" s="3006"/>
      <c r="O18" s="1277"/>
      <c r="P18" s="1277"/>
      <c r="Q18" s="1278"/>
      <c r="R18" s="1278"/>
      <c r="S18" s="1278"/>
      <c r="T18" s="1273"/>
      <c r="U18" s="1273"/>
      <c r="V18" s="1273"/>
      <c r="W18" s="1272"/>
      <c r="X18" s="1272"/>
      <c r="Y18" s="1272"/>
      <c r="Z18" s="1279"/>
      <c r="AA18" s="1279"/>
      <c r="AB18" s="1279"/>
      <c r="AC18" s="1279"/>
      <c r="AD18" s="1279"/>
      <c r="AE18" s="1273"/>
      <c r="AF18" s="1273"/>
      <c r="AG18" s="2329"/>
      <c r="AH18" s="2329"/>
      <c r="AI18" s="2329"/>
      <c r="AJ18" s="3006"/>
    </row>
    <row r="19" spans="1:37" s="2191" customFormat="1" ht="29.25" thickBot="1">
      <c r="A19" s="2235" t="s">
        <v>809</v>
      </c>
      <c r="B19" s="2236" t="s">
        <v>2708</v>
      </c>
      <c r="C19" s="857">
        <f>ROUND(IF(H19="按公示增长率计算",SUMPRODUCT((地价!A3:A36=YEAR(G19)&amp;"-"&amp;ROUNDUP(MONTH(G19)/3,0))*(地价!X2:AB2=E2)*(地价!X3:AB36)),IF(H19="地价指数",M20/M19,(1+I19)^O19)),4)</f>
        <v>1.3644000000000001</v>
      </c>
      <c r="D19" s="2240" t="s">
        <v>2709</v>
      </c>
      <c r="E19" s="858">
        <v>41640</v>
      </c>
      <c r="F19" s="2240" t="s">
        <v>2710</v>
      </c>
      <c r="G19" s="859">
        <f>'数据-取费表'!B2</f>
        <v>44523</v>
      </c>
      <c r="H19" s="2241" t="s">
        <v>3262</v>
      </c>
      <c r="I19" s="860" t="str">
        <f>IF(H19="季度增幅（自定义）",SUMIF(N21:N24,E2,O21:O24),"")</f>
        <v/>
      </c>
      <c r="J19" s="2238"/>
      <c r="K19" s="1279"/>
      <c r="L19" s="2242" t="s">
        <v>2711</v>
      </c>
      <c r="M19" s="1487">
        <f>ROUND(SUMIF(地价!B2:F2,E2,地价!B36:F36),0)</f>
        <v>258</v>
      </c>
      <c r="N19" s="2243" t="s">
        <v>2712</v>
      </c>
      <c r="O19" s="861">
        <f>ROUNDDOWN(DATEDIF(E19,G19,"M")/3,0)</f>
        <v>31</v>
      </c>
      <c r="P19" s="1276"/>
      <c r="Q19" s="1278"/>
      <c r="R19" s="1278"/>
      <c r="S19" s="1278"/>
      <c r="T19" s="1273"/>
      <c r="U19" s="1273"/>
      <c r="V19" s="1273"/>
      <c r="W19" s="1272"/>
      <c r="X19" s="1272"/>
      <c r="Y19" s="1272"/>
      <c r="Z19" s="1279"/>
      <c r="AA19" s="1279"/>
      <c r="AB19" s="1279"/>
      <c r="AC19" s="1279"/>
      <c r="AD19" s="1279"/>
      <c r="AE19" s="1279"/>
      <c r="AF19" s="1278"/>
      <c r="AG19" s="3009"/>
      <c r="AH19" s="2329"/>
      <c r="AI19" s="3010"/>
      <c r="AJ19" s="3010"/>
      <c r="AK19" s="2244"/>
    </row>
    <row r="20" spans="1:37" s="2191" customFormat="1" ht="27.75" thickBot="1">
      <c r="A20" s="2245" t="s">
        <v>810</v>
      </c>
      <c r="B20" s="2246" t="s">
        <v>2713</v>
      </c>
      <c r="C20" s="862">
        <f>ROUND(POWER(1+G20,J20-I20)*(POWER(1+G20,I20)-1)/(POWER(1+G20,J20)-1),4)</f>
        <v>0.92730000000000001</v>
      </c>
      <c r="D20" s="2247" t="s">
        <v>2714</v>
      </c>
      <c r="E20" s="1496">
        <f>存贷款利率!E18/100</f>
        <v>4.3499999999999997E-2</v>
      </c>
      <c r="F20" s="2247" t="s">
        <v>2706</v>
      </c>
      <c r="G20" s="867">
        <f>SUMIF(M26:P26,E2,M28:P28)</f>
        <v>5.3999999999999999E-2</v>
      </c>
      <c r="H20" s="2247" t="s">
        <v>2715</v>
      </c>
      <c r="I20" s="868">
        <f>SUMIF('数据-取费表'!C6:C15,E2,'数据-取费表'!F6:F15)/COUNTIF('数据-取费表'!C6:C15,E2)</f>
        <v>32</v>
      </c>
      <c r="J20" s="869">
        <f>IF(E2="住宅",70,IF(E2="商业",40,50))</f>
        <v>40</v>
      </c>
      <c r="K20" s="1279"/>
      <c r="L20" s="2248" t="s">
        <v>2716</v>
      </c>
      <c r="M20" s="1488">
        <f>ROUND(SUMPRODUCT((地价!A4:A36=YEAR(G19)&amp;"-"&amp;ROUNDUP(MONTH(G19)/3,0))*(地价!B2:F2=E2)*(地价!B4:F36)),0)</f>
        <v>352</v>
      </c>
      <c r="N20" s="2249" t="s">
        <v>2717</v>
      </c>
      <c r="O20" s="2250" t="s">
        <v>2718</v>
      </c>
      <c r="P20" s="2251" t="s">
        <v>2719</v>
      </c>
      <c r="Q20" s="3006"/>
      <c r="R20" s="1278"/>
      <c r="S20" s="1278"/>
      <c r="T20" s="1273"/>
      <c r="U20" s="1273"/>
      <c r="V20" s="1273"/>
      <c r="W20" s="1272"/>
      <c r="X20" s="1272"/>
      <c r="Y20" s="1272"/>
      <c r="Z20" s="1279"/>
      <c r="AA20" s="1279"/>
      <c r="AB20" s="1279"/>
      <c r="AC20" s="1279"/>
      <c r="AD20" s="1279"/>
      <c r="AE20" s="1279"/>
      <c r="AF20" s="1279"/>
      <c r="AG20" s="3006"/>
      <c r="AH20" s="3006"/>
      <c r="AI20" s="3006"/>
      <c r="AJ20" s="3006"/>
    </row>
    <row r="21" spans="1:37" s="2191" customFormat="1" ht="15">
      <c r="A21" s="2252" t="s">
        <v>811</v>
      </c>
      <c r="B21" s="2253" t="s">
        <v>3263</v>
      </c>
      <c r="C21" s="870" t="e">
        <f>IF(B21="容积率修正",IF(G3&lt;=10,D22,J22),C23)</f>
        <v>#DIV/0!</v>
      </c>
      <c r="D21" s="2254"/>
      <c r="E21" s="2254"/>
      <c r="F21" s="2254"/>
      <c r="G21" s="2254"/>
      <c r="H21" s="2254"/>
      <c r="I21" s="2254"/>
      <c r="J21" s="2255"/>
      <c r="K21" s="1279"/>
      <c r="L21" s="3006"/>
      <c r="M21" s="3006"/>
      <c r="N21" s="2256" t="s">
        <v>2720</v>
      </c>
      <c r="O21" s="1327"/>
      <c r="P21" s="1328">
        <f>SUMPRODUCT((地价!A3:A36=YEAR(G19)&amp;"-"&amp;ROUNDUP(MONTH(G19)/3,0))*(地价!AD2:AH2=N21)*(地价!AD3:AH36))</f>
        <v>1.0500000000000001E-2</v>
      </c>
      <c r="Q21" s="3006"/>
      <c r="R21" s="1278"/>
      <c r="S21" s="1278"/>
      <c r="T21" s="1273"/>
      <c r="U21" s="1273"/>
      <c r="V21" s="1273"/>
      <c r="W21" s="1272"/>
      <c r="X21" s="1272"/>
      <c r="Y21" s="1272"/>
      <c r="Z21" s="1279"/>
      <c r="AA21" s="1279"/>
      <c r="AB21" s="1279"/>
      <c r="AC21" s="1279"/>
      <c r="AD21" s="1279"/>
      <c r="AE21" s="1279"/>
      <c r="AF21" s="1279"/>
      <c r="AG21" s="3006"/>
      <c r="AH21" s="3006"/>
      <c r="AI21" s="3006"/>
      <c r="AJ21" s="3006"/>
    </row>
    <row r="22" spans="1:37" s="2191" customFormat="1" ht="14.25">
      <c r="A22" s="2130" t="s">
        <v>2721</v>
      </c>
      <c r="B22" s="2257" t="s">
        <v>2722</v>
      </c>
      <c r="C22" s="1526" t="s">
        <v>2723</v>
      </c>
      <c r="D22" s="1526" t="e">
        <f>IF(E22=G22,F22,IF(G3&lt;=10,ROUND(F22+(H22-F22)*(G3-E22)/(G22-E22),4),"——"))</f>
        <v>#DIV/0!</v>
      </c>
      <c r="E22" s="849" t="e">
        <f>ROUNDDOWN(G3,1)</f>
        <v>#DIV/0!</v>
      </c>
      <c r="F22" s="152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9" t="e">
        <f>ROUNDUP(G3,1)</f>
        <v>#DIV/0!</v>
      </c>
      <c r="H22" s="152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6" t="s">
        <v>155</v>
      </c>
      <c r="J22" s="871" t="e">
        <f>IF(G3&gt;10,D113,"——")</f>
        <v>#DIV/0!</v>
      </c>
      <c r="K22" s="1279"/>
      <c r="L22" s="3006"/>
      <c r="M22" s="3006"/>
      <c r="N22" s="2256" t="s">
        <v>2724</v>
      </c>
      <c r="O22" s="1327"/>
      <c r="P22" s="1328">
        <f>SUMPRODUCT((地价!A3:A36=YEAR(G19)&amp;"-"&amp;ROUNDUP(MONTH(G19)/3,0))*(地价!AD2:AH2=N22)*(地价!AD3:AH36))</f>
        <v>1.0500000000000001E-2</v>
      </c>
      <c r="Q22" s="3006"/>
      <c r="R22" s="1278"/>
      <c r="S22" s="1278"/>
      <c r="T22" s="1273"/>
      <c r="U22" s="1273"/>
      <c r="V22" s="1273"/>
      <c r="W22" s="1272"/>
      <c r="X22" s="1272"/>
      <c r="Y22" s="1272"/>
      <c r="Z22" s="1279"/>
      <c r="AA22" s="1279"/>
      <c r="AB22" s="1279"/>
      <c r="AC22" s="1279"/>
      <c r="AD22" s="1279"/>
      <c r="AE22" s="1279"/>
      <c r="AF22" s="1279"/>
      <c r="AG22" s="3006"/>
      <c r="AH22" s="3006"/>
      <c r="AI22" s="3006"/>
      <c r="AJ22" s="3006"/>
    </row>
    <row r="23" spans="1:37" ht="27.75" thickBot="1">
      <c r="A23" s="2130" t="s">
        <v>2725</v>
      </c>
      <c r="B23" s="2258" t="s">
        <v>2726</v>
      </c>
      <c r="C23" s="944" t="e">
        <f>ROUND(IF(G3&gt;1,IF(I3&lt;7,SUMPRODUCT((B93:B98=I3)*(C92:N92=G2)*(C93:N98)),SUMIF(C92:N92,G2,C100:N100)),IF(I3&lt;7,SUMPRODUCT((B102:B107=I3)*(C92:N92=G2)*(C102:N107)),SUMIF(C92:N92,G2,C109:N109))),4)</f>
        <v>#DIV/0!</v>
      </c>
      <c r="D23" s="2226"/>
      <c r="E23" s="2226"/>
      <c r="F23" s="2259"/>
      <c r="G23" s="2260"/>
      <c r="H23" s="2261"/>
      <c r="I23" s="2262"/>
      <c r="J23" s="2263"/>
      <c r="K23" s="1272"/>
      <c r="L23" s="2172"/>
      <c r="M23" s="2172"/>
      <c r="N23" s="2256" t="s">
        <v>2727</v>
      </c>
      <c r="O23" s="1327"/>
      <c r="P23" s="1328">
        <f>SUMPRODUCT((地价!A3:A36=YEAR(G19)&amp;"-"&amp;ROUNDUP(MONTH(G19)/3,0))*(地价!AD2:AH2=N23)*(地价!AD3:AH36))</f>
        <v>1.83E-2</v>
      </c>
      <c r="Q23" s="2172"/>
      <c r="R23" s="1278"/>
      <c r="S23" s="1278"/>
      <c r="T23" s="1273"/>
      <c r="U23" s="1273"/>
      <c r="V23" s="1273"/>
      <c r="W23" s="1272"/>
      <c r="X23" s="1272"/>
      <c r="Y23" s="1272"/>
      <c r="Z23" s="1279"/>
      <c r="AA23" s="1279"/>
      <c r="AB23" s="1279"/>
      <c r="AC23" s="1279"/>
      <c r="AD23" s="1279"/>
      <c r="AE23" s="1273"/>
      <c r="AF23" s="1273"/>
      <c r="AG23" s="2329"/>
      <c r="AH23" s="2329"/>
      <c r="AI23" s="2329"/>
      <c r="AJ23" s="2329"/>
      <c r="AK23" s="2239"/>
    </row>
    <row r="24" spans="1:37" s="2191" customFormat="1" ht="15.75" thickBot="1">
      <c r="A24" s="2245" t="s">
        <v>812</v>
      </c>
      <c r="B24" s="2236" t="s">
        <v>2728</v>
      </c>
      <c r="C24" s="857">
        <f>SUMIF(A45:A88,E2,B45:B88)</f>
        <v>1.0195000000000001</v>
      </c>
      <c r="D24" s="2237"/>
      <c r="E24" s="2264"/>
      <c r="F24" s="2264"/>
      <c r="G24" s="2264"/>
      <c r="H24" s="2264"/>
      <c r="I24" s="2264"/>
      <c r="J24" s="2265"/>
      <c r="K24" s="1279"/>
      <c r="L24" s="3006"/>
      <c r="M24" s="3006"/>
      <c r="N24" s="2266" t="s">
        <v>2729</v>
      </c>
      <c r="O24" s="1329"/>
      <c r="P24" s="1330">
        <f>SUMPRODUCT((地价!A3:A36=YEAR(G19)&amp;"-"&amp;ROUNDUP(MONTH(G19)/3,0))*(地价!AD2:AH2=N24)*(地价!AD3:AH36))</f>
        <v>1.2200000000000001E-2</v>
      </c>
      <c r="Q24" s="3006"/>
      <c r="R24" s="1278"/>
      <c r="S24" s="1278"/>
      <c r="T24" s="1273"/>
      <c r="U24" s="1273"/>
      <c r="V24" s="1273"/>
      <c r="W24" s="1272"/>
      <c r="X24" s="1272"/>
      <c r="Y24" s="1272"/>
      <c r="Z24" s="1279"/>
      <c r="AA24" s="1279"/>
      <c r="AB24" s="1279"/>
      <c r="AC24" s="1279"/>
      <c r="AD24" s="1279"/>
      <c r="AE24" s="1279"/>
      <c r="AF24" s="1279"/>
      <c r="AG24" s="3006"/>
      <c r="AH24" s="3006"/>
      <c r="AI24" s="3006"/>
      <c r="AJ24" s="3006"/>
    </row>
    <row r="25" spans="1:37" ht="15.75" thickBot="1">
      <c r="A25" s="2245" t="s">
        <v>813</v>
      </c>
      <c r="B25" s="2267" t="s">
        <v>2730</v>
      </c>
      <c r="C25" s="863"/>
      <c r="D25" s="2201"/>
      <c r="E25" s="2201"/>
      <c r="F25" s="2268"/>
      <c r="G25" s="2201"/>
      <c r="H25" s="2201"/>
      <c r="I25" s="2201"/>
      <c r="J25" s="2202"/>
      <c r="K25" s="1272"/>
      <c r="L25" s="2172"/>
      <c r="M25" s="2172"/>
      <c r="N25" s="3001" t="s">
        <v>2731</v>
      </c>
      <c r="O25" s="3002"/>
      <c r="P25" s="3003">
        <f>SUMPRODUCT((地价!A3:A36=YEAR(G19)&amp;"-"&amp;ROUNDUP(MONTH(G19)/3,0))*(地价!AD2:AH2=N25)*(地价!AD3:AH36))</f>
        <v>1.66E-2</v>
      </c>
      <c r="Q25" s="2172"/>
      <c r="R25" s="1278"/>
      <c r="S25" s="1278"/>
      <c r="T25" s="1273"/>
      <c r="U25" s="1273"/>
      <c r="V25" s="1273"/>
      <c r="W25" s="1272"/>
      <c r="X25" s="1272"/>
      <c r="Y25" s="1272"/>
      <c r="Z25" s="1279"/>
      <c r="AA25" s="1279"/>
      <c r="AB25" s="1279"/>
      <c r="AC25" s="1279"/>
      <c r="AD25" s="1279"/>
      <c r="AE25" s="1273"/>
      <c r="AF25" s="1273"/>
      <c r="AG25" s="2329"/>
      <c r="AH25" s="2329"/>
      <c r="AI25" s="2329"/>
      <c r="AJ25" s="2329"/>
    </row>
    <row r="26" spans="1:37" ht="15">
      <c r="A26" s="2269"/>
      <c r="B26" s="2257" t="s">
        <v>2732</v>
      </c>
      <c r="C26" s="2531" t="e">
        <f>IF(B21="容积率修正",E29+SUM(E33:E39),SUM(V2:V16)+SUM(E33:E39))</f>
        <v>#DIV/0!</v>
      </c>
      <c r="D26" s="2270"/>
      <c r="E26" s="2226"/>
      <c r="F26" s="2271"/>
      <c r="G26" s="2226"/>
      <c r="H26" s="2226"/>
      <c r="I26" s="2226"/>
      <c r="J26" s="2272"/>
      <c r="K26" s="1272"/>
      <c r="L26" s="3004" t="s">
        <v>2632</v>
      </c>
      <c r="M26" s="2199" t="s">
        <v>2696</v>
      </c>
      <c r="N26" s="2199" t="s">
        <v>2697</v>
      </c>
      <c r="O26" s="2199" t="s">
        <v>2698</v>
      </c>
      <c r="P26" s="3005" t="s">
        <v>2699</v>
      </c>
      <c r="Q26" s="2172"/>
      <c r="R26" s="1278"/>
      <c r="S26" s="1278"/>
      <c r="T26" s="1273"/>
      <c r="U26" s="1273"/>
      <c r="V26" s="1273"/>
      <c r="W26" s="1272"/>
      <c r="X26" s="1272"/>
      <c r="Y26" s="1272"/>
      <c r="Z26" s="1279"/>
      <c r="AA26" s="1279"/>
      <c r="AB26" s="1279"/>
      <c r="AC26" s="1279"/>
      <c r="AD26" s="1279"/>
      <c r="AE26" s="1273"/>
      <c r="AF26" s="1273"/>
      <c r="AG26" s="2329"/>
      <c r="AH26" s="2329"/>
      <c r="AI26" s="2329"/>
      <c r="AJ26" s="2329"/>
    </row>
    <row r="27" spans="1:37" ht="15.75" thickBot="1">
      <c r="A27" s="2269"/>
      <c r="B27" s="2273" t="s">
        <v>2733</v>
      </c>
      <c r="C27" s="864" t="e">
        <f>E30+SUM(I33:I39)</f>
        <v>#DIV/0!</v>
      </c>
      <c r="D27" s="2274"/>
      <c r="E27" s="2275"/>
      <c r="F27" s="2276"/>
      <c r="G27" s="2275"/>
      <c r="H27" s="2275"/>
      <c r="I27" s="2275"/>
      <c r="J27" s="2277"/>
      <c r="K27" s="1272"/>
      <c r="L27" s="2232" t="s">
        <v>2703</v>
      </c>
      <c r="M27" s="855">
        <v>0.25</v>
      </c>
      <c r="N27" s="855">
        <v>0.2</v>
      </c>
      <c r="O27" s="855">
        <v>0.15</v>
      </c>
      <c r="P27" s="1271">
        <v>0.1</v>
      </c>
      <c r="Q27" s="1278"/>
      <c r="R27" s="1278"/>
      <c r="S27" s="1278"/>
      <c r="T27" s="1273"/>
      <c r="U27" s="1273"/>
      <c r="V27" s="1273"/>
      <c r="W27" s="1272"/>
      <c r="X27" s="1272"/>
      <c r="Y27" s="1272"/>
      <c r="Z27" s="1279"/>
      <c r="AA27" s="1279"/>
      <c r="AB27" s="1279"/>
      <c r="AC27" s="1279"/>
      <c r="AD27" s="1279"/>
      <c r="AE27" s="1273"/>
      <c r="AF27" s="1273"/>
      <c r="AG27" s="2329"/>
      <c r="AH27" s="2329"/>
      <c r="AI27" s="2329"/>
      <c r="AJ27" s="2329"/>
    </row>
    <row r="28" spans="1:37" ht="15.75" thickBot="1">
      <c r="A28" s="2278"/>
      <c r="B28" s="2279" t="s">
        <v>2734</v>
      </c>
      <c r="C28" s="2280" t="s">
        <v>2735</v>
      </c>
      <c r="D28" s="2280" t="s">
        <v>2736</v>
      </c>
      <c r="E28" s="2281" t="s">
        <v>2737</v>
      </c>
      <c r="F28" s="2282"/>
      <c r="G28" s="2214"/>
      <c r="H28" s="2214"/>
      <c r="I28" s="2214"/>
      <c r="J28" s="2215"/>
      <c r="K28" s="1272"/>
      <c r="L28" s="2233" t="s">
        <v>2706</v>
      </c>
      <c r="M28" s="183">
        <f>ROUND($E$20*(1+M27),3)</f>
        <v>5.3999999999999999E-2</v>
      </c>
      <c r="N28" s="183">
        <f>ROUND($E$20*(1+N27),3)</f>
        <v>5.1999999999999998E-2</v>
      </c>
      <c r="O28" s="183">
        <f>ROUND($E$20*(1+O27),3)</f>
        <v>0.05</v>
      </c>
      <c r="P28" s="1275">
        <f>ROUND($E$20*(1+P27),3)</f>
        <v>4.8000000000000001E-2</v>
      </c>
      <c r="Q28" s="1278"/>
      <c r="R28" s="1278"/>
      <c r="S28" s="1278"/>
      <c r="T28" s="1273"/>
      <c r="U28" s="1273"/>
      <c r="V28" s="1273"/>
      <c r="W28" s="1272"/>
      <c r="X28" s="1272"/>
      <c r="Y28" s="1272"/>
      <c r="Z28" s="1279"/>
      <c r="AA28" s="1279"/>
      <c r="AB28" s="1279"/>
      <c r="AC28" s="1279"/>
      <c r="AD28" s="1279"/>
      <c r="AE28" s="1273"/>
      <c r="AF28" s="1273"/>
      <c r="AG28" s="2329"/>
      <c r="AH28" s="2329"/>
      <c r="AI28" s="2329"/>
      <c r="AJ28" s="2329"/>
    </row>
    <row r="29" spans="1:37" ht="22.5" customHeight="1">
      <c r="A29" s="2283"/>
      <c r="B29" s="2284" t="s">
        <v>2738</v>
      </c>
      <c r="C29" s="180" t="e">
        <f>ROUND(C5*C18*C19*C20*C21*C24,0)</f>
        <v>#DIV/0!</v>
      </c>
      <c r="D29" s="2285">
        <f>'数据-汇总表'!F27</f>
        <v>998.81000000000006</v>
      </c>
      <c r="E29" s="873" t="e">
        <f>ROUND(C29*D29/10000,0)</f>
        <v>#DIV/0!</v>
      </c>
      <c r="F29" s="2286" t="s">
        <v>2739</v>
      </c>
      <c r="G29" s="2287"/>
      <c r="H29" s="2287"/>
      <c r="I29" s="2287"/>
      <c r="J29" s="2288"/>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2"/>
      <c r="AH29" s="2172"/>
      <c r="AI29" s="2172"/>
      <c r="AJ29" s="2172"/>
    </row>
    <row r="30" spans="1:37" ht="25.5" thickBot="1">
      <c r="A30" s="2289"/>
      <c r="B30" s="2290" t="s">
        <v>2740</v>
      </c>
      <c r="C30" s="193" t="e">
        <f>ROUND(IF(E2="工业",C29*M39,C29*M38),0)</f>
        <v>#DIV/0!</v>
      </c>
      <c r="D30" s="2291"/>
      <c r="E30" s="873" t="e">
        <f>ROUND(C30*D30/10000,0)</f>
        <v>#DIV/0!</v>
      </c>
      <c r="F30" s="2292" t="s">
        <v>2741</v>
      </c>
      <c r="G30" s="2293"/>
      <c r="H30" s="2293"/>
      <c r="I30" s="2293"/>
      <c r="J30" s="2294"/>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2"/>
      <c r="AH30" s="2172"/>
      <c r="AI30" s="2172"/>
      <c r="AJ30" s="2172"/>
    </row>
    <row r="31" spans="1:37" ht="14.25">
      <c r="A31" s="2295"/>
      <c r="B31" s="2296" t="s">
        <v>2742</v>
      </c>
      <c r="C31" s="2297" t="s">
        <v>2743</v>
      </c>
      <c r="D31" s="2214"/>
      <c r="E31" s="2297"/>
      <c r="F31" s="2297"/>
      <c r="G31" s="2212" t="s">
        <v>2744</v>
      </c>
      <c r="H31" s="2214"/>
      <c r="I31" s="2298"/>
      <c r="J31" s="2215"/>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2"/>
      <c r="AH31" s="2172"/>
      <c r="AI31" s="2172"/>
      <c r="AJ31" s="2172"/>
    </row>
    <row r="32" spans="1:37" ht="24">
      <c r="A32" s="2283"/>
      <c r="B32" s="2299"/>
      <c r="C32" s="458" t="s">
        <v>2735</v>
      </c>
      <c r="D32" s="455" t="s">
        <v>2736</v>
      </c>
      <c r="E32" s="455" t="s">
        <v>2737</v>
      </c>
      <c r="F32" s="348" t="s">
        <v>2745</v>
      </c>
      <c r="G32" s="2300" t="s">
        <v>2735</v>
      </c>
      <c r="H32" s="2300" t="s">
        <v>2736</v>
      </c>
      <c r="I32" s="2300" t="s">
        <v>2737</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2"/>
      <c r="AH32" s="2172"/>
      <c r="AI32" s="2172"/>
      <c r="AJ32" s="2172"/>
    </row>
    <row r="33" spans="1:37" ht="36" customHeight="1">
      <c r="A33" s="3439"/>
      <c r="B33" s="2301" t="s">
        <v>2746</v>
      </c>
      <c r="C33" s="180">
        <f>ROUND(D5*C19*C20*C24*F33,0)</f>
        <v>9101</v>
      </c>
      <c r="D33" s="2285"/>
      <c r="E33" s="176">
        <f>ROUND(C33*D33/10000,0)</f>
        <v>0</v>
      </c>
      <c r="F33" s="176">
        <f>SUMIF(修正!A45:A56,G2,修正!B45:B56)</f>
        <v>0.7</v>
      </c>
      <c r="G33" s="176">
        <f t="shared" ref="G33" si="6">ROUND(IF(E2="工业",C33*$M$39,C33*$M$38),0)</f>
        <v>2275</v>
      </c>
      <c r="H33" s="176">
        <f>D33</f>
        <v>0</v>
      </c>
      <c r="I33" s="176">
        <f>ROUND(G33*H33/10000,0)</f>
        <v>0</v>
      </c>
      <c r="J33" s="3444" t="s">
        <v>3044</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29"/>
      <c r="AH33" s="2329"/>
      <c r="AI33" s="2329"/>
      <c r="AJ33" s="2329"/>
    </row>
    <row r="34" spans="1:37" ht="14.25">
      <c r="A34" s="3440"/>
      <c r="B34" s="2218" t="s">
        <v>2747</v>
      </c>
      <c r="C34" s="180">
        <f>ROUND(D5*C19*C20*C24*F34,0)</f>
        <v>5201</v>
      </c>
      <c r="D34" s="2285"/>
      <c r="E34" s="176">
        <f t="shared" ref="E34:E39" si="7">ROUND(C34*D34/10000,0)</f>
        <v>0</v>
      </c>
      <c r="F34" s="176">
        <f>SUMIF(修正!A45:A56,G2,修正!C45:C56)</f>
        <v>0.4</v>
      </c>
      <c r="G34" s="176">
        <f>ROUND(IF(E2="工业",C34*$M$39,C34*$M$38),0)</f>
        <v>1300</v>
      </c>
      <c r="H34" s="176">
        <f t="shared" ref="H34:H39" si="8">D34</f>
        <v>0</v>
      </c>
      <c r="I34" s="176">
        <f t="shared" ref="I34:I39" si="9">ROUND(G34*H34/10000,0)</f>
        <v>0</v>
      </c>
      <c r="J34" s="3440"/>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29"/>
      <c r="AH34" s="2329"/>
      <c r="AI34" s="2329"/>
      <c r="AJ34" s="2329"/>
    </row>
    <row r="35" spans="1:37">
      <c r="A35" s="3440"/>
      <c r="B35" s="2218" t="s">
        <v>2748</v>
      </c>
      <c r="C35" s="180">
        <f>ROUND(D5*C19*C20*C24*F35,0)</f>
        <v>3641</v>
      </c>
      <c r="D35" s="2285"/>
      <c r="E35" s="176">
        <f t="shared" si="7"/>
        <v>0</v>
      </c>
      <c r="F35" s="176">
        <f>SUMIF(修正!A45:A56,G2,修正!D45:D56)</f>
        <v>0.28000000000000003</v>
      </c>
      <c r="G35" s="176">
        <f>ROUND(IF(E2="工业",C35*$M$39,C35*$M$38),0)</f>
        <v>910</v>
      </c>
      <c r="H35" s="176">
        <f t="shared" si="8"/>
        <v>0</v>
      </c>
      <c r="I35" s="176">
        <f t="shared" si="9"/>
        <v>0</v>
      </c>
      <c r="J35" s="3440"/>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29"/>
      <c r="AH35" s="2329"/>
      <c r="AI35" s="2329"/>
      <c r="AJ35" s="2329"/>
    </row>
    <row r="36" spans="1:37" ht="13.5" thickBot="1">
      <c r="A36" s="3441"/>
      <c r="B36" s="2218" t="s">
        <v>2749</v>
      </c>
      <c r="C36" s="180">
        <f>ROUND(D5*C19*C20*C24*F36,0)</f>
        <v>3250</v>
      </c>
      <c r="D36" s="2285"/>
      <c r="E36" s="176">
        <f t="shared" si="7"/>
        <v>0</v>
      </c>
      <c r="F36" s="176">
        <f>SUMIF(修正!A45:A56,G2,修正!E45:E56)</f>
        <v>0.25</v>
      </c>
      <c r="G36" s="176">
        <f>ROUND(IF(E2="工业",C36*$M$39,C36*$M$38),0)</f>
        <v>813</v>
      </c>
      <c r="H36" s="176">
        <f t="shared" si="8"/>
        <v>0</v>
      </c>
      <c r="I36" s="176">
        <f t="shared" si="9"/>
        <v>0</v>
      </c>
      <c r="J36" s="3441"/>
      <c r="K36" s="1272"/>
      <c r="L36" s="2172"/>
      <c r="M36" s="2172"/>
      <c r="N36" s="1272"/>
      <c r="O36" s="1272"/>
      <c r="P36" s="1272"/>
      <c r="Q36" s="1272"/>
      <c r="R36" s="1272"/>
      <c r="S36" s="1272"/>
      <c r="T36" s="1272"/>
      <c r="U36" s="1272"/>
      <c r="V36" s="1272"/>
      <c r="W36" s="1272"/>
      <c r="X36" s="1272"/>
      <c r="Y36" s="1272"/>
      <c r="Z36" s="1273"/>
      <c r="AA36" s="1273"/>
      <c r="AB36" s="1273"/>
      <c r="AC36" s="1273"/>
      <c r="AD36" s="1273"/>
      <c r="AE36" s="1273"/>
      <c r="AF36" s="1273"/>
      <c r="AG36" s="2329"/>
      <c r="AH36" s="2329"/>
      <c r="AI36" s="2329"/>
      <c r="AJ36" s="2329"/>
    </row>
    <row r="37" spans="1:37">
      <c r="A37" s="2303"/>
      <c r="B37" s="2218" t="s">
        <v>2750</v>
      </c>
      <c r="C37" s="176">
        <f>ROUND(D5*C19*C20*C24*F37,0)</f>
        <v>3250</v>
      </c>
      <c r="D37" s="2285"/>
      <c r="E37" s="176">
        <f t="shared" si="7"/>
        <v>0</v>
      </c>
      <c r="F37" s="180">
        <f>SUMIF(修正!A45:A56,G2,修正!F45:F56)</f>
        <v>0.25</v>
      </c>
      <c r="G37" s="176">
        <f>ROUND(IF(E2="工业",C37*$M$39,C37*$M$38),0)</f>
        <v>813</v>
      </c>
      <c r="H37" s="176">
        <f t="shared" si="8"/>
        <v>0</v>
      </c>
      <c r="I37" s="176">
        <f t="shared" si="9"/>
        <v>0</v>
      </c>
      <c r="J37" s="2302"/>
      <c r="K37" s="1272"/>
      <c r="L37" s="2304" t="s">
        <v>2751</v>
      </c>
      <c r="M37" s="2305"/>
      <c r="N37" s="1272"/>
      <c r="O37" s="1272"/>
      <c r="P37" s="1272"/>
      <c r="Q37" s="1272"/>
      <c r="R37" s="1272"/>
      <c r="S37" s="1272"/>
      <c r="T37" s="1272"/>
      <c r="U37" s="1272"/>
      <c r="V37" s="1272"/>
      <c r="W37" s="1272"/>
      <c r="X37" s="1272"/>
      <c r="Y37" s="1272"/>
      <c r="Z37" s="1273"/>
      <c r="AA37" s="1273"/>
      <c r="AB37" s="1273"/>
      <c r="AC37" s="1273"/>
      <c r="AD37" s="1273"/>
      <c r="AE37" s="1273"/>
      <c r="AF37" s="1273"/>
      <c r="AG37" s="2329"/>
      <c r="AH37" s="2329"/>
      <c r="AI37" s="2329"/>
      <c r="AJ37" s="2329"/>
    </row>
    <row r="38" spans="1:37">
      <c r="A38" s="2303"/>
      <c r="B38" s="2218" t="s">
        <v>2752</v>
      </c>
      <c r="C38" s="176">
        <f>ROUND(D5*C19*C41*C24*F38,0)</f>
        <v>3076</v>
      </c>
      <c r="D38" s="2285"/>
      <c r="E38" s="176">
        <f t="shared" si="7"/>
        <v>0</v>
      </c>
      <c r="F38" s="180">
        <f>SUMIF(修正!A45:A56,G2,修正!G45:G56)</f>
        <v>0.25</v>
      </c>
      <c r="G38" s="176">
        <f>ROUND(IF(E2="工业",C38*$M$39,C38*$M$38),0)</f>
        <v>769</v>
      </c>
      <c r="H38" s="176">
        <f t="shared" si="8"/>
        <v>0</v>
      </c>
      <c r="I38" s="176">
        <f t="shared" si="9"/>
        <v>0</v>
      </c>
      <c r="J38" s="2302"/>
      <c r="K38" s="1272"/>
      <c r="L38" s="1595" t="s">
        <v>2753</v>
      </c>
      <c r="M38" s="2306">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89"/>
      <c r="B39" s="2307" t="s">
        <v>2754</v>
      </c>
      <c r="C39" s="193">
        <f>ROUND(D5*C19*C41*C24*F39,0)</f>
        <v>2460</v>
      </c>
      <c r="D39" s="2291"/>
      <c r="E39" s="193">
        <f t="shared" si="7"/>
        <v>0</v>
      </c>
      <c r="F39" s="865">
        <f>SUMIF(修正!A45:A56,G2,修正!H45:H56)</f>
        <v>0.2</v>
      </c>
      <c r="G39" s="193">
        <f>ROUND(IF(E2="工业",C39*$M$39,C39*$M$38),0)</f>
        <v>615</v>
      </c>
      <c r="H39" s="193">
        <f t="shared" si="8"/>
        <v>0</v>
      </c>
      <c r="I39" s="193">
        <f t="shared" si="9"/>
        <v>0</v>
      </c>
      <c r="J39" s="2308"/>
      <c r="K39" s="1272"/>
      <c r="L39" s="2309" t="s">
        <v>2699</v>
      </c>
      <c r="M39" s="2310">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59" t="s">
        <v>2855</v>
      </c>
      <c r="C41" s="348">
        <f>ROUND(POWER(1+E41,H41-G41)*(POWER(1+E41,G41)-1)/(POWER(1+E41,H41)-1),4)</f>
        <v>0.87739999999999996</v>
      </c>
      <c r="D41" s="176" t="s">
        <v>2706</v>
      </c>
      <c r="E41" s="2358">
        <f>G20</f>
        <v>5.3999999999999999E-2</v>
      </c>
      <c r="F41" s="176" t="s">
        <v>2715</v>
      </c>
      <c r="G41" s="189">
        <f>'数据-取费表'!F6</f>
        <v>32</v>
      </c>
      <c r="H41" s="176">
        <v>50</v>
      </c>
      <c r="Z41" s="1273"/>
      <c r="AA41" s="1273"/>
      <c r="AB41" s="1273"/>
      <c r="AC41" s="1273"/>
      <c r="AD41" s="1273"/>
      <c r="AE41" s="1273"/>
      <c r="AF41" s="1273"/>
      <c r="AG41" s="1273"/>
      <c r="AH41" s="1273"/>
      <c r="AI41" s="1273"/>
      <c r="AJ41" s="1273"/>
    </row>
    <row r="42" spans="1:37" s="1272" customFormat="1">
      <c r="A42" s="1273"/>
      <c r="B42" s="2311"/>
      <c r="Z42" s="1273"/>
      <c r="AA42" s="1273"/>
      <c r="AB42" s="1273"/>
      <c r="AC42" s="1273"/>
      <c r="AD42" s="1273"/>
      <c r="AE42" s="1273"/>
      <c r="AF42" s="1273"/>
      <c r="AG42" s="1273"/>
      <c r="AH42" s="1273"/>
      <c r="AI42" s="1273"/>
      <c r="AJ42" s="1273"/>
    </row>
    <row r="43" spans="1:37" s="1272" customFormat="1">
      <c r="A43" s="1273"/>
      <c r="B43" s="2311"/>
      <c r="Z43" s="1273"/>
      <c r="AA43" s="1273"/>
      <c r="AB43" s="1273"/>
      <c r="AC43" s="1273"/>
      <c r="AD43" s="1273"/>
      <c r="AE43" s="1273"/>
      <c r="AF43" s="1273"/>
      <c r="AG43" s="1273"/>
      <c r="AH43" s="1273"/>
      <c r="AI43" s="1273"/>
      <c r="AJ43" s="1273"/>
    </row>
    <row r="44" spans="1:37" s="1272" customFormat="1">
      <c r="A44" s="1273"/>
      <c r="B44" s="2311"/>
      <c r="Z44" s="1273"/>
      <c r="AA44" s="1273"/>
      <c r="AB44" s="1273"/>
      <c r="AC44" s="1273"/>
      <c r="AD44" s="1273"/>
      <c r="AE44" s="1273"/>
      <c r="AF44" s="1273"/>
      <c r="AG44" s="1273"/>
      <c r="AH44" s="1273"/>
      <c r="AI44" s="1273"/>
      <c r="AJ44" s="1273"/>
    </row>
    <row r="45" spans="1:37" s="1272" customFormat="1" ht="15.75" thickBot="1">
      <c r="A45" s="2312" t="s">
        <v>2755</v>
      </c>
      <c r="B45" s="2313"/>
      <c r="C45" s="7"/>
      <c r="D45" s="7"/>
      <c r="E45" s="7"/>
      <c r="F45" s="6"/>
      <c r="G45" s="6"/>
      <c r="H45" s="6"/>
      <c r="I45" s="1996"/>
      <c r="J45" s="1996"/>
      <c r="K45" s="1996"/>
      <c r="L45" s="1996"/>
      <c r="M45" s="1996"/>
      <c r="Z45" s="1273"/>
      <c r="AA45" s="1273"/>
      <c r="AB45" s="1273"/>
      <c r="AC45" s="1273"/>
      <c r="AD45" s="1273"/>
      <c r="AE45" s="1273"/>
      <c r="AF45" s="1273"/>
      <c r="AG45" s="1273"/>
      <c r="AH45" s="1273"/>
      <c r="AI45" s="1273"/>
      <c r="AJ45" s="1273"/>
    </row>
    <row r="46" spans="1:37" s="1272" customFormat="1" ht="15">
      <c r="A46" s="2314" t="s">
        <v>2756</v>
      </c>
      <c r="B46" s="2315">
        <f>1+E48</f>
        <v>1.0195000000000001</v>
      </c>
      <c r="C46" s="2316"/>
      <c r="D46" s="747"/>
      <c r="E46" s="748"/>
      <c r="F46" s="2317"/>
      <c r="G46" s="6"/>
      <c r="H46" s="7"/>
      <c r="I46" s="1996"/>
      <c r="J46" s="1996"/>
      <c r="K46" s="1996"/>
      <c r="L46" s="1996"/>
      <c r="M46" s="1996"/>
      <c r="Z46" s="1273"/>
      <c r="AA46" s="1273"/>
      <c r="AB46" s="1273"/>
      <c r="AC46" s="1273"/>
      <c r="AD46" s="1273"/>
      <c r="AE46" s="1273"/>
      <c r="AF46" s="1273"/>
      <c r="AG46" s="1273"/>
      <c r="AH46" s="1273"/>
      <c r="AI46" s="1273"/>
      <c r="AJ46" s="1273"/>
    </row>
    <row r="47" spans="1:37" s="1272" customFormat="1" ht="24.75">
      <c r="A47" s="2318" t="s">
        <v>2757</v>
      </c>
      <c r="B47" s="1525" t="s">
        <v>2758</v>
      </c>
      <c r="C47" s="1525" t="s">
        <v>2759</v>
      </c>
      <c r="D47" s="1525" t="s">
        <v>2760</v>
      </c>
      <c r="E47" s="752" t="s">
        <v>2761</v>
      </c>
      <c r="F47" s="2319" t="s">
        <v>2762</v>
      </c>
      <c r="G47" s="1525" t="s">
        <v>754</v>
      </c>
      <c r="H47" s="2320" t="s">
        <v>2763</v>
      </c>
      <c r="I47" s="1525" t="s">
        <v>2764</v>
      </c>
      <c r="J47" s="560" t="s">
        <v>2416</v>
      </c>
      <c r="K47" s="560" t="s">
        <v>2417</v>
      </c>
      <c r="L47" s="560" t="s">
        <v>2418</v>
      </c>
      <c r="M47" s="560" t="s">
        <v>2419</v>
      </c>
      <c r="N47" s="560" t="s">
        <v>2420</v>
      </c>
      <c r="AA47" s="1273"/>
      <c r="AB47" s="1273"/>
      <c r="AC47" s="1273"/>
      <c r="AD47" s="1273"/>
      <c r="AE47" s="1273"/>
      <c r="AF47" s="1273"/>
      <c r="AG47" s="1273"/>
      <c r="AH47" s="1273"/>
      <c r="AI47" s="1273"/>
      <c r="AJ47" s="1273"/>
      <c r="AK47" s="1273"/>
    </row>
    <row r="48" spans="1:37" s="1272" customFormat="1" ht="24.75">
      <c r="A48" s="2318" t="s">
        <v>2765</v>
      </c>
      <c r="B48" s="2321" t="str">
        <f>估价对象房地状况!C4</f>
        <v>一般</v>
      </c>
      <c r="C48" s="2223" t="s">
        <v>3265</v>
      </c>
      <c r="D48" s="1188">
        <f t="shared" ref="D48:D56" si="10">SUMIF($J$47:$N$47,C48,J48:N48)</f>
        <v>0</v>
      </c>
      <c r="E48" s="754">
        <f>ROUND(SUM(D48:D56),4)</f>
        <v>1.95E-2</v>
      </c>
      <c r="F48" s="1989">
        <f>IF(E2="商业",SUMIF(L1:L12,G2,N1:N12),"——")</f>
        <v>0.123</v>
      </c>
      <c r="G48" s="1186">
        <v>1.6500000000000001E-2</v>
      </c>
      <c r="H48" s="1190">
        <f t="shared" ref="H48:H56" si="11">IFERROR(ROUNDDOWN($F$48*I48/2,4),"——")</f>
        <v>2.0199999999999999E-2</v>
      </c>
      <c r="I48" s="753">
        <v>0.33</v>
      </c>
      <c r="J48" s="1187">
        <f t="shared" ref="J48:J56" si="12">K48+$G48</f>
        <v>3.3000000000000002E-2</v>
      </c>
      <c r="K48" s="1187">
        <f t="shared" ref="K48:K56" si="13">$L48+$G48</f>
        <v>1.6500000000000001E-2</v>
      </c>
      <c r="L48" s="1187">
        <v>0</v>
      </c>
      <c r="M48" s="1187">
        <f t="shared" ref="M48:N56" si="14">L48-$G48</f>
        <v>-1.6500000000000001E-2</v>
      </c>
      <c r="N48" s="1187">
        <f t="shared" si="14"/>
        <v>-3.3000000000000002E-2</v>
      </c>
      <c r="AA48" s="1273"/>
      <c r="AB48" s="1273"/>
      <c r="AC48" s="1273"/>
      <c r="AD48" s="1273"/>
      <c r="AE48" s="1273"/>
      <c r="AF48" s="1273"/>
      <c r="AG48" s="1273"/>
      <c r="AH48" s="1273"/>
      <c r="AI48" s="1273"/>
      <c r="AJ48" s="1273"/>
      <c r="AK48" s="1273"/>
    </row>
    <row r="49" spans="1:37" s="1272" customFormat="1" ht="14.25">
      <c r="A49" s="2318" t="s">
        <v>2766</v>
      </c>
      <c r="B49" s="2322" t="str">
        <f>估价对象房地状况!C18</f>
        <v>一般</v>
      </c>
      <c r="C49" s="2223" t="s">
        <v>3265</v>
      </c>
      <c r="D49" s="1188">
        <f t="shared" si="10"/>
        <v>0</v>
      </c>
      <c r="E49" s="755"/>
      <c r="F49" s="1989"/>
      <c r="G49" s="1186">
        <v>1.2500000000000001E-2</v>
      </c>
      <c r="H49" s="1190">
        <f t="shared" si="11"/>
        <v>1.5299999999999999E-2</v>
      </c>
      <c r="I49" s="753">
        <v>0.25</v>
      </c>
      <c r="J49" s="1187">
        <f t="shared" si="12"/>
        <v>2.5000000000000001E-2</v>
      </c>
      <c r="K49" s="1187">
        <f t="shared" si="13"/>
        <v>1.2500000000000001E-2</v>
      </c>
      <c r="L49" s="1187">
        <v>0</v>
      </c>
      <c r="M49" s="1187">
        <f t="shared" si="14"/>
        <v>-1.2500000000000001E-2</v>
      </c>
      <c r="N49" s="1187">
        <f t="shared" si="14"/>
        <v>-2.5000000000000001E-2</v>
      </c>
      <c r="AA49" s="1273"/>
      <c r="AB49" s="1273"/>
      <c r="AC49" s="1273"/>
      <c r="AD49" s="1273"/>
      <c r="AE49" s="1273"/>
      <c r="AF49" s="1273"/>
      <c r="AG49" s="1273"/>
      <c r="AH49" s="1273"/>
      <c r="AI49" s="1273"/>
      <c r="AJ49" s="1273"/>
      <c r="AK49" s="1273"/>
    </row>
    <row r="50" spans="1:37" s="1272" customFormat="1" ht="24">
      <c r="A50" s="2318" t="s">
        <v>2767</v>
      </c>
      <c r="B50" s="2322">
        <f>估价对象房地状况!C19</f>
        <v>0</v>
      </c>
      <c r="C50" s="2223" t="s">
        <v>3264</v>
      </c>
      <c r="D50" s="1188">
        <f t="shared" si="10"/>
        <v>2.5000000000000001E-3</v>
      </c>
      <c r="E50" s="755"/>
      <c r="F50" s="1989"/>
      <c r="G50" s="1186">
        <v>2.5000000000000001E-3</v>
      </c>
      <c r="H50" s="1190">
        <f t="shared" si="11"/>
        <v>3.0000000000000001E-3</v>
      </c>
      <c r="I50" s="753">
        <v>0.05</v>
      </c>
      <c r="J50" s="1187">
        <f t="shared" si="12"/>
        <v>5.0000000000000001E-3</v>
      </c>
      <c r="K50" s="1187">
        <f t="shared" si="13"/>
        <v>2.5000000000000001E-3</v>
      </c>
      <c r="L50" s="1187">
        <v>0</v>
      </c>
      <c r="M50" s="1187">
        <f t="shared" si="14"/>
        <v>-2.5000000000000001E-3</v>
      </c>
      <c r="N50" s="1187">
        <f t="shared" si="14"/>
        <v>-5.0000000000000001E-3</v>
      </c>
      <c r="AA50" s="1273"/>
      <c r="AB50" s="1273"/>
      <c r="AC50" s="1273"/>
      <c r="AD50" s="1273"/>
      <c r="AE50" s="1273"/>
      <c r="AF50" s="1273"/>
      <c r="AG50" s="1273"/>
      <c r="AH50" s="1273"/>
      <c r="AI50" s="1273"/>
      <c r="AJ50" s="1273"/>
      <c r="AK50" s="1273"/>
    </row>
    <row r="51" spans="1:37" s="1272" customFormat="1" ht="36.75">
      <c r="A51" s="2318" t="s">
        <v>2768</v>
      </c>
      <c r="B51" s="2323" t="s">
        <v>2769</v>
      </c>
      <c r="C51" s="2223" t="s">
        <v>3264</v>
      </c>
      <c r="D51" s="1188">
        <f t="shared" si="10"/>
        <v>2.5000000000000001E-3</v>
      </c>
      <c r="E51" s="755"/>
      <c r="F51" s="1989"/>
      <c r="G51" s="1186">
        <v>2.5000000000000001E-3</v>
      </c>
      <c r="H51" s="1190">
        <f t="shared" si="11"/>
        <v>3.0000000000000001E-3</v>
      </c>
      <c r="I51" s="753">
        <v>0.05</v>
      </c>
      <c r="J51" s="1187">
        <f t="shared" si="12"/>
        <v>5.0000000000000001E-3</v>
      </c>
      <c r="K51" s="1187">
        <f t="shared" si="13"/>
        <v>2.5000000000000001E-3</v>
      </c>
      <c r="L51" s="1187">
        <v>0</v>
      </c>
      <c r="M51" s="1187">
        <f t="shared" si="14"/>
        <v>-2.5000000000000001E-3</v>
      </c>
      <c r="N51" s="1187">
        <f t="shared" si="14"/>
        <v>-5.0000000000000001E-3</v>
      </c>
      <c r="AA51" s="1273"/>
      <c r="AB51" s="1273"/>
      <c r="AC51" s="1273"/>
      <c r="AD51" s="1273"/>
      <c r="AE51" s="1273"/>
      <c r="AF51" s="1273"/>
      <c r="AG51" s="1273"/>
      <c r="AH51" s="1273"/>
      <c r="AI51" s="1273"/>
      <c r="AJ51" s="1273"/>
      <c r="AK51" s="1273"/>
    </row>
    <row r="52" spans="1:37" s="1272" customFormat="1" ht="24">
      <c r="A52" s="2318" t="s">
        <v>2770</v>
      </c>
      <c r="B52" s="2322" t="str">
        <f>估价对象房地状况!C24</f>
        <v>次干道</v>
      </c>
      <c r="C52" s="2223" t="s">
        <v>3265</v>
      </c>
      <c r="D52" s="1188">
        <f t="shared" si="10"/>
        <v>0</v>
      </c>
      <c r="E52" s="755"/>
      <c r="F52" s="1989"/>
      <c r="G52" s="1186">
        <v>4.0000000000000001E-3</v>
      </c>
      <c r="H52" s="1190">
        <f t="shared" si="11"/>
        <v>4.8999999999999998E-3</v>
      </c>
      <c r="I52" s="753">
        <v>0.08</v>
      </c>
      <c r="J52" s="1187">
        <f t="shared" si="12"/>
        <v>8.0000000000000002E-3</v>
      </c>
      <c r="K52" s="1187">
        <f t="shared" si="13"/>
        <v>4.0000000000000001E-3</v>
      </c>
      <c r="L52" s="1187">
        <v>0</v>
      </c>
      <c r="M52" s="1187">
        <f t="shared" si="14"/>
        <v>-4.0000000000000001E-3</v>
      </c>
      <c r="N52" s="1187">
        <f t="shared" si="14"/>
        <v>-8.0000000000000002E-3</v>
      </c>
      <c r="AA52" s="1273"/>
      <c r="AB52" s="1273"/>
      <c r="AC52" s="1273"/>
      <c r="AD52" s="1273"/>
      <c r="AE52" s="1273"/>
      <c r="AF52" s="1273"/>
      <c r="AG52" s="1273"/>
      <c r="AH52" s="1273"/>
      <c r="AI52" s="1273"/>
      <c r="AJ52" s="1273"/>
      <c r="AK52" s="1273"/>
    </row>
    <row r="53" spans="1:37" s="1272" customFormat="1" ht="24">
      <c r="A53" s="2318" t="s">
        <v>2771</v>
      </c>
      <c r="B53" s="2324" t="s">
        <v>2772</v>
      </c>
      <c r="C53" s="2223" t="s">
        <v>3264</v>
      </c>
      <c r="D53" s="1188">
        <f t="shared" si="10"/>
        <v>1.5E-3</v>
      </c>
      <c r="E53" s="755"/>
      <c r="F53" s="1989"/>
      <c r="G53" s="1186">
        <v>1.5E-3</v>
      </c>
      <c r="H53" s="1190">
        <f t="shared" si="11"/>
        <v>1.8E-3</v>
      </c>
      <c r="I53" s="753">
        <v>0.03</v>
      </c>
      <c r="J53" s="1187">
        <f t="shared" si="12"/>
        <v>3.0000000000000001E-3</v>
      </c>
      <c r="K53" s="1187">
        <f t="shared" si="13"/>
        <v>1.5E-3</v>
      </c>
      <c r="L53" s="1187">
        <v>0</v>
      </c>
      <c r="M53" s="1187">
        <f t="shared" si="14"/>
        <v>-1.5E-3</v>
      </c>
      <c r="N53" s="1187">
        <f t="shared" si="14"/>
        <v>-3.0000000000000001E-3</v>
      </c>
      <c r="AA53" s="1273"/>
      <c r="AB53" s="1273"/>
      <c r="AC53" s="1273"/>
      <c r="AD53" s="1273"/>
      <c r="AE53" s="1273"/>
      <c r="AF53" s="1273"/>
      <c r="AG53" s="1273"/>
      <c r="AH53" s="1273"/>
      <c r="AI53" s="1273"/>
      <c r="AJ53" s="1273"/>
      <c r="AK53" s="1273"/>
    </row>
    <row r="54" spans="1:37" s="1272" customFormat="1" ht="24">
      <c r="A54" s="2325" t="s">
        <v>2773</v>
      </c>
      <c r="B54" s="1485" t="str">
        <f>估价对象房地状况!C21</f>
        <v>一般</v>
      </c>
      <c r="C54" s="2223" t="s">
        <v>3265</v>
      </c>
      <c r="D54" s="1188">
        <f t="shared" si="10"/>
        <v>0</v>
      </c>
      <c r="E54" s="755"/>
      <c r="F54" s="1989"/>
      <c r="G54" s="1186">
        <v>2.5000000000000001E-3</v>
      </c>
      <c r="H54" s="1190">
        <f t="shared" si="11"/>
        <v>3.0000000000000001E-3</v>
      </c>
      <c r="I54" s="753">
        <v>0.05</v>
      </c>
      <c r="J54" s="1187">
        <f t="shared" si="12"/>
        <v>5.0000000000000001E-3</v>
      </c>
      <c r="K54" s="1187">
        <f t="shared" si="13"/>
        <v>2.5000000000000001E-3</v>
      </c>
      <c r="L54" s="1187">
        <v>0</v>
      </c>
      <c r="M54" s="1187">
        <f t="shared" si="14"/>
        <v>-2.5000000000000001E-3</v>
      </c>
      <c r="N54" s="1187">
        <f t="shared" si="14"/>
        <v>-5.0000000000000001E-3</v>
      </c>
      <c r="AA54" s="1273"/>
      <c r="AB54" s="1273"/>
      <c r="AC54" s="1273"/>
      <c r="AD54" s="1273"/>
      <c r="AE54" s="1273"/>
      <c r="AF54" s="1273"/>
      <c r="AG54" s="1273"/>
      <c r="AH54" s="1273"/>
      <c r="AI54" s="1273"/>
      <c r="AJ54" s="1273"/>
      <c r="AK54" s="1273"/>
    </row>
    <row r="55" spans="1:37" s="1272" customFormat="1" ht="24">
      <c r="A55" s="2325" t="s">
        <v>2774</v>
      </c>
      <c r="B55" s="2322" t="str">
        <f>估价对象房地状况!C22</f>
        <v>七通</v>
      </c>
      <c r="C55" s="2223" t="s">
        <v>3268</v>
      </c>
      <c r="D55" s="1188">
        <f t="shared" si="10"/>
        <v>0.01</v>
      </c>
      <c r="E55" s="755"/>
      <c r="F55" s="1989"/>
      <c r="G55" s="1186">
        <v>5.0000000000000001E-3</v>
      </c>
      <c r="H55" s="1190">
        <f t="shared" si="11"/>
        <v>6.1000000000000004E-3</v>
      </c>
      <c r="I55" s="753">
        <v>0.1</v>
      </c>
      <c r="J55" s="1187">
        <f t="shared" si="12"/>
        <v>0.01</v>
      </c>
      <c r="K55" s="1187">
        <f t="shared" si="13"/>
        <v>5.0000000000000001E-3</v>
      </c>
      <c r="L55" s="1187">
        <v>0</v>
      </c>
      <c r="M55" s="1187">
        <f t="shared" si="14"/>
        <v>-5.0000000000000001E-3</v>
      </c>
      <c r="N55" s="1187">
        <f t="shared" si="14"/>
        <v>-0.01</v>
      </c>
      <c r="AA55" s="1273"/>
      <c r="AB55" s="1273"/>
      <c r="AC55" s="1273"/>
      <c r="AD55" s="1273"/>
      <c r="AE55" s="1273"/>
      <c r="AF55" s="1273"/>
      <c r="AG55" s="1273"/>
      <c r="AH55" s="1273"/>
      <c r="AI55" s="1273"/>
      <c r="AJ55" s="1273"/>
      <c r="AK55" s="1273"/>
    </row>
    <row r="56" spans="1:37" s="1272" customFormat="1" ht="24.75" thickBot="1">
      <c r="A56" s="2326" t="s">
        <v>2775</v>
      </c>
      <c r="B56" s="2327" t="str">
        <f>估价对象房地状况!C20</f>
        <v>较好</v>
      </c>
      <c r="C56" s="2223" t="s">
        <v>3264</v>
      </c>
      <c r="D56" s="1188">
        <f t="shared" si="10"/>
        <v>3.0000000000000001E-3</v>
      </c>
      <c r="E56" s="758"/>
      <c r="F56" s="1989"/>
      <c r="G56" s="1186">
        <v>3.0000000000000001E-3</v>
      </c>
      <c r="H56" s="1190">
        <f t="shared" si="11"/>
        <v>3.5999999999999999E-3</v>
      </c>
      <c r="I56" s="757">
        <v>0.06</v>
      </c>
      <c r="J56" s="1187">
        <f t="shared" si="12"/>
        <v>6.0000000000000001E-3</v>
      </c>
      <c r="K56" s="1187">
        <f t="shared" si="13"/>
        <v>3.0000000000000001E-3</v>
      </c>
      <c r="L56" s="1187">
        <v>0</v>
      </c>
      <c r="M56" s="1187">
        <f t="shared" si="14"/>
        <v>-3.0000000000000001E-3</v>
      </c>
      <c r="N56" s="1187">
        <f t="shared" si="14"/>
        <v>-6.0000000000000001E-3</v>
      </c>
      <c r="AA56" s="1273"/>
      <c r="AB56" s="1273"/>
      <c r="AC56" s="1273"/>
      <c r="AD56" s="1273"/>
      <c r="AE56" s="1273"/>
      <c r="AF56" s="1273"/>
      <c r="AG56" s="1273"/>
      <c r="AH56" s="1273"/>
      <c r="AI56" s="1273"/>
      <c r="AJ56" s="1273"/>
      <c r="AK56" s="1273"/>
    </row>
    <row r="57" spans="1:37" s="1272" customFormat="1" ht="15">
      <c r="A57" s="2314" t="s">
        <v>2776</v>
      </c>
      <c r="B57" s="2315">
        <f>1+E59</f>
        <v>1</v>
      </c>
      <c r="C57" s="747"/>
      <c r="D57" s="747"/>
      <c r="E57" s="748"/>
      <c r="F57" s="2317"/>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18" t="s">
        <v>2757</v>
      </c>
      <c r="B58" s="1525"/>
      <c r="C58" s="1525" t="s">
        <v>2759</v>
      </c>
      <c r="D58" s="1525" t="s">
        <v>2760</v>
      </c>
      <c r="E58" s="752" t="s">
        <v>2761</v>
      </c>
      <c r="F58" s="2319" t="s">
        <v>2777</v>
      </c>
      <c r="G58" s="1525" t="s">
        <v>754</v>
      </c>
      <c r="H58" s="2320" t="s">
        <v>2763</v>
      </c>
      <c r="I58" s="1525" t="s">
        <v>2764</v>
      </c>
      <c r="J58" s="560" t="s">
        <v>2416</v>
      </c>
      <c r="K58" s="560" t="s">
        <v>2417</v>
      </c>
      <c r="L58" s="560" t="s">
        <v>2418</v>
      </c>
      <c r="M58" s="560" t="s">
        <v>2419</v>
      </c>
      <c r="N58" s="560" t="s">
        <v>2420</v>
      </c>
      <c r="AA58" s="1273"/>
      <c r="AB58" s="1273"/>
      <c r="AC58" s="1273"/>
      <c r="AD58" s="1273"/>
      <c r="AE58" s="1273"/>
      <c r="AF58" s="1273"/>
      <c r="AG58" s="1273"/>
      <c r="AH58" s="1273"/>
      <c r="AI58" s="1273"/>
      <c r="AJ58" s="1273"/>
      <c r="AK58" s="1273"/>
    </row>
    <row r="59" spans="1:37" s="1272" customFormat="1" ht="24">
      <c r="A59" s="2318" t="s">
        <v>2778</v>
      </c>
      <c r="B59" s="2321" t="str">
        <f>估价对象房地状况!C17</f>
        <v>一般</v>
      </c>
      <c r="C59" s="2223"/>
      <c r="D59" s="1188">
        <f t="shared" ref="D59:D67" si="15">SUMIF($J$58:$N$58,C59,J59:N59)</f>
        <v>0</v>
      </c>
      <c r="E59" s="754">
        <f>ROUND(SUM(D59:D67),4)</f>
        <v>0</v>
      </c>
      <c r="F59" s="1989" t="str">
        <f>IF(E2="办公",SUMIF(L1:L12,G2,N1:N12),"——")</f>
        <v>——</v>
      </c>
      <c r="G59" s="1186"/>
      <c r="H59" s="1190" t="str">
        <f t="shared" ref="H59:H67" si="16">IFERROR(ROUNDDOWN($F$59*I59/2,4),"——")</f>
        <v>——</v>
      </c>
      <c r="I59" s="753">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14.25">
      <c r="A60" s="2318" t="s">
        <v>2766</v>
      </c>
      <c r="B60" s="2322" t="str">
        <f>估价对象房地状况!C18</f>
        <v>一般</v>
      </c>
      <c r="C60" s="2223"/>
      <c r="D60" s="1188">
        <f t="shared" si="15"/>
        <v>0</v>
      </c>
      <c r="E60" s="755"/>
      <c r="F60" s="1989"/>
      <c r="G60" s="1186"/>
      <c r="H60" s="1190" t="str">
        <f t="shared" si="16"/>
        <v>——</v>
      </c>
      <c r="I60" s="753">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18" t="s">
        <v>2767</v>
      </c>
      <c r="B61" s="2322">
        <f>估价对象房地状况!C19</f>
        <v>0</v>
      </c>
      <c r="C61" s="2223"/>
      <c r="D61" s="1188">
        <f t="shared" si="15"/>
        <v>0</v>
      </c>
      <c r="E61" s="755"/>
      <c r="F61" s="1989"/>
      <c r="G61" s="1186"/>
      <c r="H61" s="1190" t="str">
        <f t="shared" si="16"/>
        <v>——</v>
      </c>
      <c r="I61" s="753">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18" t="s">
        <v>2768</v>
      </c>
      <c r="B62" s="2323" t="s">
        <v>2769</v>
      </c>
      <c r="C62" s="2223"/>
      <c r="D62" s="1188">
        <f t="shared" si="15"/>
        <v>0</v>
      </c>
      <c r="E62" s="755"/>
      <c r="F62" s="1989"/>
      <c r="G62" s="1186"/>
      <c r="H62" s="1190" t="str">
        <f t="shared" si="16"/>
        <v>——</v>
      </c>
      <c r="I62" s="753">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18" t="s">
        <v>2770</v>
      </c>
      <c r="B63" s="2322" t="str">
        <f>估价对象房地状况!C24</f>
        <v>次干道</v>
      </c>
      <c r="C63" s="2223"/>
      <c r="D63" s="1188">
        <f t="shared" si="15"/>
        <v>0</v>
      </c>
      <c r="E63" s="755"/>
      <c r="F63" s="1989"/>
      <c r="G63" s="1186"/>
      <c r="H63" s="1190" t="str">
        <f t="shared" si="16"/>
        <v>——</v>
      </c>
      <c r="I63" s="753">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18" t="s">
        <v>2771</v>
      </c>
      <c r="B64" s="2324" t="s">
        <v>2772</v>
      </c>
      <c r="C64" s="2223"/>
      <c r="D64" s="1188">
        <f t="shared" si="15"/>
        <v>0</v>
      </c>
      <c r="E64" s="755"/>
      <c r="F64" s="1989"/>
      <c r="G64" s="1186"/>
      <c r="H64" s="1190" t="str">
        <f t="shared" si="16"/>
        <v>——</v>
      </c>
      <c r="I64" s="753">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4">
      <c r="A65" s="2318" t="s">
        <v>2773</v>
      </c>
      <c r="B65" s="1485" t="str">
        <f>估价对象房地状况!C21</f>
        <v>一般</v>
      </c>
      <c r="C65" s="2223"/>
      <c r="D65" s="1188">
        <f t="shared" si="15"/>
        <v>0</v>
      </c>
      <c r="E65" s="755"/>
      <c r="F65" s="1989"/>
      <c r="G65" s="1186"/>
      <c r="H65" s="1190" t="str">
        <f t="shared" si="16"/>
        <v>——</v>
      </c>
      <c r="I65" s="753">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4">
      <c r="A66" s="2318" t="s">
        <v>2774</v>
      </c>
      <c r="B66" s="1485" t="str">
        <f>估价对象房地状况!C22</f>
        <v>七通</v>
      </c>
      <c r="C66" s="2223"/>
      <c r="D66" s="1188">
        <f t="shared" si="15"/>
        <v>0</v>
      </c>
      <c r="E66" s="755"/>
      <c r="F66" s="1989"/>
      <c r="G66" s="1186"/>
      <c r="H66" s="1190" t="str">
        <f t="shared" si="16"/>
        <v>——</v>
      </c>
      <c r="I66" s="753">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24.75" thickBot="1">
      <c r="A67" s="2326" t="s">
        <v>2775</v>
      </c>
      <c r="B67" s="2328" t="str">
        <f>估价对象房地状况!C20</f>
        <v>较好</v>
      </c>
      <c r="C67" s="2223"/>
      <c r="D67" s="1188">
        <f t="shared" si="15"/>
        <v>0</v>
      </c>
      <c r="E67" s="758"/>
      <c r="F67" s="1989"/>
      <c r="G67" s="1186"/>
      <c r="H67" s="1190" t="str">
        <f t="shared" si="16"/>
        <v>——</v>
      </c>
      <c r="I67" s="757">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4" t="s">
        <v>2779</v>
      </c>
      <c r="B68" s="2315">
        <f>1+E70</f>
        <v>1</v>
      </c>
      <c r="C68" s="747"/>
      <c r="D68" s="747"/>
      <c r="E68" s="748"/>
      <c r="F68" s="2317"/>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18" t="s">
        <v>2757</v>
      </c>
      <c r="B69" s="1525"/>
      <c r="C69" s="1525" t="s">
        <v>2759</v>
      </c>
      <c r="D69" s="1525" t="s">
        <v>2760</v>
      </c>
      <c r="E69" s="752" t="s">
        <v>2761</v>
      </c>
      <c r="F69" s="2319" t="s">
        <v>2777</v>
      </c>
      <c r="G69" s="1525" t="s">
        <v>754</v>
      </c>
      <c r="H69" s="2320" t="s">
        <v>2763</v>
      </c>
      <c r="I69" s="1525" t="s">
        <v>2764</v>
      </c>
      <c r="J69" s="560" t="s">
        <v>2416</v>
      </c>
      <c r="K69" s="560" t="s">
        <v>2417</v>
      </c>
      <c r="L69" s="560" t="s">
        <v>2418</v>
      </c>
      <c r="M69" s="560" t="s">
        <v>2419</v>
      </c>
      <c r="N69" s="560" t="s">
        <v>2420</v>
      </c>
      <c r="AA69" s="1273"/>
      <c r="AB69" s="1273"/>
      <c r="AC69" s="1273"/>
      <c r="AD69" s="1273"/>
      <c r="AE69" s="1273"/>
      <c r="AF69" s="1273"/>
      <c r="AG69" s="1273"/>
      <c r="AH69" s="1273"/>
      <c r="AI69" s="1273"/>
      <c r="AJ69" s="1273"/>
      <c r="AK69" s="1273"/>
    </row>
    <row r="70" spans="1:37" s="1272" customFormat="1" ht="24">
      <c r="A70" s="2318" t="s">
        <v>2780</v>
      </c>
      <c r="B70" s="2321" t="str">
        <f>估价对象房地状况!C15</f>
        <v>较好</v>
      </c>
      <c r="C70" s="2223"/>
      <c r="D70" s="1188">
        <f t="shared" ref="D70:D78" si="20">SUMIF($J$69:$N$69,C70,J70:N70)</f>
        <v>0</v>
      </c>
      <c r="E70" s="754">
        <f>ROUND(SUM(D70:D78),4)</f>
        <v>0</v>
      </c>
      <c r="F70" s="1989" t="str">
        <f>IF(E2="住宅",SUMIF(L1:L12,G2,N1:N12),"——")</f>
        <v>——</v>
      </c>
      <c r="G70" s="1186"/>
      <c r="H70" s="1190" t="str">
        <f t="shared" ref="H70:H78" si="21">IFERROR(ROUNDDOWN($F$70*I70/2,4),"——")</f>
        <v>——</v>
      </c>
      <c r="I70" s="753">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14.25">
      <c r="A71" s="2318" t="s">
        <v>2766</v>
      </c>
      <c r="B71" s="2322" t="str">
        <f>估价对象房地状况!C18</f>
        <v>一般</v>
      </c>
      <c r="C71" s="2223"/>
      <c r="D71" s="1188">
        <f t="shared" si="20"/>
        <v>0</v>
      </c>
      <c r="E71" s="759"/>
      <c r="F71" s="1989"/>
      <c r="G71" s="1186"/>
      <c r="H71" s="1190" t="str">
        <f t="shared" si="21"/>
        <v>——</v>
      </c>
      <c r="I71" s="753">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18" t="s">
        <v>2767</v>
      </c>
      <c r="B72" s="2322">
        <f>估价对象房地状况!C19</f>
        <v>0</v>
      </c>
      <c r="C72" s="2223"/>
      <c r="D72" s="1188">
        <f t="shared" si="20"/>
        <v>0</v>
      </c>
      <c r="E72" s="759"/>
      <c r="F72" s="1989"/>
      <c r="G72" s="1186"/>
      <c r="H72" s="1190" t="str">
        <f t="shared" si="21"/>
        <v>——</v>
      </c>
      <c r="I72" s="753">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18" t="s">
        <v>2781</v>
      </c>
      <c r="B73" s="2322" t="str">
        <f>估价对象房地状况!C24</f>
        <v>次干道</v>
      </c>
      <c r="C73" s="2223"/>
      <c r="D73" s="1188">
        <f t="shared" si="20"/>
        <v>0</v>
      </c>
      <c r="E73" s="759"/>
      <c r="F73" s="1989"/>
      <c r="G73" s="1186"/>
      <c r="H73" s="1190" t="str">
        <f t="shared" si="21"/>
        <v>——</v>
      </c>
      <c r="I73" s="753">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4">
      <c r="A74" s="2318" t="s">
        <v>2773</v>
      </c>
      <c r="B74" s="1485" t="str">
        <f>估价对象房地状况!C21</f>
        <v>一般</v>
      </c>
      <c r="C74" s="2223"/>
      <c r="D74" s="1188">
        <f t="shared" si="20"/>
        <v>0</v>
      </c>
      <c r="E74" s="759"/>
      <c r="F74" s="1989"/>
      <c r="G74" s="1186"/>
      <c r="H74" s="1190" t="str">
        <f t="shared" si="21"/>
        <v>——</v>
      </c>
      <c r="I74" s="753">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4">
      <c r="A75" s="2318" t="s">
        <v>2774</v>
      </c>
      <c r="B75" s="1485" t="str">
        <f>估价对象房地状况!C22</f>
        <v>七通</v>
      </c>
      <c r="C75" s="2223"/>
      <c r="D75" s="1188">
        <f t="shared" si="20"/>
        <v>0</v>
      </c>
      <c r="E75" s="759"/>
      <c r="F75" s="1989"/>
      <c r="G75" s="1186"/>
      <c r="H75" s="1190" t="str">
        <f t="shared" si="21"/>
        <v>——</v>
      </c>
      <c r="I75" s="753">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2" customFormat="1" ht="24">
      <c r="A76" s="2318" t="s">
        <v>2771</v>
      </c>
      <c r="B76" s="2324" t="s">
        <v>2772</v>
      </c>
      <c r="C76" s="2223"/>
      <c r="D76" s="1188">
        <f t="shared" si="20"/>
        <v>0</v>
      </c>
      <c r="E76" s="759"/>
      <c r="F76" s="1989"/>
      <c r="G76" s="1186"/>
      <c r="H76" s="1190" t="str">
        <f t="shared" si="21"/>
        <v>——</v>
      </c>
      <c r="I76" s="753">
        <v>0.05</v>
      </c>
      <c r="J76" s="1187">
        <f t="shared" si="22"/>
        <v>0</v>
      </c>
      <c r="K76" s="1187">
        <f t="shared" si="23"/>
        <v>0</v>
      </c>
      <c r="L76" s="1187">
        <v>0</v>
      </c>
      <c r="M76" s="1187">
        <f t="shared" si="24"/>
        <v>0</v>
      </c>
      <c r="N76" s="1187">
        <f t="shared" si="24"/>
        <v>0</v>
      </c>
      <c r="AA76" s="2329"/>
      <c r="AB76" s="1273"/>
      <c r="AC76" s="1273"/>
      <c r="AD76" s="1273"/>
      <c r="AE76" s="1273"/>
      <c r="AF76" s="1273"/>
      <c r="AG76" s="1273"/>
      <c r="AH76" s="2329"/>
      <c r="AI76" s="2329"/>
      <c r="AJ76" s="2329"/>
      <c r="AK76" s="2329"/>
    </row>
    <row r="77" spans="1:37" ht="24">
      <c r="A77" s="2318" t="s">
        <v>2775</v>
      </c>
      <c r="B77" s="2321" t="str">
        <f>估价对象房地状况!C20</f>
        <v>较好</v>
      </c>
      <c r="C77" s="2223"/>
      <c r="D77" s="1188">
        <f t="shared" si="20"/>
        <v>0</v>
      </c>
      <c r="E77" s="759"/>
      <c r="F77" s="1989"/>
      <c r="G77" s="1186"/>
      <c r="H77" s="1190" t="str">
        <f t="shared" si="21"/>
        <v>——</v>
      </c>
      <c r="I77" s="753">
        <v>0.15</v>
      </c>
      <c r="J77" s="1187">
        <f t="shared" si="22"/>
        <v>0</v>
      </c>
      <c r="K77" s="1187">
        <f t="shared" si="23"/>
        <v>0</v>
      </c>
      <c r="L77" s="1187">
        <v>0</v>
      </c>
      <c r="M77" s="1187">
        <f t="shared" si="24"/>
        <v>0</v>
      </c>
      <c r="N77" s="1187">
        <f t="shared" si="24"/>
        <v>0</v>
      </c>
      <c r="Z77" s="2173"/>
      <c r="AA77" s="2239"/>
      <c r="AG77" s="1274"/>
      <c r="AK77" s="2239"/>
    </row>
    <row r="78" spans="1:37" ht="24.75" thickBot="1">
      <c r="A78" s="2326" t="s">
        <v>2782</v>
      </c>
      <c r="B78" s="2330"/>
      <c r="C78" s="2223"/>
      <c r="D78" s="1188">
        <f t="shared" si="20"/>
        <v>0</v>
      </c>
      <c r="E78" s="760"/>
      <c r="F78" s="1989"/>
      <c r="G78" s="1186"/>
      <c r="H78" s="1190" t="str">
        <f t="shared" si="21"/>
        <v>——</v>
      </c>
      <c r="I78" s="757">
        <v>0.04</v>
      </c>
      <c r="J78" s="1187">
        <f t="shared" si="22"/>
        <v>0</v>
      </c>
      <c r="K78" s="1187">
        <f t="shared" si="23"/>
        <v>0</v>
      </c>
      <c r="L78" s="1187">
        <v>0</v>
      </c>
      <c r="M78" s="1187">
        <f t="shared" si="24"/>
        <v>0</v>
      </c>
      <c r="N78" s="1187">
        <f t="shared" si="24"/>
        <v>0</v>
      </c>
      <c r="Z78" s="2173"/>
      <c r="AA78" s="2239"/>
      <c r="AG78" s="1274"/>
      <c r="AK78" s="2239"/>
    </row>
    <row r="79" spans="1:37" ht="15">
      <c r="A79" s="2314" t="s">
        <v>2783</v>
      </c>
      <c r="B79" s="2315">
        <f>1+E81</f>
        <v>1</v>
      </c>
      <c r="C79" s="747"/>
      <c r="D79" s="747"/>
      <c r="E79" s="748"/>
      <c r="F79" s="2317"/>
      <c r="G79" s="6"/>
      <c r="H79" s="6"/>
      <c r="I79" s="6"/>
      <c r="J79" s="7"/>
      <c r="K79" s="7"/>
      <c r="L79" s="7"/>
      <c r="M79" s="7"/>
      <c r="N79" s="7"/>
      <c r="Z79" s="2173"/>
      <c r="AA79" s="2239"/>
      <c r="AG79" s="1274"/>
      <c r="AK79" s="2239"/>
    </row>
    <row r="80" spans="1:37" ht="24.75">
      <c r="A80" s="2318" t="s">
        <v>2757</v>
      </c>
      <c r="B80" s="1525"/>
      <c r="C80" s="1525" t="s">
        <v>2759</v>
      </c>
      <c r="D80" s="1525" t="s">
        <v>2760</v>
      </c>
      <c r="E80" s="752" t="s">
        <v>2761</v>
      </c>
      <c r="F80" s="2319" t="s">
        <v>2777</v>
      </c>
      <c r="G80" s="1525" t="s">
        <v>754</v>
      </c>
      <c r="H80" s="2320" t="s">
        <v>2763</v>
      </c>
      <c r="I80" s="1525" t="s">
        <v>2764</v>
      </c>
      <c r="J80" s="560" t="s">
        <v>2416</v>
      </c>
      <c r="K80" s="560" t="s">
        <v>2417</v>
      </c>
      <c r="L80" s="560" t="s">
        <v>2418</v>
      </c>
      <c r="M80" s="560" t="s">
        <v>2419</v>
      </c>
      <c r="N80" s="560" t="s">
        <v>2420</v>
      </c>
      <c r="Z80" s="2173"/>
      <c r="AA80" s="2239"/>
      <c r="AG80" s="1274"/>
      <c r="AK80" s="2239"/>
    </row>
    <row r="81" spans="1:37" ht="38.25">
      <c r="A81" s="2318" t="s">
        <v>2784</v>
      </c>
      <c r="B81" s="2322" t="str">
        <f>估价对象房地状况!G15</f>
        <v>估价对象位于XX开发区，园区建设成熟度XX，产业集聚程度XX</v>
      </c>
      <c r="C81" s="2223"/>
      <c r="D81" s="1188">
        <f t="shared" ref="D81:D88" si="25">SUMIF($J$80:$N$80,C81,J81:N81)</f>
        <v>0</v>
      </c>
      <c r="E81" s="754">
        <f>ROUND(SUM(D81:D88),4)</f>
        <v>0</v>
      </c>
      <c r="F81" s="1989" t="str">
        <f>IF(E2="工业",SUMIF(L1:L12,G2,N1:N12),"——")</f>
        <v>——</v>
      </c>
      <c r="G81" s="1186"/>
      <c r="H81" s="1190" t="str">
        <f t="shared" ref="H81:H88" si="26">IFERROR(ROUNDDOWN($F$81*I81/2,4),"——")</f>
        <v>——</v>
      </c>
      <c r="I81" s="753">
        <v>0.26</v>
      </c>
      <c r="J81" s="1187">
        <f t="shared" ref="J81:J88" si="27">K81+$G81</f>
        <v>0</v>
      </c>
      <c r="K81" s="1187">
        <f t="shared" ref="K81:K88" si="28">$L81+$G81</f>
        <v>0</v>
      </c>
      <c r="L81" s="1187">
        <v>0</v>
      </c>
      <c r="M81" s="1187">
        <f t="shared" ref="M81:N88" si="29">L81-$G81</f>
        <v>0</v>
      </c>
      <c r="N81" s="1187">
        <f t="shared" si="29"/>
        <v>0</v>
      </c>
      <c r="Z81" s="2173"/>
      <c r="AA81" s="2239"/>
      <c r="AG81" s="1274"/>
      <c r="AK81" s="2239"/>
    </row>
    <row r="82" spans="1:37" ht="51">
      <c r="A82" s="2318" t="s">
        <v>2766</v>
      </c>
      <c r="B82" s="2322" t="str">
        <f>估价对象房地状况!G16</f>
        <v>估价对象周边道路状况、公共交通通达情况、停车便捷程度，综合评价交通便捷度较好</v>
      </c>
      <c r="C82" s="2223"/>
      <c r="D82" s="1188">
        <f t="shared" si="25"/>
        <v>0</v>
      </c>
      <c r="E82" s="759"/>
      <c r="F82" s="1989"/>
      <c r="G82" s="1186"/>
      <c r="H82" s="1190" t="str">
        <f t="shared" si="26"/>
        <v>——</v>
      </c>
      <c r="I82" s="753">
        <v>0.33</v>
      </c>
      <c r="J82" s="1187">
        <f t="shared" si="27"/>
        <v>0</v>
      </c>
      <c r="K82" s="1187">
        <f t="shared" si="28"/>
        <v>0</v>
      </c>
      <c r="L82" s="1187">
        <v>0</v>
      </c>
      <c r="M82" s="1187">
        <f t="shared" si="29"/>
        <v>0</v>
      </c>
      <c r="N82" s="1187">
        <f t="shared" si="29"/>
        <v>0</v>
      </c>
      <c r="Z82" s="2173"/>
      <c r="AA82" s="2239"/>
      <c r="AG82" s="1274"/>
      <c r="AK82" s="2239"/>
    </row>
    <row r="83" spans="1:37" ht="24">
      <c r="A83" s="2318" t="s">
        <v>2767</v>
      </c>
      <c r="B83" s="2322">
        <f>估价对象房地状况!G17</f>
        <v>0</v>
      </c>
      <c r="C83" s="2223"/>
      <c r="D83" s="1188">
        <f t="shared" si="25"/>
        <v>0</v>
      </c>
      <c r="E83" s="759"/>
      <c r="F83" s="1989"/>
      <c r="G83" s="1186"/>
      <c r="H83" s="1190" t="str">
        <f t="shared" si="26"/>
        <v>——</v>
      </c>
      <c r="I83" s="753">
        <v>0.05</v>
      </c>
      <c r="J83" s="1187">
        <f t="shared" si="27"/>
        <v>0</v>
      </c>
      <c r="K83" s="1187">
        <f t="shared" si="28"/>
        <v>0</v>
      </c>
      <c r="L83" s="1187">
        <v>0</v>
      </c>
      <c r="M83" s="1187">
        <f t="shared" si="29"/>
        <v>0</v>
      </c>
      <c r="N83" s="1187">
        <f t="shared" si="29"/>
        <v>0</v>
      </c>
      <c r="Z83" s="2173"/>
      <c r="AA83" s="2239"/>
      <c r="AG83" s="1274"/>
      <c r="AK83" s="2239"/>
    </row>
    <row r="84" spans="1:37" ht="14.25">
      <c r="A84" s="2318" t="s">
        <v>2781</v>
      </c>
      <c r="B84" s="2322">
        <f>估价对象房地状况!G22</f>
        <v>0</v>
      </c>
      <c r="C84" s="2223"/>
      <c r="D84" s="1188">
        <f t="shared" si="25"/>
        <v>0</v>
      </c>
      <c r="E84" s="759"/>
      <c r="F84" s="1989"/>
      <c r="G84" s="1186"/>
      <c r="H84" s="1190" t="str">
        <f t="shared" si="26"/>
        <v>——</v>
      </c>
      <c r="I84" s="753">
        <v>0.04</v>
      </c>
      <c r="J84" s="1187">
        <f t="shared" si="27"/>
        <v>0</v>
      </c>
      <c r="K84" s="1187">
        <f t="shared" si="28"/>
        <v>0</v>
      </c>
      <c r="L84" s="1187">
        <v>0</v>
      </c>
      <c r="M84" s="1187">
        <f t="shared" si="29"/>
        <v>0</v>
      </c>
      <c r="N84" s="1187">
        <f t="shared" si="29"/>
        <v>0</v>
      </c>
      <c r="Z84" s="2173"/>
      <c r="AA84" s="2239"/>
      <c r="AG84" s="1274"/>
      <c r="AK84" s="2239"/>
    </row>
    <row r="85" spans="1:37" ht="25.5">
      <c r="A85" s="2318" t="s">
        <v>2773</v>
      </c>
      <c r="B85" s="1485" t="str">
        <f>估价对象房地状况!G19</f>
        <v>估价对象所在区域公共配套设施齐备情况</v>
      </c>
      <c r="C85" s="2223"/>
      <c r="D85" s="1188">
        <f t="shared" si="25"/>
        <v>0</v>
      </c>
      <c r="E85" s="759"/>
      <c r="F85" s="1989"/>
      <c r="G85" s="1186"/>
      <c r="H85" s="1190" t="str">
        <f t="shared" si="26"/>
        <v>——</v>
      </c>
      <c r="I85" s="753">
        <v>0.06</v>
      </c>
      <c r="J85" s="1187">
        <f t="shared" si="27"/>
        <v>0</v>
      </c>
      <c r="K85" s="1187">
        <f t="shared" si="28"/>
        <v>0</v>
      </c>
      <c r="L85" s="1187">
        <v>0</v>
      </c>
      <c r="M85" s="1187">
        <f t="shared" si="29"/>
        <v>0</v>
      </c>
      <c r="N85" s="1187">
        <f t="shared" si="29"/>
        <v>0</v>
      </c>
      <c r="Z85" s="2173"/>
      <c r="AA85" s="2239"/>
      <c r="AG85" s="1274"/>
      <c r="AK85" s="2239"/>
    </row>
    <row r="86" spans="1:37" ht="25.5">
      <c r="A86" s="2318" t="s">
        <v>2774</v>
      </c>
      <c r="B86" s="1485" t="str">
        <f>估价对象房地状况!G20</f>
        <v>估价对象所在区域基础设施水平</v>
      </c>
      <c r="C86" s="2223"/>
      <c r="D86" s="1188">
        <f t="shared" si="25"/>
        <v>0</v>
      </c>
      <c r="E86" s="759"/>
      <c r="F86" s="1989"/>
      <c r="G86" s="1186"/>
      <c r="H86" s="1190" t="str">
        <f t="shared" si="26"/>
        <v>——</v>
      </c>
      <c r="I86" s="753">
        <v>0.15</v>
      </c>
      <c r="J86" s="1187">
        <f t="shared" si="27"/>
        <v>0</v>
      </c>
      <c r="K86" s="1187">
        <f t="shared" si="28"/>
        <v>0</v>
      </c>
      <c r="L86" s="1187">
        <v>0</v>
      </c>
      <c r="M86" s="1187">
        <f t="shared" si="29"/>
        <v>0</v>
      </c>
      <c r="N86" s="1187">
        <f t="shared" si="29"/>
        <v>0</v>
      </c>
      <c r="Z86" s="2173"/>
      <c r="AA86" s="2239"/>
      <c r="AG86" s="1274"/>
      <c r="AK86" s="2239"/>
    </row>
    <row r="87" spans="1:37" ht="24">
      <c r="A87" s="2318" t="s">
        <v>2771</v>
      </c>
      <c r="B87" s="2324" t="s">
        <v>2785</v>
      </c>
      <c r="C87" s="2223"/>
      <c r="D87" s="1188">
        <f t="shared" si="25"/>
        <v>0</v>
      </c>
      <c r="E87" s="759"/>
      <c r="F87" s="1989"/>
      <c r="G87" s="1186"/>
      <c r="H87" s="1190" t="str">
        <f t="shared" si="26"/>
        <v>——</v>
      </c>
      <c r="I87" s="753">
        <v>0.05</v>
      </c>
      <c r="J87" s="1187">
        <f t="shared" si="27"/>
        <v>0</v>
      </c>
      <c r="K87" s="1187">
        <f t="shared" si="28"/>
        <v>0</v>
      </c>
      <c r="L87" s="1187">
        <v>0</v>
      </c>
      <c r="M87" s="1187">
        <f t="shared" si="29"/>
        <v>0</v>
      </c>
      <c r="N87" s="1187">
        <f t="shared" si="29"/>
        <v>0</v>
      </c>
      <c r="Z87" s="2173"/>
      <c r="AA87" s="2239"/>
      <c r="AG87" s="1274"/>
      <c r="AK87" s="2239"/>
    </row>
    <row r="88" spans="1:37" ht="39" thickBot="1">
      <c r="A88" s="2326" t="s">
        <v>2786</v>
      </c>
      <c r="B88" s="2331" t="str">
        <f>估价对象房地状况!G18</f>
        <v>该园区内是否有污染型企业，绿化情况，卫生条件，整体环境状况判断</v>
      </c>
      <c r="C88" s="2223"/>
      <c r="D88" s="1188">
        <f t="shared" si="25"/>
        <v>0</v>
      </c>
      <c r="E88" s="760"/>
      <c r="F88" s="1989"/>
      <c r="G88" s="1186"/>
      <c r="H88" s="1190" t="str">
        <f t="shared" si="26"/>
        <v>——</v>
      </c>
      <c r="I88" s="757">
        <v>0.06</v>
      </c>
      <c r="J88" s="1187">
        <f t="shared" si="27"/>
        <v>0</v>
      </c>
      <c r="K88" s="1187">
        <f t="shared" si="28"/>
        <v>0</v>
      </c>
      <c r="L88" s="1187">
        <v>0</v>
      </c>
      <c r="M88" s="1187">
        <f t="shared" si="29"/>
        <v>0</v>
      </c>
      <c r="N88" s="1187">
        <f t="shared" si="29"/>
        <v>0</v>
      </c>
      <c r="Z88" s="2173"/>
      <c r="AA88" s="2239"/>
      <c r="AG88" s="1274"/>
      <c r="AK88" s="2239"/>
    </row>
    <row r="90" spans="1:37">
      <c r="A90" s="3431" t="s">
        <v>2787</v>
      </c>
      <c r="B90" s="3431"/>
      <c r="C90" s="3431"/>
      <c r="D90" s="3431"/>
      <c r="E90" s="3431"/>
      <c r="F90" s="3431"/>
      <c r="G90" s="3431"/>
      <c r="H90" s="3431"/>
      <c r="I90" s="3431"/>
      <c r="J90" s="3431"/>
      <c r="K90" s="2332"/>
      <c r="L90" s="2332"/>
      <c r="M90" s="2332"/>
      <c r="N90" s="2332"/>
    </row>
    <row r="91" spans="1:37">
      <c r="A91" s="3433" t="s">
        <v>2788</v>
      </c>
      <c r="B91" s="3433" t="s">
        <v>2789</v>
      </c>
      <c r="C91" s="2286" t="s">
        <v>2790</v>
      </c>
      <c r="D91" s="2287"/>
      <c r="E91" s="2287"/>
      <c r="F91" s="2287"/>
      <c r="G91" s="2287"/>
      <c r="H91" s="2287"/>
      <c r="I91" s="2287"/>
      <c r="J91" s="2333"/>
      <c r="K91" s="2334"/>
      <c r="L91" s="2334"/>
      <c r="M91" s="2334"/>
      <c r="N91" s="2334"/>
    </row>
    <row r="92" spans="1:37">
      <c r="A92" s="3433"/>
      <c r="B92" s="3433"/>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434" t="s">
        <v>2791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435"/>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435"/>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435"/>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435"/>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435"/>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435"/>
      <c r="B99" s="2335" t="s">
        <v>2674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436"/>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434" t="s">
        <v>2792</v>
      </c>
      <c r="B101" s="2339" t="s">
        <v>2793</v>
      </c>
      <c r="C101" s="2340" t="e">
        <f>$G$3</f>
        <v>#DIV/0!</v>
      </c>
      <c r="D101" s="2340" t="e">
        <f t="shared" ref="D101:N101" si="31">$G$3</f>
        <v>#DIV/0!</v>
      </c>
      <c r="E101" s="2340" t="e">
        <f t="shared" si="31"/>
        <v>#DIV/0!</v>
      </c>
      <c r="F101" s="2340" t="e">
        <f t="shared" si="31"/>
        <v>#DIV/0!</v>
      </c>
      <c r="G101" s="2340" t="e">
        <f t="shared" si="31"/>
        <v>#DIV/0!</v>
      </c>
      <c r="H101" s="2340" t="e">
        <f t="shared" si="31"/>
        <v>#DIV/0!</v>
      </c>
      <c r="I101" s="2340" t="e">
        <f t="shared" si="31"/>
        <v>#DIV/0!</v>
      </c>
      <c r="J101" s="2340" t="e">
        <f t="shared" si="31"/>
        <v>#DIV/0!</v>
      </c>
      <c r="K101" s="2340" t="e">
        <f t="shared" si="31"/>
        <v>#DIV/0!</v>
      </c>
      <c r="L101" s="2340" t="e">
        <f t="shared" si="31"/>
        <v>#DIV/0!</v>
      </c>
      <c r="M101" s="2340" t="e">
        <f t="shared" si="31"/>
        <v>#DIV/0!</v>
      </c>
      <c r="N101" s="2340" t="e">
        <f t="shared" si="31"/>
        <v>#DIV/0!</v>
      </c>
    </row>
    <row r="102" spans="1:14">
      <c r="A102" s="3435"/>
      <c r="B102" s="2335">
        <v>1</v>
      </c>
      <c r="C102" s="2336" t="e">
        <f>1.9362/C101</f>
        <v>#DIV/0!</v>
      </c>
      <c r="D102" s="2336" t="e">
        <f>1.9362/D101</f>
        <v>#DIV/0!</v>
      </c>
      <c r="E102" s="2336" t="e">
        <f>1.8629/E101</f>
        <v>#DIV/0!</v>
      </c>
      <c r="F102" s="2336" t="e">
        <f>1.8629/F101</f>
        <v>#DIV/0!</v>
      </c>
      <c r="G102" s="2336" t="e">
        <f>1.8629/G101</f>
        <v>#DIV/0!</v>
      </c>
      <c r="H102" s="2336" t="e">
        <f>1.8629/H101</f>
        <v>#DIV/0!</v>
      </c>
      <c r="I102" s="2336" t="e">
        <f>1.8629/I101</f>
        <v>#DIV/0!</v>
      </c>
      <c r="J102" s="2336" t="e">
        <f>1.942/J101</f>
        <v>#DIV/0!</v>
      </c>
      <c r="K102" s="2336" t="e">
        <f>1.942/K101</f>
        <v>#DIV/0!</v>
      </c>
      <c r="L102" s="2336" t="e">
        <f>1.942/L101</f>
        <v>#DIV/0!</v>
      </c>
      <c r="M102" s="2336" t="e">
        <f>1.942/M101</f>
        <v>#DIV/0!</v>
      </c>
      <c r="N102" s="2336" t="e">
        <f>1.942/N101</f>
        <v>#DIV/0!</v>
      </c>
    </row>
    <row r="103" spans="1:14">
      <c r="A103" s="3435"/>
      <c r="B103" s="2335">
        <v>2</v>
      </c>
      <c r="C103" s="2336" t="e">
        <f>1.4198/C101</f>
        <v>#DIV/0!</v>
      </c>
      <c r="D103" s="2336" t="e">
        <f>1.4198/D101</f>
        <v>#DIV/0!</v>
      </c>
      <c r="E103" s="2336" t="e">
        <f>1.3372/E101</f>
        <v>#DIV/0!</v>
      </c>
      <c r="F103" s="2336" t="e">
        <f>1.3372/F101</f>
        <v>#DIV/0!</v>
      </c>
      <c r="G103" s="2336" t="e">
        <f>1.3372/G101</f>
        <v>#DIV/0!</v>
      </c>
      <c r="H103" s="2336" t="e">
        <f>1.3372/H101</f>
        <v>#DIV/0!</v>
      </c>
      <c r="I103" s="2336" t="e">
        <f>1.3372/I101</f>
        <v>#DIV/0!</v>
      </c>
      <c r="J103" s="2336" t="e">
        <f>1.2799/J101</f>
        <v>#DIV/0!</v>
      </c>
      <c r="K103" s="2336" t="e">
        <f>1.2799/K101</f>
        <v>#DIV/0!</v>
      </c>
      <c r="L103" s="2336" t="e">
        <f>1.2799/L101</f>
        <v>#DIV/0!</v>
      </c>
      <c r="M103" s="2336" t="e">
        <f>1.2799/M101</f>
        <v>#DIV/0!</v>
      </c>
      <c r="N103" s="2336" t="e">
        <f>1.2799/N101</f>
        <v>#DIV/0!</v>
      </c>
    </row>
    <row r="104" spans="1:14">
      <c r="A104" s="3435"/>
      <c r="B104" s="2335">
        <v>3</v>
      </c>
      <c r="C104" s="2336" t="e">
        <f>1.1594/C101</f>
        <v>#DIV/0!</v>
      </c>
      <c r="D104" s="2336" t="e">
        <f>1.1594/D101</f>
        <v>#DIV/0!</v>
      </c>
      <c r="E104" s="2336" t="e">
        <f>1.0788/E101</f>
        <v>#DIV/0!</v>
      </c>
      <c r="F104" s="2336" t="e">
        <f>1.0788/F101</f>
        <v>#DIV/0!</v>
      </c>
      <c r="G104" s="2336" t="e">
        <f>1.0788/G101</f>
        <v>#DIV/0!</v>
      </c>
      <c r="H104" s="2336" t="e">
        <f>1.0788/H101</f>
        <v>#DIV/0!</v>
      </c>
      <c r="I104" s="2336" t="e">
        <f>1.0788/I101</f>
        <v>#DIV/0!</v>
      </c>
      <c r="J104" s="2336" t="e">
        <f>1.0072/J101</f>
        <v>#DIV/0!</v>
      </c>
      <c r="K104" s="2336" t="e">
        <f>1.0072/K101</f>
        <v>#DIV/0!</v>
      </c>
      <c r="L104" s="2336" t="e">
        <f>1.0072/L101</f>
        <v>#DIV/0!</v>
      </c>
      <c r="M104" s="2336" t="e">
        <f>1.0072/M101</f>
        <v>#DIV/0!</v>
      </c>
      <c r="N104" s="2336" t="e">
        <f>1.0072/N101</f>
        <v>#DIV/0!</v>
      </c>
    </row>
    <row r="105" spans="1:14">
      <c r="A105" s="3435"/>
      <c r="B105" s="2335">
        <v>4</v>
      </c>
      <c r="C105" s="2336" t="e">
        <f>0.9622/C101</f>
        <v>#DIV/0!</v>
      </c>
      <c r="D105" s="2336" t="e">
        <f>0.9622/D101</f>
        <v>#DIV/0!</v>
      </c>
      <c r="E105" s="2336" t="e">
        <f>0.8656/E101</f>
        <v>#DIV/0!</v>
      </c>
      <c r="F105" s="2336" t="e">
        <f>0.8656/F101</f>
        <v>#DIV/0!</v>
      </c>
      <c r="G105" s="2336" t="e">
        <f>0.8656/G101</f>
        <v>#DIV/0!</v>
      </c>
      <c r="H105" s="2336" t="e">
        <f>0.8656/H101</f>
        <v>#DIV/0!</v>
      </c>
      <c r="I105" s="2336" t="e">
        <f>0.8656/I101</f>
        <v>#DIV/0!</v>
      </c>
      <c r="J105" s="2336" t="e">
        <f>0.7525/J101</f>
        <v>#DIV/0!</v>
      </c>
      <c r="K105" s="2336" t="e">
        <f>0.7525/K101</f>
        <v>#DIV/0!</v>
      </c>
      <c r="L105" s="2336" t="e">
        <f>0.7525/L101</f>
        <v>#DIV/0!</v>
      </c>
      <c r="M105" s="2336" t="e">
        <f>0.7525/M101</f>
        <v>#DIV/0!</v>
      </c>
      <c r="N105" s="2336" t="e">
        <f>0.7525/N101</f>
        <v>#DIV/0!</v>
      </c>
    </row>
    <row r="106" spans="1:14">
      <c r="A106" s="3435"/>
      <c r="B106" s="2335">
        <v>5</v>
      </c>
      <c r="C106" s="2336" t="e">
        <f>0.8417/C101</f>
        <v>#DIV/0!</v>
      </c>
      <c r="D106" s="2336" t="e">
        <f>0.8417/D101</f>
        <v>#DIV/0!</v>
      </c>
      <c r="E106" s="2336" t="e">
        <f>0.7371/E101</f>
        <v>#DIV/0!</v>
      </c>
      <c r="F106" s="2336" t="e">
        <f>0.7371/F101</f>
        <v>#DIV/0!</v>
      </c>
      <c r="G106" s="2336" t="e">
        <f>0.7371/G101</f>
        <v>#DIV/0!</v>
      </c>
      <c r="H106" s="2336" t="e">
        <f>0.7371/H101</f>
        <v>#DIV/0!</v>
      </c>
      <c r="I106" s="2336" t="e">
        <f>0.7371/I101</f>
        <v>#DIV/0!</v>
      </c>
      <c r="J106" s="2336" t="e">
        <f>0.5659/J101</f>
        <v>#DIV/0!</v>
      </c>
      <c r="K106" s="2336" t="e">
        <f>0.5659/K101</f>
        <v>#DIV/0!</v>
      </c>
      <c r="L106" s="2336" t="e">
        <f>0.5659/L101</f>
        <v>#DIV/0!</v>
      </c>
      <c r="M106" s="2336" t="e">
        <f>0.5659/M101</f>
        <v>#DIV/0!</v>
      </c>
      <c r="N106" s="2336" t="e">
        <f>0.5659/N101</f>
        <v>#DIV/0!</v>
      </c>
    </row>
    <row r="107" spans="1:14">
      <c r="A107" s="3435"/>
      <c r="B107" s="2335">
        <v>6</v>
      </c>
      <c r="C107" s="2336" t="e">
        <f>0.7608/C101</f>
        <v>#DIV/0!</v>
      </c>
      <c r="D107" s="2336" t="e">
        <f>0.7608/D101</f>
        <v>#DIV/0!</v>
      </c>
      <c r="E107" s="2336" t="e">
        <f>0.6482/E101</f>
        <v>#DIV/0!</v>
      </c>
      <c r="F107" s="2336" t="e">
        <f>0.6482/F101</f>
        <v>#DIV/0!</v>
      </c>
      <c r="G107" s="2336" t="e">
        <f>0.6482/G101</f>
        <v>#DIV/0!</v>
      </c>
      <c r="H107" s="2336" t="e">
        <f>0.6482/H101</f>
        <v>#DIV/0!</v>
      </c>
      <c r="I107" s="2336" t="e">
        <f>0.6482/I101</f>
        <v>#DIV/0!</v>
      </c>
      <c r="J107" s="2336" t="e">
        <f>0.4525/J101</f>
        <v>#DIV/0!</v>
      </c>
      <c r="K107" s="2336" t="e">
        <f>0.4525/K101</f>
        <v>#DIV/0!</v>
      </c>
      <c r="L107" s="2336" t="e">
        <f>0.4525/L101</f>
        <v>#DIV/0!</v>
      </c>
      <c r="M107" s="2336" t="e">
        <f>0.4525/M101</f>
        <v>#DIV/0!</v>
      </c>
      <c r="N107" s="2336" t="e">
        <f>0.4525/N101</f>
        <v>#DIV/0!</v>
      </c>
    </row>
    <row r="108" spans="1:14">
      <c r="A108" s="3435"/>
      <c r="B108" s="3437" t="s">
        <v>2794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436"/>
      <c r="B109" s="3438"/>
      <c r="C109" s="2338" t="e">
        <f>(-0.163*(C108^2)-0.59*C108+7617)*(10^(-4))/C101</f>
        <v>#DIV/0!</v>
      </c>
      <c r="D109" s="2338" t="e">
        <f>(-0.163*(D108^2)-0.59*D108+7617)*(10^(-4))/D101</f>
        <v>#DIV/0!</v>
      </c>
      <c r="E109" s="2338" t="e">
        <f>(-0.161*(E108^2)-7.509*E108+6533)*(10^(-4))/E101</f>
        <v>#DIV/0!</v>
      </c>
      <c r="F109" s="2338" t="e">
        <f>(-0.161*(F108^2)-7.509*F108+6533)*(10^(-4))/F101</f>
        <v>#DIV/0!</v>
      </c>
      <c r="G109" s="2338" t="e">
        <f>(-0.161*(G108^2)-7.509*G108+6533)*(10^(-4))/G101</f>
        <v>#DIV/0!</v>
      </c>
      <c r="H109" s="2338" t="e">
        <f>(-0.161*(H108^2)-7.509*H108+6533)*(10^(-4))/H101</f>
        <v>#DIV/0!</v>
      </c>
      <c r="I109" s="2338" t="e">
        <f>(-0.161*(I108^2)-7.509*I108+6533)*(10^(-4))/I101</f>
        <v>#DIV/0!</v>
      </c>
      <c r="J109" s="2338" t="e">
        <f>(-0.214*(J108^2)-21.991*J108+4665)*(10^(-4))/J101</f>
        <v>#DIV/0!</v>
      </c>
      <c r="K109" s="2338" t="e">
        <f>(-0.214*(K108^2)-21.991*K108+4665)*(10^(-4))/K101</f>
        <v>#DIV/0!</v>
      </c>
      <c r="L109" s="2338" t="e">
        <f>(-0.214*(L108^2)-21.991*L108+4665)*(10^(-4))/L101</f>
        <v>#DIV/0!</v>
      </c>
      <c r="M109" s="2338" t="e">
        <f>(-0.214*(M108^2)-21.991*M108+4665)*(10^(-4))/M101</f>
        <v>#DIV/0!</v>
      </c>
      <c r="N109" s="2338" t="e">
        <f>(-0.214*(N108^2)-21.991*N108+4665)*(10^(-4))/N101</f>
        <v>#DIV/0!</v>
      </c>
    </row>
    <row r="110" spans="1:14">
      <c r="A110" s="3432" t="s">
        <v>2795</v>
      </c>
      <c r="B110" s="3432"/>
      <c r="C110" s="3432"/>
      <c r="D110" s="3432"/>
      <c r="E110" s="3432"/>
      <c r="F110" s="3432"/>
      <c r="G110" s="3432"/>
      <c r="H110" s="3432"/>
      <c r="I110" s="3432"/>
      <c r="J110" s="3432"/>
      <c r="K110" s="2341"/>
      <c r="L110" s="2341"/>
      <c r="M110" s="2341"/>
      <c r="N110" s="2341"/>
    </row>
    <row r="112" spans="1:14" ht="13.5" thickBot="1"/>
    <row r="113" spans="1:13" ht="25.5" thickBot="1">
      <c r="A113" s="836" t="s">
        <v>2796</v>
      </c>
      <c r="B113" s="1189" t="e">
        <f>G3</f>
        <v>#DIV/0!</v>
      </c>
      <c r="C113" s="837" t="s">
        <v>2797</v>
      </c>
      <c r="D113" s="838" t="e">
        <f>SUMPRODUCT((A115:A118=F113)*(B114:M114=H113)*B115:M118)</f>
        <v>#DIV/0!</v>
      </c>
      <c r="E113" s="2177" t="s">
        <v>2632</v>
      </c>
      <c r="F113" s="2343" t="str">
        <f>E2</f>
        <v>商业</v>
      </c>
      <c r="G113" s="2177" t="s">
        <v>2633</v>
      </c>
      <c r="H113" s="2343" t="str">
        <f>G2</f>
        <v>六级</v>
      </c>
      <c r="I113" s="2177"/>
      <c r="J113" s="2344"/>
      <c r="K113" s="2344"/>
      <c r="L113" s="2344"/>
      <c r="M113" s="2344"/>
    </row>
    <row r="114" spans="1:13">
      <c r="A114" s="841"/>
      <c r="B114" s="2345" t="s">
        <v>2798</v>
      </c>
      <c r="C114" s="2345" t="s">
        <v>2799</v>
      </c>
      <c r="D114" s="2345" t="s">
        <v>2800</v>
      </c>
      <c r="E114" s="2346" t="s">
        <v>2801</v>
      </c>
      <c r="F114" s="2346" t="s">
        <v>2802</v>
      </c>
      <c r="G114" s="2346" t="s">
        <v>2803</v>
      </c>
      <c r="H114" s="2347" t="s">
        <v>2804</v>
      </c>
      <c r="I114" s="2347" t="s">
        <v>2805</v>
      </c>
      <c r="J114" s="2348" t="s">
        <v>2806</v>
      </c>
      <c r="K114" s="2348" t="s">
        <v>2807</v>
      </c>
      <c r="L114" s="2348" t="s">
        <v>2808</v>
      </c>
      <c r="M114" s="2349" t="s">
        <v>2809</v>
      </c>
    </row>
    <row r="115" spans="1:13">
      <c r="A115" s="842" t="s">
        <v>2696</v>
      </c>
      <c r="B115" s="843" t="e">
        <f>ROUND(0.9335-0.0094*B113,4)</f>
        <v>#DIV/0!</v>
      </c>
      <c r="C115" s="843" t="e">
        <f>B115</f>
        <v>#DIV/0!</v>
      </c>
      <c r="D115" s="843" t="e">
        <f>ROUND(0.8331-0.0109*B113,4)</f>
        <v>#DIV/0!</v>
      </c>
      <c r="E115" s="843" t="e">
        <f>D115</f>
        <v>#DIV/0!</v>
      </c>
      <c r="F115" s="843" t="e">
        <f>E115</f>
        <v>#DIV/0!</v>
      </c>
      <c r="G115" s="843" t="e">
        <f>F115</f>
        <v>#DIV/0!</v>
      </c>
      <c r="H115" s="843" t="e">
        <f>G115</f>
        <v>#DIV/0!</v>
      </c>
      <c r="I115" s="843" t="e">
        <f>ROUND(0.689-0.0155*B113,4)</f>
        <v>#DIV/0!</v>
      </c>
      <c r="J115" s="843" t="e">
        <f t="shared" ref="J115:M118" si="33">I115</f>
        <v>#DIV/0!</v>
      </c>
      <c r="K115" s="843" t="e">
        <f t="shared" si="33"/>
        <v>#DIV/0!</v>
      </c>
      <c r="L115" s="843" t="e">
        <f t="shared" si="33"/>
        <v>#DIV/0!</v>
      </c>
      <c r="M115" s="844" t="e">
        <f t="shared" si="33"/>
        <v>#DIV/0!</v>
      </c>
    </row>
    <row r="116" spans="1:13">
      <c r="A116" s="842" t="s">
        <v>2697</v>
      </c>
      <c r="B116" s="843" t="e">
        <f>ROUND(0.949-0.012*B113,4)</f>
        <v>#DIV/0!</v>
      </c>
      <c r="C116" s="843" t="e">
        <f>B116</f>
        <v>#DIV/0!</v>
      </c>
      <c r="D116" s="843" t="e">
        <f>ROUND(0.8567-0.013*B113,4)</f>
        <v>#DIV/0!</v>
      </c>
      <c r="E116" s="843" t="e">
        <f t="shared" ref="E116:H117" si="34">D116</f>
        <v>#DIV/0!</v>
      </c>
      <c r="F116" s="843" t="e">
        <f t="shared" si="34"/>
        <v>#DIV/0!</v>
      </c>
      <c r="G116" s="843" t="e">
        <f t="shared" si="34"/>
        <v>#DIV/0!</v>
      </c>
      <c r="H116" s="843" t="e">
        <f t="shared" si="34"/>
        <v>#DIV/0!</v>
      </c>
      <c r="I116" s="843" t="e">
        <f>ROUND(0.7694-0.014*B113,4)</f>
        <v>#DIV/0!</v>
      </c>
      <c r="J116" s="843" t="e">
        <f t="shared" si="33"/>
        <v>#DIV/0!</v>
      </c>
      <c r="K116" s="843" t="e">
        <f t="shared" si="33"/>
        <v>#DIV/0!</v>
      </c>
      <c r="L116" s="843" t="e">
        <f t="shared" si="33"/>
        <v>#DIV/0!</v>
      </c>
      <c r="M116" s="844" t="e">
        <f t="shared" si="33"/>
        <v>#DIV/0!</v>
      </c>
    </row>
    <row r="117" spans="1:13">
      <c r="A117" s="842" t="s">
        <v>2698</v>
      </c>
      <c r="B117" s="843" t="e">
        <f>ROUND(0.8808-0.006*B113,4)</f>
        <v>#DIV/0!</v>
      </c>
      <c r="C117" s="843" t="e">
        <f>B117</f>
        <v>#DIV/0!</v>
      </c>
      <c r="D117" s="843" t="e">
        <f>ROUND(0.8748-0.008*B113,4)</f>
        <v>#DIV/0!</v>
      </c>
      <c r="E117" s="843" t="e">
        <f t="shared" si="34"/>
        <v>#DIV/0!</v>
      </c>
      <c r="F117" s="843" t="e">
        <f t="shared" si="34"/>
        <v>#DIV/0!</v>
      </c>
      <c r="G117" s="843" t="e">
        <f t="shared" si="34"/>
        <v>#DIV/0!</v>
      </c>
      <c r="H117" s="843" t="e">
        <f t="shared" si="34"/>
        <v>#DIV/0!</v>
      </c>
      <c r="I117" s="843" t="e">
        <f>ROUND(0.7412-0.0095*B113,4)</f>
        <v>#DIV/0!</v>
      </c>
      <c r="J117" s="843" t="e">
        <f t="shared" si="33"/>
        <v>#DIV/0!</v>
      </c>
      <c r="K117" s="843" t="e">
        <f t="shared" si="33"/>
        <v>#DIV/0!</v>
      </c>
      <c r="L117" s="843" t="e">
        <f t="shared" si="33"/>
        <v>#DIV/0!</v>
      </c>
      <c r="M117" s="844" t="e">
        <f t="shared" si="33"/>
        <v>#DIV/0!</v>
      </c>
    </row>
    <row r="118" spans="1:13" ht="13.5" thickBot="1">
      <c r="A118" s="670" t="s">
        <v>2699</v>
      </c>
      <c r="B118" s="845" t="e">
        <f>ROUND(0.7275-0.01*B113,4)</f>
        <v>#DIV/0!</v>
      </c>
      <c r="C118" s="845" t="e">
        <f>B118</f>
        <v>#DIV/0!</v>
      </c>
      <c r="D118" s="845" t="e">
        <f>ROUND(0.7043-0.012*B113,4)</f>
        <v>#DIV/0!</v>
      </c>
      <c r="E118" s="845" t="e">
        <f>D118</f>
        <v>#DIV/0!</v>
      </c>
      <c r="F118" s="845" t="e">
        <f>E118</f>
        <v>#DIV/0!</v>
      </c>
      <c r="G118" s="845" t="e">
        <f>ROUND(0.6299-0.0122*B113,4)</f>
        <v>#DIV/0!</v>
      </c>
      <c r="H118" s="845" t="e">
        <f>G118</f>
        <v>#DIV/0!</v>
      </c>
      <c r="I118" s="845" t="e">
        <f>ROUND(0.5667-0.0136*B113,4)</f>
        <v>#DIV/0!</v>
      </c>
      <c r="J118" s="845" t="e">
        <f t="shared" si="33"/>
        <v>#DIV/0!</v>
      </c>
      <c r="K118" s="845" t="e">
        <f t="shared" si="33"/>
        <v>#DIV/0!</v>
      </c>
      <c r="L118" s="845" t="e">
        <f t="shared" si="33"/>
        <v>#DIV/0!</v>
      </c>
      <c r="M118" s="84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2" priority="5" stopIfTrue="1" operator="notEqual">
      <formula>"——"</formula>
    </cfRule>
  </conditionalFormatting>
  <conditionalFormatting sqref="F59">
    <cfRule type="cellIs" dxfId="181" priority="4" stopIfTrue="1" operator="notEqual">
      <formula>"——"</formula>
    </cfRule>
  </conditionalFormatting>
  <conditionalFormatting sqref="F70">
    <cfRule type="cellIs" dxfId="180" priority="3" stopIfTrue="1" operator="notEqual">
      <formula>"——"</formula>
    </cfRule>
  </conditionalFormatting>
  <conditionalFormatting sqref="F81">
    <cfRule type="cellIs" dxfId="179" priority="2" stopIfTrue="1" operator="notEqual">
      <formula>"——"</formula>
    </cfRule>
  </conditionalFormatting>
  <conditionalFormatting sqref="H48:H56 H59:H67 H70:H78 H81:H88">
    <cfRule type="cellIs" dxfId="17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4"/>
      <c r="C1" s="204"/>
      <c r="D1" s="204"/>
      <c r="E1" s="204"/>
      <c r="F1" s="204"/>
      <c r="G1" s="1280">
        <f>MATCH(B1,'数据-取费表'!A6:A16,0)+5</f>
        <v>8</v>
      </c>
    </row>
    <row r="2" spans="1:9" s="206" customFormat="1" ht="18" customHeight="1">
      <c r="A2" s="207" t="s">
        <v>2146</v>
      </c>
      <c r="B2" s="208">
        <f ca="1">IF(D2="——",C52,C52-E2)</f>
        <v>2672</v>
      </c>
      <c r="C2" s="205" t="s">
        <v>2147</v>
      </c>
      <c r="D2" s="2028" t="s">
        <v>70</v>
      </c>
      <c r="E2" s="1323" t="e">
        <f ca="1">SUMIF(INDIRECT("'"&amp;G2&amp;"'"&amp;"!A:A"),"承租人权益价值",INDIRECT("'"&amp;G2&amp;"'"&amp;"!c:c"))</f>
        <v>#REF!</v>
      </c>
      <c r="F2" s="2029" t="s">
        <v>2147</v>
      </c>
      <c r="G2" s="2030"/>
    </row>
    <row r="3" spans="1:9" s="206" customFormat="1" ht="18" customHeight="1" thickBot="1">
      <c r="A3" s="209" t="s">
        <v>2148</v>
      </c>
      <c r="B3" s="210">
        <f ca="1">ROUND(B2*10000/(IF(B1="",'数据-汇总表'!E3,INDIRECT("'数据-取费表'!k"&amp;$G$1))),0)</f>
        <v>26752</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1613</v>
      </c>
      <c r="D5" s="217" t="s">
        <v>2153</v>
      </c>
      <c r="E5" s="218" t="s">
        <v>2154</v>
      </c>
      <c r="F5" s="218" t="s">
        <v>2155</v>
      </c>
      <c r="G5" s="219"/>
    </row>
    <row r="6" spans="1:9" s="220" customFormat="1" ht="13.5" customHeight="1">
      <c r="A6" s="880" t="s">
        <v>2156</v>
      </c>
      <c r="B6" s="221" t="s">
        <v>2157</v>
      </c>
      <c r="C6" s="222">
        <f>'土地比较法-住宅、综合'!B2</f>
        <v>1546</v>
      </c>
      <c r="D6" s="223"/>
      <c r="E6" s="224"/>
      <c r="F6" s="224"/>
      <c r="G6" s="225"/>
    </row>
    <row r="7" spans="1:9" s="220" customFormat="1" ht="13.5" customHeight="1">
      <c r="A7" s="880" t="s">
        <v>2158</v>
      </c>
      <c r="B7" s="221" t="s">
        <v>2159</v>
      </c>
      <c r="C7" s="226">
        <f>ROUND(C6*F7,0)</f>
        <v>47</v>
      </c>
      <c r="D7" s="226"/>
      <c r="E7" s="224"/>
      <c r="F7" s="227">
        <f>IF(项目基本情况!B8="出让",0,'数据-取费表'!B48+'数据-取费表'!B49)</f>
        <v>3.0499999999999999E-2</v>
      </c>
      <c r="G7" s="225"/>
    </row>
    <row r="8" spans="1:9" s="229" customFormat="1">
      <c r="A8" s="880" t="s">
        <v>2160</v>
      </c>
      <c r="B8" s="221" t="s">
        <v>2161</v>
      </c>
      <c r="C8" s="226">
        <f ca="1">IF(G8="已包含在土地购买价格中","0",IF(B1="",'数据-取费表'!B29,IF(G9="全部缴纳",C9+C10,H9)))</f>
        <v>20</v>
      </c>
      <c r="D8" s="228"/>
      <c r="E8" s="226"/>
      <c r="F8" s="227"/>
      <c r="G8" s="2031" t="s">
        <v>3304</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2"/>
      <c r="H9" s="1291"/>
      <c r="I9" s="2033" t="s">
        <v>2163</v>
      </c>
    </row>
    <row r="10" spans="1:9" s="220" customFormat="1" ht="13.5" customHeight="1">
      <c r="A10" s="881" t="s">
        <v>801</v>
      </c>
      <c r="B10" s="230" t="s">
        <v>2164</v>
      </c>
      <c r="C10" s="231">
        <f ca="1">ROUND(D10*E10/10000,0)</f>
        <v>20</v>
      </c>
      <c r="D10" s="948">
        <f ca="1">IF(B1="",'数据-汇总表'!E6,IF(INDIRECT("'数据-取费表'!c"&amp;$G$1)="住宅",INDIRECT("'数据-取费表'!s"&amp;$G$1),INDIRECT("'数据-取费表'!k"&amp;$G$1)+INDIRECT("'数据-取费表'!s"&amp;$G$1)))</f>
        <v>998.81000000000006</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998.81000000000006</v>
      </c>
      <c r="E19" s="217">
        <f>'数据-取费表'!B31</f>
        <v>200</v>
      </c>
      <c r="F19" s="237"/>
      <c r="G19" s="2031" t="s">
        <v>3305</v>
      </c>
    </row>
    <row r="20" spans="1:7" s="220" customFormat="1" ht="13.5" customHeight="1">
      <c r="A20" s="261" t="s">
        <v>2177</v>
      </c>
      <c r="B20" s="216" t="s">
        <v>2178</v>
      </c>
      <c r="C20" s="238">
        <f ca="1">ROUND((C5+C19)*F20,0)</f>
        <v>32</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6">
        <f ca="1">ROUND(SUM(C23:C25),0)</f>
        <v>144</v>
      </c>
      <c r="D22" s="241">
        <f ca="1">C26</f>
        <v>8.9999999999999998E-4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7">
        <f ca="1">ROUND(IF('数据-取费表'!B22&lt;=1,C5*F22*'数据-取费表'!B23,C5*(POWER((1+F22),'数据-取费表'!B23)-1)),0)</f>
        <v>143</v>
      </c>
      <c r="D23" s="244"/>
      <c r="E23" s="244"/>
      <c r="F23" s="245"/>
      <c r="G23" s="246" t="s">
        <v>2188</v>
      </c>
    </row>
    <row r="24" spans="1:7" s="220" customFormat="1" ht="13.5" customHeight="1">
      <c r="A24" s="882" t="s">
        <v>2189</v>
      </c>
      <c r="B24" s="221" t="s">
        <v>2190</v>
      </c>
      <c r="C24" s="1257">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7">
        <f ca="1">ROUND(IF('数据-取费表'!B22&lt;=1,C20*F22*'数据-取费表'!B23/2,C20*(POWER((1+F22),'数据-取费表'!B23/2)-1)),0)</f>
        <v>1</v>
      </c>
      <c r="D25" s="244"/>
      <c r="E25" s="247"/>
      <c r="F25" s="245"/>
      <c r="G25" s="248" t="s">
        <v>2194</v>
      </c>
    </row>
    <row r="26" spans="1:7" s="220" customFormat="1">
      <c r="A26" s="882" t="s">
        <v>795</v>
      </c>
      <c r="B26" s="221" t="s">
        <v>2195</v>
      </c>
      <c r="C26" s="244">
        <f ca="1">ROUND(IF('数据-取费表'!B22&lt;=1,F21*F22*'数据-取费表'!B23/2,F21*(POWER((1+F22),'数据-取费表'!B23/2)-1)),4)</f>
        <v>8.9999999999999998E-4</v>
      </c>
      <c r="D26" s="244"/>
      <c r="E26" s="247"/>
      <c r="F26" s="245"/>
      <c r="G26" s="249"/>
    </row>
    <row r="27" spans="1:7" s="220" customFormat="1" ht="24.75">
      <c r="A27" s="261" t="s">
        <v>2196</v>
      </c>
      <c r="B27" s="250" t="s">
        <v>2197</v>
      </c>
      <c r="C27" s="251">
        <f ca="1">C28</f>
        <v>247</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ROUND((C5+C19+C20)*F27*'数据-取费表'!B21/'数据-取费表'!B20,0)</f>
        <v>247</v>
      </c>
      <c r="D28" s="241"/>
      <c r="E28" s="242"/>
      <c r="F28" s="252"/>
      <c r="G28" s="253"/>
    </row>
    <row r="29" spans="1:7" s="220" customFormat="1" ht="13.5" customHeight="1">
      <c r="A29" s="882" t="s">
        <v>792</v>
      </c>
      <c r="B29" s="254" t="s">
        <v>2201</v>
      </c>
      <c r="C29" s="244">
        <f ca="1">ROUND(C21*F27*'数据-取费表'!B21/'数据-取费表'!B20,4)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2206</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393</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350</v>
      </c>
      <c r="D34" s="223"/>
      <c r="E34" s="226"/>
      <c r="F34" s="263">
        <f ca="1">IF('数据-取费表'!B24=0,1,IF(B1="",'数据-取费表'!N16,INDIRECT("'数据-取费表'!n"&amp;$G$1)))</f>
        <v>1</v>
      </c>
      <c r="G34" s="225" t="s">
        <v>2210</v>
      </c>
    </row>
    <row r="35" spans="1:7" ht="13.5" customHeight="1">
      <c r="A35" s="882" t="s">
        <v>796</v>
      </c>
      <c r="B35" s="221" t="s">
        <v>2211</v>
      </c>
      <c r="C35" s="226">
        <f ca="1">ROUND(C34*F35,0)</f>
        <v>18</v>
      </c>
      <c r="D35" s="226"/>
      <c r="E35" s="226"/>
      <c r="F35" s="265">
        <f>'数据-取费表'!B33</f>
        <v>0.05</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20</v>
      </c>
      <c r="D37" s="223">
        <f ca="1">D19</f>
        <v>998.81000000000006</v>
      </c>
      <c r="E37" s="255">
        <f>'数据-取费表'!B35</f>
        <v>200</v>
      </c>
      <c r="F37" s="265"/>
      <c r="G37" s="267" t="s">
        <v>2216</v>
      </c>
    </row>
    <row r="38" spans="1:7" ht="13.5" customHeight="1">
      <c r="A38" s="882" t="s">
        <v>799</v>
      </c>
      <c r="B38" s="221" t="s">
        <v>2217</v>
      </c>
      <c r="C38" s="226">
        <f ca="1">ROUND(C34*F38,0)</f>
        <v>5</v>
      </c>
      <c r="D38" s="226"/>
      <c r="E38" s="226"/>
      <c r="F38" s="265">
        <f>'数据-取费表'!B36</f>
        <v>1.4999999999999999E-2</v>
      </c>
      <c r="G38" s="225" t="s">
        <v>2212</v>
      </c>
    </row>
    <row r="39" spans="1:7" s="220" customFormat="1" ht="13.5" customHeight="1">
      <c r="A39" s="261" t="s">
        <v>2218</v>
      </c>
      <c r="B39" s="216" t="s">
        <v>2219</v>
      </c>
      <c r="C39" s="238">
        <f ca="1">ROUND(C33*F20,0)</f>
        <v>8</v>
      </c>
      <c r="D39" s="238"/>
      <c r="E39" s="238"/>
      <c r="F39" s="2524">
        <f>F20</f>
        <v>0.02</v>
      </c>
      <c r="G39" s="240" t="s">
        <v>2220</v>
      </c>
    </row>
    <row r="40" spans="1:7" s="220" customFormat="1" ht="13.5" customHeight="1">
      <c r="A40" s="261" t="s">
        <v>2221</v>
      </c>
      <c r="B40" s="216" t="s">
        <v>2222</v>
      </c>
      <c r="C40" s="1486">
        <f>F21</f>
        <v>0.02</v>
      </c>
      <c r="D40" s="242" t="s">
        <v>2223</v>
      </c>
      <c r="E40" s="238"/>
      <c r="F40" s="2524">
        <f>F21</f>
        <v>0.02</v>
      </c>
      <c r="G40" s="240" t="s">
        <v>2224</v>
      </c>
    </row>
    <row r="41" spans="1:7" s="220" customFormat="1" ht="13.5" customHeight="1">
      <c r="A41" s="261" t="s">
        <v>2225</v>
      </c>
      <c r="B41" s="216" t="s">
        <v>2226</v>
      </c>
      <c r="C41" s="238">
        <f ca="1">ROUND(SUM(C42:C43),0)</f>
        <v>17</v>
      </c>
      <c r="D41" s="241">
        <f ca="1">C44</f>
        <v>8.9999999999999998E-4</v>
      </c>
      <c r="E41" s="242" t="s">
        <v>2223</v>
      </c>
      <c r="F41" s="2525">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17</v>
      </c>
      <c r="D42" s="244"/>
      <c r="E42" s="244"/>
      <c r="F42" s="245"/>
      <c r="G42" s="3455" t="s">
        <v>2228</v>
      </c>
    </row>
    <row r="43" spans="1:7" ht="13.5" customHeight="1">
      <c r="A43" s="882" t="s">
        <v>792</v>
      </c>
      <c r="B43" s="221" t="s">
        <v>2229</v>
      </c>
      <c r="C43" s="244">
        <f ca="1">ROUND(IF('数据-取费表'!B22&lt;=1,C39*F22*'数据-取费表'!B21/2,C39*(POWER((1+F22),'数据-取费表'!B21/2)-1)),0)</f>
        <v>0</v>
      </c>
      <c r="D43" s="244"/>
      <c r="E43" s="244"/>
      <c r="F43" s="245"/>
      <c r="G43" s="3456"/>
    </row>
    <row r="44" spans="1:7" ht="13.5" customHeight="1">
      <c r="A44" s="882" t="s">
        <v>793</v>
      </c>
      <c r="B44" s="221" t="s">
        <v>2230</v>
      </c>
      <c r="C44" s="244">
        <f ca="1">ROUND(IF('数据-取费表'!B22&lt;=1,C40*F22*'数据-取费表'!B21/2,C40*(POWER((1+F22),'数据-取费表'!B21/2)-1)),4)</f>
        <v>8.9999999999999998E-4</v>
      </c>
      <c r="D44" s="244"/>
      <c r="E44" s="244"/>
      <c r="F44" s="245"/>
      <c r="G44" s="3457"/>
    </row>
    <row r="45" spans="1:7" s="220" customFormat="1" ht="13.5" customHeight="1">
      <c r="A45" s="261" t="s">
        <v>2231</v>
      </c>
      <c r="B45" s="250" t="s">
        <v>2197</v>
      </c>
      <c r="C45" s="251">
        <f ca="1">C46</f>
        <v>60</v>
      </c>
      <c r="D45" s="241">
        <f ca="1">C47</f>
        <v>3.0000000000000001E-3</v>
      </c>
      <c r="E45" s="242" t="s">
        <v>2223</v>
      </c>
      <c r="F45" s="2526">
        <f ca="1">F27</f>
        <v>0.15</v>
      </c>
      <c r="G45" s="253" t="s">
        <v>2232</v>
      </c>
    </row>
    <row r="46" spans="1:7" s="220" customFormat="1" ht="13.5" customHeight="1">
      <c r="A46" s="882" t="s">
        <v>791</v>
      </c>
      <c r="B46" s="254" t="s">
        <v>2233</v>
      </c>
      <c r="C46" s="255">
        <f ca="1">ROUND((C33+C39)*F27,0)</f>
        <v>60</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1486">
        <f>ROUND(F30/(1+'数据-取费表'!C42),4)</f>
        <v>5.33E-2</v>
      </c>
      <c r="D48" s="242" t="s">
        <v>2223</v>
      </c>
      <c r="E48" s="238"/>
      <c r="F48" s="2525">
        <f>F30</f>
        <v>5.6000000000000001E-2</v>
      </c>
      <c r="G48" s="240" t="s">
        <v>2236</v>
      </c>
    </row>
    <row r="49" spans="1:7" ht="16.5" customHeight="1">
      <c r="A49" s="261" t="s">
        <v>2202</v>
      </c>
      <c r="B49" s="216" t="s">
        <v>2237</v>
      </c>
      <c r="C49" s="238">
        <f ca="1">ROUND((C33+C39+C41+C45)/(1-C40-D41-D45-C48),0)</f>
        <v>518</v>
      </c>
      <c r="D49" s="238"/>
      <c r="E49" s="238"/>
      <c r="F49" s="270"/>
      <c r="G49" s="240" t="s">
        <v>2238</v>
      </c>
    </row>
    <row r="50" spans="1:7" s="264" customFormat="1" ht="24">
      <c r="A50" s="261" t="s">
        <v>2239</v>
      </c>
      <c r="B50" s="216" t="s">
        <v>2240</v>
      </c>
      <c r="C50" s="238"/>
      <c r="D50" s="238"/>
      <c r="E50" s="238"/>
      <c r="F50" s="270">
        <f>IF('数据-取费表'!B24=0,'数据-取费表'!N16,1)</f>
        <v>0.9</v>
      </c>
      <c r="G50" s="253" t="s">
        <v>2241</v>
      </c>
    </row>
    <row r="51" spans="1:7" ht="16.5" customHeight="1">
      <c r="A51" s="261" t="s">
        <v>2242</v>
      </c>
      <c r="B51" s="216" t="s">
        <v>2243</v>
      </c>
      <c r="C51" s="238">
        <f ca="1">ROUND(C49*F50,0)</f>
        <v>466</v>
      </c>
      <c r="D51" s="238"/>
      <c r="E51" s="238"/>
      <c r="F51" s="270"/>
      <c r="G51" s="240" t="s">
        <v>2244</v>
      </c>
    </row>
    <row r="52" spans="1:7" s="214" customFormat="1" ht="16.5" thickBot="1">
      <c r="A52" s="271" t="s">
        <v>2245</v>
      </c>
      <c r="B52" s="272"/>
      <c r="C52" s="273">
        <f ca="1">C31+C51</f>
        <v>2672</v>
      </c>
      <c r="D52" s="272"/>
      <c r="E52" s="272"/>
      <c r="F52" s="272"/>
      <c r="G52" s="274"/>
    </row>
    <row r="55" spans="1:7" ht="15">
      <c r="B55" s="276" t="s">
        <v>2246</v>
      </c>
      <c r="C55" s="277"/>
    </row>
    <row r="56" spans="1:7">
      <c r="B56" s="279" t="s">
        <v>1478</v>
      </c>
      <c r="C56" s="281">
        <f ca="1">1-C57</f>
        <v>0.82600000000000007</v>
      </c>
    </row>
    <row r="57" spans="1:7">
      <c r="B57" s="279" t="s">
        <v>1479</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4"/>
      <c r="C1" s="2034" t="s">
        <v>2247</v>
      </c>
      <c r="D1" s="204"/>
      <c r="E1" s="204"/>
      <c r="F1" s="204"/>
      <c r="G1" s="1280">
        <f>MATCH(B1,'数据-取费表'!A6:A16,0)+5</f>
        <v>8</v>
      </c>
      <c r="H1" s="1184" t="str">
        <f>IF(ISERROR(FIND("住宅",B1)),"非住宅","住宅")</f>
        <v>非住宅</v>
      </c>
    </row>
    <row r="2" spans="1:8" s="206" customFormat="1" ht="18" customHeight="1">
      <c r="A2" s="207" t="s">
        <v>2146</v>
      </c>
      <c r="B2" s="208">
        <f ca="1">ROUND(IF(D2="——",C52/10000,C52/10000-E2),0)</f>
        <v>520</v>
      </c>
      <c r="C2" s="205" t="s">
        <v>2147</v>
      </c>
      <c r="D2" s="2028" t="s">
        <v>70</v>
      </c>
      <c r="E2" s="1323" t="e">
        <f ca="1">SUMIF(INDIRECT("'"&amp;G2&amp;"'"&amp;"!A:A"),"承租人权益价值",INDIRECT("'"&amp;G2&amp;"'"&amp;"!c:c"))</f>
        <v>#REF!</v>
      </c>
      <c r="F2" s="2029" t="s">
        <v>2147</v>
      </c>
      <c r="G2" s="2030"/>
    </row>
    <row r="3" spans="1:8" s="206" customFormat="1" ht="18" customHeight="1" thickBot="1">
      <c r="A3" s="209" t="s">
        <v>2148</v>
      </c>
      <c r="B3" s="210">
        <f ca="1">ROUND(B2*10000/(IF(B1="",'数据-汇总表'!E3,INDIRECT("'数据-取费表'!k"&amp;$G$1))),0)</f>
        <v>5206</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199762</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199762</v>
      </c>
      <c r="D8" s="228"/>
      <c r="E8" s="226"/>
      <c r="F8" s="227"/>
      <c r="G8" s="2031"/>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199762</v>
      </c>
      <c r="D10" s="948">
        <f ca="1">IF(B1="",'数据-汇总表'!E6,IF(INDIRECT("'数据-取费表'!c"&amp;$G$1)="住宅",INDIRECT("'数据-取费表'!s"&amp;$G$1),INDIRECT("'数据-取费表'!k"&amp;$G$1)+INDIRECT("'数据-取费表'!s"&amp;$G$1)))</f>
        <v>998.81000000000006</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199762</v>
      </c>
      <c r="D19" s="952">
        <f ca="1">D9+D10</f>
        <v>998.81000000000006</v>
      </c>
      <c r="E19" s="217">
        <f>'数据-取费表'!B31</f>
        <v>200</v>
      </c>
      <c r="F19" s="237"/>
      <c r="G19" s="2031"/>
    </row>
    <row r="20" spans="1:7" s="220" customFormat="1" ht="13.5" customHeight="1">
      <c r="A20" s="261" t="s">
        <v>2258</v>
      </c>
      <c r="B20" s="216" t="s">
        <v>2259</v>
      </c>
      <c r="C20" s="238">
        <f ca="1">ROUND((C5+C19)*F20,0)</f>
        <v>7990</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1">
        <f ca="1">ROUND(SUM(C23:C25),0)</f>
        <v>35862</v>
      </c>
      <c r="D22" s="241">
        <f ca="1">C26</f>
        <v>8.9999999999999998E-4</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2">
        <f ca="1">ROUND(IF('数据-取费表'!B22&lt;=1,C5*F22*'数据-取费表'!B22,C5*(POWER((1+F22),'数据-取费表'!B22)-1)),0)</f>
        <v>17757</v>
      </c>
      <c r="D23" s="244"/>
      <c r="E23" s="244"/>
      <c r="F23" s="245"/>
      <c r="G23" s="246" t="s">
        <v>2268</v>
      </c>
    </row>
    <row r="24" spans="1:7" s="220" customFormat="1" ht="13.5" customHeight="1">
      <c r="A24" s="882" t="s">
        <v>2158</v>
      </c>
      <c r="B24" s="221" t="s">
        <v>2269</v>
      </c>
      <c r="C24" s="1282">
        <f ca="1">ROUND(IF('数据-取费表'!B22&lt;=1,C19*F22*('数据-取费表'!B19/2+'数据-取费表'!B20),C19*(POWER((1+F22),('数据-取费表'!B19/2+'数据-取费表'!B20))-1)),0)</f>
        <v>17757</v>
      </c>
      <c r="D24" s="244"/>
      <c r="E24" s="244"/>
      <c r="F24" s="245"/>
      <c r="G24" s="246" t="s">
        <v>2270</v>
      </c>
    </row>
    <row r="25" spans="1:7" s="220" customFormat="1" ht="24">
      <c r="A25" s="882" t="s">
        <v>2160</v>
      </c>
      <c r="B25" s="221" t="s">
        <v>2271</v>
      </c>
      <c r="C25" s="1282">
        <f ca="1">ROUND(IF('数据-取费表'!B22&lt;=1,C20*F22*'数据-取费表'!B22/2,C20*(POWER((1+F22),'数据-取费表'!B22/2)-1)),0)</f>
        <v>348</v>
      </c>
      <c r="D25" s="244"/>
      <c r="E25" s="247"/>
      <c r="F25" s="245"/>
      <c r="G25" s="248" t="s">
        <v>2272</v>
      </c>
    </row>
    <row r="26" spans="1:7" s="220" customFormat="1">
      <c r="A26" s="882" t="s">
        <v>795</v>
      </c>
      <c r="B26" s="221" t="s">
        <v>2195</v>
      </c>
      <c r="C26" s="244">
        <f ca="1">ROUND(IF('数据-取费表'!B22&lt;=1,F21*F22*'数据-取费表'!B22/2,F21*(POWER((1+F22),'数据-取费表'!B22/2)-1)),4)</f>
        <v>8.9999999999999998E-4</v>
      </c>
      <c r="D26" s="244"/>
      <c r="E26" s="247"/>
      <c r="F26" s="245"/>
      <c r="G26" s="249"/>
    </row>
    <row r="27" spans="1:7" s="220" customFormat="1" ht="24.75">
      <c r="A27" s="261" t="s">
        <v>2196</v>
      </c>
      <c r="B27" s="250" t="s">
        <v>2197</v>
      </c>
      <c r="C27" s="251">
        <f ca="1">C28</f>
        <v>61127</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ROUND((C5+C19+C20)*F27,0)</f>
        <v>61127</v>
      </c>
      <c r="D28" s="241"/>
      <c r="E28" s="242"/>
      <c r="F28" s="252"/>
      <c r="G28" s="253"/>
    </row>
    <row r="29" spans="1:7" s="220" customFormat="1" ht="13.5" customHeight="1">
      <c r="A29" s="882" t="s">
        <v>792</v>
      </c>
      <c r="B29" s="254" t="s">
        <v>2201</v>
      </c>
      <c r="C29" s="244">
        <f ca="1">ROUND(C21*F27,4)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546709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3922827</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3495835</v>
      </c>
      <c r="D34" s="223"/>
      <c r="E34" s="226"/>
      <c r="F34" s="263"/>
      <c r="G34" s="225"/>
    </row>
    <row r="35" spans="1:7" ht="13.5" customHeight="1">
      <c r="A35" s="882" t="s">
        <v>796</v>
      </c>
      <c r="B35" s="221" t="s">
        <v>2211</v>
      </c>
      <c r="C35" s="226">
        <f ca="1">ROUND(C34*F35,0)</f>
        <v>174792</v>
      </c>
      <c r="D35" s="226"/>
      <c r="E35" s="226"/>
      <c r="F35" s="265">
        <f>'数据-取费表'!B33</f>
        <v>0.05</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199762</v>
      </c>
      <c r="D37" s="223">
        <f ca="1">D19</f>
        <v>998.81000000000006</v>
      </c>
      <c r="E37" s="255">
        <f>'数据-取费表'!B35</f>
        <v>200</v>
      </c>
      <c r="F37" s="265"/>
      <c r="G37" s="267"/>
    </row>
    <row r="38" spans="1:7" ht="13.5" customHeight="1">
      <c r="A38" s="882" t="s">
        <v>799</v>
      </c>
      <c r="B38" s="221" t="s">
        <v>2217</v>
      </c>
      <c r="C38" s="226">
        <f ca="1">ROUND(C34*F38,0)</f>
        <v>52438</v>
      </c>
      <c r="D38" s="226"/>
      <c r="E38" s="226"/>
      <c r="F38" s="265">
        <f>'数据-取费表'!B36</f>
        <v>1.4999999999999999E-2</v>
      </c>
      <c r="G38" s="225" t="s">
        <v>2212</v>
      </c>
    </row>
    <row r="39" spans="1:7" s="220" customFormat="1" ht="13.5" customHeight="1">
      <c r="A39" s="261" t="s">
        <v>2218</v>
      </c>
      <c r="B39" s="216" t="s">
        <v>2219</v>
      </c>
      <c r="C39" s="238">
        <f ca="1">ROUND(C33*F20,0)</f>
        <v>78457</v>
      </c>
      <c r="D39" s="238"/>
      <c r="E39" s="238"/>
      <c r="F39" s="2524">
        <f>F20</f>
        <v>0.02</v>
      </c>
      <c r="G39" s="240" t="s">
        <v>2220</v>
      </c>
    </row>
    <row r="40" spans="1:7" s="220" customFormat="1" ht="13.5" customHeight="1">
      <c r="A40" s="261" t="s">
        <v>2221</v>
      </c>
      <c r="B40" s="216" t="s">
        <v>2222</v>
      </c>
      <c r="C40" s="1486">
        <f>F21</f>
        <v>0.02</v>
      </c>
      <c r="D40" s="242" t="s">
        <v>2223</v>
      </c>
      <c r="E40" s="238"/>
      <c r="F40" s="2524">
        <f>F21</f>
        <v>0.02</v>
      </c>
      <c r="G40" s="240" t="s">
        <v>2224</v>
      </c>
    </row>
    <row r="41" spans="1:7" s="220" customFormat="1" ht="13.5" customHeight="1">
      <c r="A41" s="261" t="s">
        <v>2225</v>
      </c>
      <c r="B41" s="216" t="s">
        <v>2226</v>
      </c>
      <c r="C41" s="238">
        <f ca="1">ROUND(SUM(C42:C43),0)</f>
        <v>174056</v>
      </c>
      <c r="D41" s="241">
        <f ca="1">C44</f>
        <v>8.9999999999999998E-4</v>
      </c>
      <c r="E41" s="242" t="s">
        <v>2223</v>
      </c>
      <c r="F41" s="2525">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170643</v>
      </c>
      <c r="D42" s="244"/>
      <c r="E42" s="244"/>
      <c r="F42" s="245"/>
      <c r="G42" s="3455" t="s">
        <v>2275</v>
      </c>
    </row>
    <row r="43" spans="1:7" ht="13.5" customHeight="1">
      <c r="A43" s="882" t="s">
        <v>792</v>
      </c>
      <c r="B43" s="221" t="s">
        <v>2229</v>
      </c>
      <c r="C43" s="244">
        <f ca="1">ROUND(IF('数据-取费表'!B22&lt;=1,C39*F22*'数据-取费表'!B20/2,C39*(POWER((1+F22),'数据-取费表'!B20/2)-1)),0)</f>
        <v>3413</v>
      </c>
      <c r="D43" s="244"/>
      <c r="E43" s="244"/>
      <c r="F43" s="245"/>
      <c r="G43" s="3456"/>
    </row>
    <row r="44" spans="1:7" ht="13.5" customHeight="1">
      <c r="A44" s="882" t="s">
        <v>793</v>
      </c>
      <c r="B44" s="221" t="s">
        <v>2230</v>
      </c>
      <c r="C44" s="244">
        <f ca="1">ROUND(IF('数据-取费表'!B22&lt;=1,C40*F22*'数据-取费表'!B20/2,C40*(POWER((1+F22),'数据-取费表'!B20/2)-1)),4)</f>
        <v>8.9999999999999998E-4</v>
      </c>
      <c r="D44" s="244"/>
      <c r="E44" s="244"/>
      <c r="F44" s="245"/>
      <c r="G44" s="3457"/>
    </row>
    <row r="45" spans="1:7" s="220" customFormat="1" ht="13.5" customHeight="1">
      <c r="A45" s="261" t="s">
        <v>2231</v>
      </c>
      <c r="B45" s="250" t="s">
        <v>2197</v>
      </c>
      <c r="C45" s="251">
        <f ca="1">C46</f>
        <v>600193</v>
      </c>
      <c r="D45" s="241">
        <f ca="1">C47</f>
        <v>3.0000000000000001E-3</v>
      </c>
      <c r="E45" s="242" t="s">
        <v>2223</v>
      </c>
      <c r="F45" s="2526">
        <f ca="1">F27</f>
        <v>0.15</v>
      </c>
      <c r="G45" s="253" t="s">
        <v>2232</v>
      </c>
    </row>
    <row r="46" spans="1:7" s="220" customFormat="1" ht="13.5" customHeight="1">
      <c r="A46" s="882" t="s">
        <v>791</v>
      </c>
      <c r="B46" s="254" t="s">
        <v>2233</v>
      </c>
      <c r="C46" s="255">
        <f ca="1">ROUND((C33+C39)*F27,0)</f>
        <v>600193</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268">
        <f>ROUND(F30/(1+'数据-取费表'!C42),4)</f>
        <v>5.33E-2</v>
      </c>
      <c r="D48" s="242" t="s">
        <v>2223</v>
      </c>
      <c r="E48" s="238"/>
      <c r="F48" s="2525">
        <f>F30</f>
        <v>5.6000000000000001E-2</v>
      </c>
      <c r="G48" s="240" t="s">
        <v>2236</v>
      </c>
    </row>
    <row r="49" spans="1:7" ht="16.5" customHeight="1">
      <c r="A49" s="261" t="s">
        <v>2202</v>
      </c>
      <c r="B49" s="216" t="s">
        <v>2276</v>
      </c>
      <c r="C49" s="238">
        <f ca="1">ROUND((C33+C39+C41+C45)/(1-C40-D41-D45-C48),0)</f>
        <v>5175047</v>
      </c>
      <c r="D49" s="238"/>
      <c r="E49" s="238"/>
      <c r="F49" s="270"/>
      <c r="G49" s="240" t="s">
        <v>2238</v>
      </c>
    </row>
    <row r="50" spans="1:7" s="264" customFormat="1">
      <c r="A50" s="261" t="s">
        <v>2239</v>
      </c>
      <c r="B50" s="216" t="s">
        <v>2240</v>
      </c>
      <c r="C50" s="238"/>
      <c r="D50" s="238"/>
      <c r="E50" s="238"/>
      <c r="F50" s="270">
        <f>IF('数据-取费表'!B24=0,'数据-取费表'!N16,1)</f>
        <v>0.9</v>
      </c>
      <c r="G50" s="253"/>
    </row>
    <row r="51" spans="1:7" ht="16.5" customHeight="1">
      <c r="A51" s="261" t="s">
        <v>2242</v>
      </c>
      <c r="B51" s="216" t="s">
        <v>2277</v>
      </c>
      <c r="C51" s="238">
        <f ca="1">ROUND(C49*F50,0)</f>
        <v>4657542</v>
      </c>
      <c r="D51" s="238"/>
      <c r="E51" s="238"/>
      <c r="F51" s="270"/>
      <c r="G51" s="240" t="s">
        <v>2244</v>
      </c>
    </row>
    <row r="52" spans="1:7" s="214" customFormat="1" ht="16.5" thickBot="1">
      <c r="A52" s="271" t="s">
        <v>2245</v>
      </c>
      <c r="B52" s="272"/>
      <c r="C52" s="273">
        <f ca="1">C31+C51</f>
        <v>5204251</v>
      </c>
      <c r="D52" s="272"/>
      <c r="E52" s="272"/>
      <c r="F52" s="272"/>
      <c r="G52" s="274"/>
    </row>
    <row r="55" spans="1:7" ht="15">
      <c r="B55" s="276" t="s">
        <v>2246</v>
      </c>
      <c r="C55" s="277"/>
    </row>
    <row r="56" spans="1:7">
      <c r="B56" s="279" t="s">
        <v>1478</v>
      </c>
      <c r="C56" s="281">
        <f ca="1">1-C57</f>
        <v>0.10499999999999998</v>
      </c>
    </row>
    <row r="57" spans="1:7">
      <c r="B57" s="279" t="s">
        <v>1479</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4"/>
      <c r="C1" s="1345"/>
      <c r="D1" s="1343"/>
      <c r="E1" s="3024"/>
      <c r="F1" s="3024"/>
      <c r="G1" s="2887"/>
      <c r="H1" s="3024"/>
      <c r="I1" s="3024"/>
      <c r="J1" s="3024"/>
      <c r="K1" s="3025">
        <f>MATCH(C1,'数据-取费表'!A6:A16,0)+5</f>
        <v>8</v>
      </c>
    </row>
    <row r="2" spans="1:33" ht="18" customHeight="1">
      <c r="A2" s="207" t="s">
        <v>2146</v>
      </c>
      <c r="B2" s="210">
        <f ca="1">C32</f>
        <v>0</v>
      </c>
      <c r="C2" s="282" t="s">
        <v>2279</v>
      </c>
      <c r="D2" s="282"/>
      <c r="E2" s="3024"/>
      <c r="F2" s="3024"/>
      <c r="G2" s="3024"/>
      <c r="H2" s="3024"/>
      <c r="I2" s="3024"/>
      <c r="J2" s="3024"/>
      <c r="K2" s="3024"/>
    </row>
    <row r="3" spans="1:33" ht="18" customHeight="1" thickBot="1">
      <c r="A3" s="209" t="s">
        <v>2148</v>
      </c>
      <c r="B3" s="210">
        <f ca="1">ROUND(B2*10000/IF(C1="",'数据-汇总表'!E3,INDIRECT("'数据-取费表'!K"&amp;$K$1)),0)</f>
        <v>0</v>
      </c>
      <c r="C3" s="282" t="s">
        <v>2280</v>
      </c>
      <c r="D3" s="282"/>
      <c r="E3" s="3024"/>
      <c r="F3" s="3024"/>
      <c r="G3" s="3024"/>
      <c r="H3" s="3024"/>
      <c r="I3" s="3024"/>
      <c r="J3" s="3024"/>
      <c r="K3" s="3024"/>
    </row>
    <row r="4" spans="1:33" s="887" customFormat="1" ht="16.5" customHeight="1">
      <c r="A4" s="884" t="s">
        <v>2281</v>
      </c>
      <c r="B4" s="885"/>
      <c r="C4" s="927">
        <f>SUM(C8:K8)</f>
        <v>0</v>
      </c>
      <c r="D4" s="885"/>
      <c r="E4" s="885"/>
      <c r="F4" s="885"/>
      <c r="G4" s="885"/>
      <c r="H4" s="885"/>
      <c r="I4" s="885"/>
      <c r="J4" s="885"/>
      <c r="K4" s="886"/>
    </row>
    <row r="5" spans="1:33" s="891" customFormat="1" ht="24.75">
      <c r="A5" s="888" t="s">
        <v>2282</v>
      </c>
      <c r="B5" s="889" t="s">
        <v>2283</v>
      </c>
      <c r="C5" s="2035" t="s">
        <v>2284</v>
      </c>
      <c r="D5" s="2035" t="s">
        <v>2285</v>
      </c>
      <c r="E5" s="2035" t="s">
        <v>2286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2290</v>
      </c>
      <c r="B8" s="169" t="s">
        <v>2291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2292</v>
      </c>
      <c r="B9" s="885"/>
      <c r="C9" s="885"/>
      <c r="D9" s="885"/>
      <c r="E9" s="885"/>
      <c r="F9" s="885"/>
      <c r="G9" s="885"/>
      <c r="H9" s="885"/>
      <c r="I9" s="885"/>
      <c r="J9" s="885"/>
      <c r="K9" s="886"/>
    </row>
    <row r="10" spans="1:33" s="901" customFormat="1" ht="13.5" customHeight="1">
      <c r="A10" s="888" t="s">
        <v>2293</v>
      </c>
      <c r="B10" s="8" t="s">
        <v>2294</v>
      </c>
      <c r="C10" s="897" t="s">
        <v>2295</v>
      </c>
      <c r="D10" s="898" t="s">
        <v>2296</v>
      </c>
      <c r="E10" s="898" t="s">
        <v>2297</v>
      </c>
      <c r="F10" s="898" t="s">
        <v>2298</v>
      </c>
      <c r="G10" s="8"/>
      <c r="H10" s="899"/>
      <c r="I10" s="899"/>
      <c r="J10" s="899"/>
      <c r="K10" s="900"/>
    </row>
    <row r="11" spans="1:33" s="906" customFormat="1" ht="13.5" customHeight="1">
      <c r="A11" s="902" t="s">
        <v>1300</v>
      </c>
      <c r="B11" s="903" t="s">
        <v>2299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2300</v>
      </c>
      <c r="C12" s="24">
        <f ca="1">ROUND(C11*F12,0)</f>
        <v>0</v>
      </c>
      <c r="D12" s="904"/>
      <c r="E12" s="335"/>
      <c r="F12" s="907">
        <f>'数据-取费表'!B33</f>
        <v>0.05</v>
      </c>
      <c r="G12" s="8" t="s">
        <v>2301</v>
      </c>
      <c r="H12" s="899"/>
      <c r="I12" s="899"/>
      <c r="J12" s="899"/>
      <c r="K12" s="900"/>
    </row>
    <row r="13" spans="1:33" s="906" customFormat="1" ht="13.5" customHeight="1">
      <c r="A13" s="902" t="s">
        <v>1302</v>
      </c>
      <c r="B13" s="903" t="s">
        <v>2302</v>
      </c>
      <c r="C13" s="24">
        <f ca="1">ROUND(IF(C1="",SUMIF('数据-取费表'!C:C,"住宅",'数据-取费表'!P:P)*F13,IF(INDIRECT("'数据-取费表'!c"&amp;$K$1)="住宅",INDIRECT("'数据-取费表'!P"&amp;$K$1)*F13,0)),0)</f>
        <v>0</v>
      </c>
      <c r="D13" s="949"/>
      <c r="E13" s="335"/>
      <c r="F13" s="907">
        <f>'数据-取费表'!B34</f>
        <v>0</v>
      </c>
      <c r="G13" s="8" t="s">
        <v>2303</v>
      </c>
      <c r="H13" s="899"/>
      <c r="I13" s="899"/>
      <c r="J13" s="899"/>
      <c r="K13" s="900"/>
    </row>
    <row r="14" spans="1:33" s="908" customFormat="1" ht="13.5" customHeight="1">
      <c r="A14" s="902" t="s">
        <v>1303</v>
      </c>
      <c r="B14" s="903" t="s">
        <v>2304</v>
      </c>
      <c r="C14" s="24">
        <f ca="1">ROUND(D14*E14*F11/10000,0)</f>
        <v>0</v>
      </c>
      <c r="D14" s="949">
        <f ca="1">IF(C1="",'数据-汇总表'!E3,INDIRECT("'数据-取费表'!K"&amp;$K$1)+INDIRECT("'数据-取费表'!S"&amp;$K$1))</f>
        <v>998.81000000000006</v>
      </c>
      <c r="E14" s="24">
        <f>'数据-取费表'!B35</f>
        <v>200</v>
      </c>
      <c r="F14" s="907"/>
      <c r="G14" s="8" t="s">
        <v>2305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2306</v>
      </c>
      <c r="C15" s="914">
        <f ca="1">ROUND(C11*F15,0)</f>
        <v>0</v>
      </c>
      <c r="D15" s="909"/>
      <c r="E15" s="914"/>
      <c r="F15" s="915">
        <f>'数据-取费表'!B36</f>
        <v>1.4999999999999999E-2</v>
      </c>
      <c r="G15" s="136" t="s">
        <v>2307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2308</v>
      </c>
      <c r="C16" s="914">
        <f ca="1">SUM(C11:C15)</f>
        <v>0</v>
      </c>
      <c r="D16" s="909"/>
      <c r="E16" s="914"/>
      <c r="F16" s="915"/>
      <c r="G16" s="136"/>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2309</v>
      </c>
      <c r="C17" s="24">
        <f ca="1">ROUND(D17*E17/10000,0)</f>
        <v>0</v>
      </c>
      <c r="D17" s="949">
        <f ca="1">D14</f>
        <v>998.81000000000006</v>
      </c>
      <c r="E17" s="24">
        <f>'数据-取费表'!B32</f>
        <v>0</v>
      </c>
      <c r="F17" s="909"/>
      <c r="G17" s="136" t="s">
        <v>2310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2311</v>
      </c>
      <c r="C18" s="24">
        <f ca="1">C19+C20-IF(C1="",'数据-取费表'!B29,IF(G18="已全部缴纳",C19+C20,H18))</f>
        <v>0</v>
      </c>
      <c r="D18" s="949"/>
      <c r="E18" s="24"/>
      <c r="F18" s="907"/>
      <c r="G18" s="2037"/>
      <c r="H18" s="1340"/>
      <c r="I18" s="2038" t="s">
        <v>2312</v>
      </c>
      <c r="J18" s="910"/>
      <c r="K18" s="911"/>
    </row>
    <row r="19" spans="1:33" s="906" customFormat="1" ht="13.5" customHeight="1">
      <c r="A19" s="902" t="s">
        <v>805</v>
      </c>
      <c r="B19" s="903" t="s">
        <v>2313</v>
      </c>
      <c r="C19" s="24">
        <f ca="1">ROUND(D19*E19/10000,0)</f>
        <v>0</v>
      </c>
      <c r="D19" s="949">
        <f ca="1">IF(C1="",'数据-汇总表'!E5,IF(INDIRECT("'数据-取费表'!c"&amp;$K$1)="住宅",INDIRECT("'数据-取费表'!k"&amp;$K$1),0))</f>
        <v>0</v>
      </c>
      <c r="E19" s="24">
        <f>'数据-取费表'!B27</f>
        <v>160</v>
      </c>
      <c r="F19" s="907"/>
      <c r="G19" s="15"/>
      <c r="H19" s="1342"/>
      <c r="I19" s="912"/>
      <c r="J19" s="912"/>
      <c r="K19" s="913"/>
    </row>
    <row r="20" spans="1:33" s="906" customFormat="1" ht="13.5" customHeight="1">
      <c r="A20" s="902" t="s">
        <v>806</v>
      </c>
      <c r="B20" s="903" t="s">
        <v>2314</v>
      </c>
      <c r="C20" s="24">
        <f ca="1">ROUND(D20*E20/10000,0)</f>
        <v>20</v>
      </c>
      <c r="D20" s="949">
        <f ca="1">IF(C1="",'数据-汇总表'!E6,IF(INDIRECT("'数据-取费表'!c"&amp;$K$1)="住宅",INDIRECT("'数据-取费表'!s"&amp;$K$1),INDIRECT("'数据-取费表'!k"&amp;$K$1)+INDIRECT("'数据-取费表'!s"&amp;$K$1)))</f>
        <v>998.81000000000006</v>
      </c>
      <c r="E20" s="24">
        <f>'数据-取费表'!B28</f>
        <v>200</v>
      </c>
      <c r="F20" s="907"/>
      <c r="G20" s="15"/>
      <c r="H20" s="912"/>
      <c r="I20" s="912"/>
      <c r="J20" s="912"/>
      <c r="K20" s="913"/>
    </row>
    <row r="21" spans="1:33" s="906" customFormat="1" ht="13.5" customHeight="1">
      <c r="A21" s="892" t="s">
        <v>802</v>
      </c>
      <c r="B21" s="916" t="s">
        <v>2315</v>
      </c>
      <c r="C21" s="917">
        <f ca="1">C16+C17+C18</f>
        <v>0</v>
      </c>
      <c r="D21" s="918"/>
      <c r="E21" s="287"/>
      <c r="F21" s="287"/>
      <c r="G21" s="136" t="s">
        <v>2316</v>
      </c>
      <c r="H21" s="910"/>
      <c r="I21" s="910"/>
      <c r="J21" s="910"/>
      <c r="K21" s="911"/>
    </row>
    <row r="22" spans="1:33" s="906" customFormat="1" ht="13.5" customHeight="1">
      <c r="A22" s="892" t="s">
        <v>2288</v>
      </c>
      <c r="B22" s="916" t="s">
        <v>2317</v>
      </c>
      <c r="C22" s="917">
        <f ca="1">ROUND(C21*F22,0)</f>
        <v>0</v>
      </c>
      <c r="D22" s="287"/>
      <c r="E22" s="287"/>
      <c r="F22" s="919">
        <f>'数据-取费表'!B37</f>
        <v>0.02</v>
      </c>
      <c r="G22" s="8" t="s">
        <v>2318</v>
      </c>
      <c r="H22" s="899"/>
      <c r="I22" s="899"/>
      <c r="J22" s="899"/>
      <c r="K22" s="900"/>
    </row>
    <row r="23" spans="1:33" s="906" customFormat="1" ht="13.5" customHeight="1">
      <c r="A23" s="892" t="s">
        <v>2290</v>
      </c>
      <c r="B23" s="916" t="s">
        <v>2319</v>
      </c>
      <c r="C23" s="917">
        <f ca="1">ROUND(C4*F23*F11,0)</f>
        <v>0</v>
      </c>
      <c r="D23" s="287"/>
      <c r="E23" s="287"/>
      <c r="F23" s="919">
        <f>'数据-取费表'!B38</f>
        <v>0.02</v>
      </c>
      <c r="G23" s="8" t="s">
        <v>2320</v>
      </c>
      <c r="H23" s="899"/>
      <c r="I23" s="899"/>
      <c r="J23" s="899"/>
      <c r="K23" s="900"/>
    </row>
    <row r="24" spans="1:33" s="906" customFormat="1" ht="13.5" customHeight="1">
      <c r="A24" s="892" t="s">
        <v>2321</v>
      </c>
      <c r="B24" s="916" t="s">
        <v>2322</v>
      </c>
      <c r="C24" s="286">
        <f>ROUND(F24/(1+'数据-取费表'!C42),4)</f>
        <v>2.9000000000000001E-2</v>
      </c>
      <c r="D24" s="287" t="s">
        <v>15</v>
      </c>
      <c r="E24" s="287"/>
      <c r="F24" s="919">
        <f>IF(项目基本情况!B8="出让",0,'数据-取费表'!B48+'数据-取费表'!B49)</f>
        <v>3.0499999999999999E-2</v>
      </c>
      <c r="G24" s="8" t="s">
        <v>2323</v>
      </c>
      <c r="H24" s="921"/>
      <c r="I24" s="921"/>
      <c r="J24" s="921"/>
      <c r="K24" s="922"/>
    </row>
    <row r="25" spans="1:33" s="906" customFormat="1" ht="13.5" customHeight="1">
      <c r="A25" s="892" t="s">
        <v>2324</v>
      </c>
      <c r="B25" s="918" t="s">
        <v>2325</v>
      </c>
      <c r="C25" s="125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2326</v>
      </c>
      <c r="C26" s="1259">
        <f ca="1">ROUND(IF('数据-取费表'!B22&lt;=1,(1+C24)*F25*'数据-取费表'!B24,(1+C24)*(POWER((1+F25),'数据-取费表'!B24)-1)),4)</f>
        <v>0</v>
      </c>
      <c r="D26" s="290"/>
      <c r="E26" s="291"/>
      <c r="F26" s="292"/>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2327</v>
      </c>
      <c r="C27" s="1260">
        <f ca="1">ROUND(IF('数据-取费表'!B22&lt;=1,(C21+C22+C23)*F25*'数据-取费表'!B24/2,(C21+C22+C23)*(POWER((1+F25),'数据-取费表'!B24/2)-1)),0)</f>
        <v>0</v>
      </c>
      <c r="D27" s="290"/>
      <c r="E27" s="291"/>
      <c r="F27" s="292"/>
      <c r="G27" s="2039" t="str">
        <f>IF('数据-取费表'!B22&lt;=1,"（1）-（3）项×年利率×建设期÷2","（1）-（3）项×((1+年利率)^(建设期÷2)-1)")</f>
        <v>（1）-（3）项×((1+年利率)^(建设期÷2)-1)</v>
      </c>
      <c r="H27" s="910"/>
      <c r="I27" s="910"/>
      <c r="J27" s="910"/>
      <c r="K27" s="911"/>
    </row>
    <row r="28" spans="1:33" s="295" customFormat="1" ht="13.5" customHeight="1">
      <c r="A28" s="892" t="s">
        <v>2328</v>
      </c>
      <c r="B28" s="2040" t="s">
        <v>2329</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2330</v>
      </c>
      <c r="C29" s="290">
        <f ca="1">ROUND((1+C24)*F28*'数据-取费表'!B24/'数据-取费表'!B20,4)</f>
        <v>0</v>
      </c>
      <c r="D29" s="290"/>
      <c r="E29" s="291"/>
      <c r="F29" s="296"/>
      <c r="G29" s="136" t="s">
        <v>2331</v>
      </c>
      <c r="H29" s="910"/>
      <c r="I29" s="910"/>
      <c r="J29" s="910"/>
      <c r="K29" s="911"/>
    </row>
    <row r="30" spans="1:33" s="297" customFormat="1" ht="13.5" customHeight="1">
      <c r="A30" s="902" t="s">
        <v>804</v>
      </c>
      <c r="B30" s="925" t="s">
        <v>2332</v>
      </c>
      <c r="C30" s="298">
        <f ca="1">ROUND((C21+C22+C23)*F28,0)</f>
        <v>0</v>
      </c>
      <c r="D30" s="290"/>
      <c r="E30" s="291"/>
      <c r="F30" s="296"/>
      <c r="G30" s="136"/>
      <c r="H30" s="910"/>
      <c r="I30" s="910"/>
      <c r="J30" s="910"/>
      <c r="K30" s="911"/>
    </row>
    <row r="31" spans="1:33" s="906" customFormat="1" ht="13.5" customHeight="1" thickBot="1">
      <c r="A31" s="2041" t="s">
        <v>2333</v>
      </c>
      <c r="B31" s="936" t="s">
        <v>2334</v>
      </c>
      <c r="C31" s="937">
        <f>ROUND(C4*F31/(1+'数据-取费表'!C42),0)</f>
        <v>0</v>
      </c>
      <c r="D31" s="938"/>
      <c r="E31" s="939"/>
      <c r="F31" s="940">
        <f>'数据-取费表'!B41</f>
        <v>5.6000000000000001E-2</v>
      </c>
      <c r="G31" s="941" t="s">
        <v>2335</v>
      </c>
      <c r="H31" s="942"/>
      <c r="I31" s="942"/>
      <c r="J31" s="942"/>
      <c r="K31" s="943"/>
    </row>
    <row r="32" spans="1:33" s="901" customFormat="1" ht="13.5" customHeight="1" thickBot="1">
      <c r="A32" s="931" t="s">
        <v>2336</v>
      </c>
      <c r="B32" s="932"/>
      <c r="C32" s="933">
        <f ca="1">ROUND((C4-C21-C22-C23-C25-C28-C31)/(1+C24+D25+D28),0)</f>
        <v>0</v>
      </c>
      <c r="D32" s="932"/>
      <c r="E32" s="932"/>
      <c r="F32" s="932"/>
      <c r="G32" s="934" t="s">
        <v>2337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N51" sqref="N5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6.375" style="363" customWidth="1"/>
    <col min="6" max="6" width="12.25" style="363" customWidth="1"/>
    <col min="7" max="7" width="17.375" style="363" customWidth="1"/>
    <col min="8" max="8" width="12.25" style="363" customWidth="1"/>
    <col min="9" max="9" width="17.375" style="363" customWidth="1"/>
    <col min="10" max="10" width="12.25" style="363" customWidth="1"/>
    <col min="11" max="11" width="12.25" style="452" customWidth="1"/>
    <col min="12" max="12" width="12.25" style="453" customWidth="1"/>
    <col min="13" max="15" width="12.25" style="363" customWidth="1"/>
    <col min="16" max="16" width="4.75" style="209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053" t="s">
        <v>2461</v>
      </c>
      <c r="C1" s="1397" t="s">
        <v>2349</v>
      </c>
      <c r="D1" s="1384"/>
      <c r="E1" s="2532"/>
      <c r="F1" s="2054" t="s">
        <v>3420</v>
      </c>
      <c r="G1" s="1394" t="s">
        <v>2462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8" customFormat="1" ht="28.5" customHeight="1" thickTop="1">
      <c r="A2" s="1380" t="s">
        <v>2146</v>
      </c>
      <c r="B2" s="1318">
        <f>IF(C2="——",ROUND(C49*D3/10000,0),ROUND(C49*D3/10000,0)-D2)</f>
        <v>3902</v>
      </c>
      <c r="C2" s="2056" t="s">
        <v>70</v>
      </c>
      <c r="D2" s="1267" t="e">
        <f ca="1">SUMIF(INDIRECT("'"&amp;F2&amp;"'"&amp;"!A:A"),"承租人权益价值",INDIRECT("'"&amp;F2&amp;"'"&amp;"!c:c"))</f>
        <v>#REF!</v>
      </c>
      <c r="E2" s="2057" t="s">
        <v>2147</v>
      </c>
      <c r="F2" s="2058"/>
      <c r="G2" s="1032"/>
      <c r="H2" s="1032"/>
      <c r="I2" s="1032"/>
      <c r="J2" s="1032"/>
      <c r="K2" s="1032"/>
      <c r="L2" s="2950"/>
      <c r="M2" s="2951"/>
      <c r="N2" s="2951"/>
      <c r="O2" s="2951"/>
      <c r="P2" s="2127"/>
      <c r="Q2" s="1036"/>
      <c r="R2" s="1036"/>
      <c r="S2" s="1036"/>
      <c r="T2" s="1036"/>
      <c r="U2" s="1036"/>
      <c r="V2" s="1036"/>
      <c r="W2" s="1036"/>
      <c r="X2" s="1036"/>
      <c r="Y2" s="1036"/>
      <c r="Z2" s="1036"/>
      <c r="AA2" s="1036"/>
      <c r="AB2" s="1036"/>
      <c r="AC2" s="2128"/>
    </row>
    <row r="3" spans="1:29" s="358" customFormat="1" ht="28.5" customHeight="1" thickBot="1">
      <c r="A3" s="209" t="s">
        <v>2148</v>
      </c>
      <c r="B3" s="566">
        <f>IF(C2="——",C49,ROUND(B2*10000/D3,0))</f>
        <v>39067</v>
      </c>
      <c r="C3" s="360" t="s">
        <v>2463</v>
      </c>
      <c r="D3" s="359">
        <f>IF(D1="",'数据-汇总表'!E3,SUMIF('数据-汇总表'!$C19:$C33,D1,'数据-汇总表'!$E19:$E33))</f>
        <v>998.81000000000006</v>
      </c>
      <c r="E3" s="2129"/>
      <c r="F3" s="1033"/>
      <c r="G3" s="1032"/>
      <c r="H3" s="1032"/>
      <c r="I3" s="1032"/>
      <c r="J3" s="1032"/>
      <c r="K3" s="1034"/>
      <c r="L3" s="2950"/>
      <c r="M3" s="2951"/>
      <c r="N3" s="2951"/>
      <c r="O3" s="2951"/>
      <c r="P3" s="2127"/>
      <c r="Q3" s="1036"/>
      <c r="R3" s="1036"/>
      <c r="S3" s="1036"/>
      <c r="T3" s="1036"/>
      <c r="U3" s="1036"/>
      <c r="V3" s="1036"/>
      <c r="W3" s="1036"/>
      <c r="X3" s="1036"/>
      <c r="Y3" s="1036"/>
      <c r="Z3" s="1036"/>
      <c r="AA3" s="1036"/>
      <c r="AB3" s="1036"/>
      <c r="AC3" s="2129"/>
    </row>
    <row r="4" spans="1:29" ht="15">
      <c r="A4" s="361" t="s">
        <v>2464</v>
      </c>
      <c r="B4" s="362"/>
      <c r="C4" s="3404" t="s">
        <v>2465</v>
      </c>
      <c r="D4" s="3405"/>
      <c r="E4" s="3406" t="s">
        <v>2466</v>
      </c>
      <c r="F4" s="3407"/>
      <c r="G4" s="3404" t="s">
        <v>2467</v>
      </c>
      <c r="H4" s="3405"/>
      <c r="I4" s="3404" t="s">
        <v>2468</v>
      </c>
      <c r="J4" s="3405"/>
      <c r="K4" s="567" t="s">
        <v>2469</v>
      </c>
      <c r="L4" s="2931"/>
      <c r="M4" s="2932"/>
      <c r="N4" s="2932"/>
      <c r="O4" s="2932"/>
      <c r="P4" s="3408" t="s">
        <v>2470</v>
      </c>
      <c r="Q4" s="3409"/>
      <c r="R4" s="3391" t="s">
        <v>2466</v>
      </c>
      <c r="S4" s="3392"/>
      <c r="T4" s="3391" t="s">
        <v>2467</v>
      </c>
      <c r="U4" s="3392"/>
      <c r="V4" s="3416" t="s">
        <v>2468</v>
      </c>
      <c r="W4" s="3416"/>
      <c r="X4" s="1529"/>
      <c r="Y4" s="3391" t="s">
        <v>2470</v>
      </c>
      <c r="Z4" s="3392"/>
      <c r="AA4" s="3386" t="s">
        <v>2466</v>
      </c>
      <c r="AB4" s="3416" t="s">
        <v>2467</v>
      </c>
      <c r="AC4" s="3386" t="s">
        <v>2468</v>
      </c>
    </row>
    <row r="5" spans="1:29" ht="15">
      <c r="A5" s="364"/>
      <c r="B5" s="365"/>
      <c r="C5" s="3458" t="s">
        <v>3425</v>
      </c>
      <c r="D5" s="3398"/>
      <c r="E5" s="3395" t="str">
        <f>案例!F69</f>
        <v>广安康馨家园</v>
      </c>
      <c r="F5" s="3396"/>
      <c r="G5" s="3397" t="str">
        <f>案例!F70</f>
        <v>广安康馨家园</v>
      </c>
      <c r="H5" s="3398"/>
      <c r="I5" s="3397" t="str">
        <f>案例!F71</f>
        <v>天鸿美域</v>
      </c>
      <c r="J5" s="3398"/>
      <c r="K5" s="567"/>
      <c r="L5" s="2931"/>
      <c r="M5" s="2932"/>
      <c r="N5" s="2932"/>
      <c r="O5" s="2932"/>
      <c r="P5" s="3410"/>
      <c r="Q5" s="3411"/>
      <c r="R5" s="3393"/>
      <c r="S5" s="3394"/>
      <c r="T5" s="3393"/>
      <c r="U5" s="3394"/>
      <c r="V5" s="3416"/>
      <c r="W5" s="3416"/>
      <c r="X5" s="1529"/>
      <c r="Y5" s="3393"/>
      <c r="Z5" s="3394"/>
      <c r="AA5" s="3387"/>
      <c r="AB5" s="3416"/>
      <c r="AC5" s="3387"/>
    </row>
    <row r="6" spans="1:29" ht="15.75" thickBot="1">
      <c r="A6" s="366"/>
      <c r="B6" s="367"/>
      <c r="C6" s="3399" t="s">
        <v>2365</v>
      </c>
      <c r="D6" s="3400"/>
      <c r="E6" s="3401" t="s">
        <v>2365</v>
      </c>
      <c r="F6" s="3402"/>
      <c r="G6" s="3399" t="s">
        <v>2365</v>
      </c>
      <c r="H6" s="3400"/>
      <c r="I6" s="3399" t="s">
        <v>2365</v>
      </c>
      <c r="J6" s="3400"/>
      <c r="K6" s="567" t="s">
        <v>2366</v>
      </c>
      <c r="L6" s="2931"/>
      <c r="M6" s="2932"/>
      <c r="N6" s="2932"/>
      <c r="O6" s="2932"/>
      <c r="P6" s="3412"/>
      <c r="Q6" s="3413"/>
      <c r="R6" s="3393"/>
      <c r="S6" s="3394"/>
      <c r="T6" s="3414"/>
      <c r="U6" s="3415"/>
      <c r="V6" s="3416"/>
      <c r="W6" s="3416"/>
      <c r="X6" s="1529"/>
      <c r="Y6" s="3414"/>
      <c r="Z6" s="3415"/>
      <c r="AA6" s="3388"/>
      <c r="AB6" s="3416"/>
      <c r="AC6" s="3388"/>
    </row>
    <row r="7" spans="1:29" s="113" customFormat="1" ht="15.75" thickBot="1">
      <c r="A7" s="368" t="s">
        <v>2367</v>
      </c>
      <c r="B7" s="369"/>
      <c r="C7" s="370">
        <f>'数据-取费表'!B2</f>
        <v>44523</v>
      </c>
      <c r="D7" s="371">
        <v>100</v>
      </c>
      <c r="E7" s="372">
        <f>C7</f>
        <v>44523</v>
      </c>
      <c r="F7" s="373">
        <f>SUMIF(58:58,YEAR(E7)&amp;"-"&amp;MONTH(E7),59:59)</f>
        <v>100</v>
      </c>
      <c r="G7" s="372">
        <f>E7</f>
        <v>44523</v>
      </c>
      <c r="H7" s="371">
        <f>SUMIF(58:58,YEAR(G7)&amp;"-"&amp;MONTH(G7),59:59)</f>
        <v>100</v>
      </c>
      <c r="I7" s="372">
        <f>G7</f>
        <v>44523</v>
      </c>
      <c r="J7" s="371">
        <f>SUMIF(58:58,YEAR(I7)&amp;"-"&amp;MONTH(I7),59:59)</f>
        <v>100</v>
      </c>
      <c r="K7" s="568"/>
      <c r="L7" s="2933"/>
      <c r="M7" s="2934"/>
      <c r="N7" s="2934"/>
      <c r="O7" s="2934"/>
      <c r="P7" s="3389" t="s">
        <v>2368</v>
      </c>
      <c r="Q7" s="3417"/>
      <c r="R7" s="710" t="s">
        <v>17</v>
      </c>
      <c r="S7" s="711">
        <f t="shared" ref="S7:S15" si="0">F7</f>
        <v>100</v>
      </c>
      <c r="T7" s="710" t="s">
        <v>17</v>
      </c>
      <c r="U7" s="711">
        <f t="shared" ref="U7:U15" si="1">H7</f>
        <v>100</v>
      </c>
      <c r="V7" s="710" t="s">
        <v>17</v>
      </c>
      <c r="W7" s="711">
        <f t="shared" ref="W7:W15" si="2">J7</f>
        <v>100</v>
      </c>
      <c r="X7" s="712"/>
      <c r="Y7" s="3389" t="s">
        <v>2368</v>
      </c>
      <c r="Z7" s="3390"/>
      <c r="AA7" s="713">
        <f>D7/F7</f>
        <v>1</v>
      </c>
      <c r="AB7" s="713">
        <f>D7/H7</f>
        <v>1</v>
      </c>
      <c r="AC7" s="713">
        <f>D7/J7</f>
        <v>1</v>
      </c>
    </row>
    <row r="8" spans="1:29" s="113" customFormat="1" ht="15.75" thickBot="1">
      <c r="A8" s="368" t="s">
        <v>2369</v>
      </c>
      <c r="B8" s="369"/>
      <c r="C8" s="374" t="s">
        <v>2471</v>
      </c>
      <c r="D8" s="371">
        <v>100</v>
      </c>
      <c r="E8" s="374" t="s">
        <v>2406</v>
      </c>
      <c r="F8" s="373">
        <f>SUMIF(61:61,E8,62:62)-SUMIF(61:61,C8,62:62)+100</f>
        <v>100</v>
      </c>
      <c r="G8" s="374" t="s">
        <v>2406</v>
      </c>
      <c r="H8" s="371">
        <f>SUMIF(61:61,G8,62:62)-SUMIF(61:61,C8,62:62)+100</f>
        <v>100</v>
      </c>
      <c r="I8" s="374" t="s">
        <v>2406</v>
      </c>
      <c r="J8" s="371">
        <f>SUMIF(61:61,I8,62:62)-SUMIF(61:61,C8,62:62)+100</f>
        <v>100</v>
      </c>
      <c r="K8" s="568"/>
      <c r="L8" s="2933"/>
      <c r="M8" s="2934"/>
      <c r="N8" s="2934"/>
      <c r="O8" s="2934"/>
      <c r="P8" s="3389" t="s">
        <v>2371</v>
      </c>
      <c r="Q8" s="3390"/>
      <c r="R8" s="710" t="s">
        <v>17</v>
      </c>
      <c r="S8" s="711">
        <f t="shared" si="0"/>
        <v>100</v>
      </c>
      <c r="T8" s="710" t="s">
        <v>17</v>
      </c>
      <c r="U8" s="711">
        <f t="shared" si="1"/>
        <v>100</v>
      </c>
      <c r="V8" s="710" t="s">
        <v>17</v>
      </c>
      <c r="W8" s="711">
        <f t="shared" si="2"/>
        <v>100</v>
      </c>
      <c r="X8" s="712"/>
      <c r="Y8" s="3389" t="s">
        <v>2371</v>
      </c>
      <c r="Z8" s="3390"/>
      <c r="AA8" s="713">
        <f t="shared" ref="AA8:AA46" si="3">D8/F8</f>
        <v>1</v>
      </c>
      <c r="AB8" s="713">
        <f t="shared" ref="AB8:AB46" si="4">D8/H8</f>
        <v>1</v>
      </c>
      <c r="AC8" s="713">
        <f t="shared" ref="AC8:AC46" si="5">D8/J8</f>
        <v>1</v>
      </c>
    </row>
    <row r="9" spans="1:29" s="113" customFormat="1">
      <c r="A9" s="375" t="s">
        <v>2372</v>
      </c>
      <c r="B9" s="67" t="s">
        <v>2373</v>
      </c>
      <c r="C9" s="3188" t="s">
        <v>3426</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427"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713">
        <f t="shared" si="5"/>
        <v>1</v>
      </c>
    </row>
    <row r="10" spans="1:29" s="386" customFormat="1" ht="27">
      <c r="A10" s="380"/>
      <c r="B10" s="381" t="s">
        <v>2376</v>
      </c>
      <c r="C10" s="382" t="s">
        <v>3427</v>
      </c>
      <c r="D10" s="132">
        <v>100</v>
      </c>
      <c r="E10" s="382" t="s">
        <v>3427</v>
      </c>
      <c r="F10" s="384">
        <f>SUMIF(65:65,E10,66:66)-SUMIF(65:65,C10,66:66)+100</f>
        <v>100</v>
      </c>
      <c r="G10" s="382" t="s">
        <v>3427</v>
      </c>
      <c r="H10" s="132">
        <f>SUMIF(65:65,G10,66:66)-SUMIF(65:65,C10,66:66)+100</f>
        <v>100</v>
      </c>
      <c r="I10" s="382" t="s">
        <v>3427</v>
      </c>
      <c r="J10" s="132">
        <f>SUMIF(65:65,I10,66:66)-SUMIF(65:65,C10,66:66)+100</f>
        <v>100</v>
      </c>
      <c r="K10" s="569">
        <v>2</v>
      </c>
      <c r="L10" s="2935"/>
      <c r="M10" s="2936"/>
      <c r="N10" s="2936"/>
      <c r="O10" s="2936"/>
      <c r="P10" s="3427"/>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75" thickBot="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427"/>
      <c r="Q11" s="1517" t="str">
        <f t="shared" si="6"/>
        <v>容积率</v>
      </c>
      <c r="R11" s="710" t="s">
        <v>17</v>
      </c>
      <c r="S11" s="711">
        <f t="shared" si="0"/>
        <v>100</v>
      </c>
      <c r="T11" s="710" t="s">
        <v>17</v>
      </c>
      <c r="U11" s="711">
        <f t="shared" si="1"/>
        <v>100</v>
      </c>
      <c r="V11" s="710" t="s">
        <v>17</v>
      </c>
      <c r="W11" s="711">
        <f t="shared" si="2"/>
        <v>100</v>
      </c>
      <c r="X11" s="712"/>
      <c r="Y11" s="3362"/>
      <c r="Z11" s="55" t="str">
        <f t="shared" si="7"/>
        <v>容积率</v>
      </c>
      <c r="AA11" s="713">
        <f t="shared" si="3"/>
        <v>1</v>
      </c>
      <c r="AB11" s="713">
        <f t="shared" si="4"/>
        <v>1</v>
      </c>
      <c r="AC11" s="713">
        <f t="shared" si="5"/>
        <v>1</v>
      </c>
    </row>
    <row r="12" spans="1:29" s="113" customFormat="1" ht="15" hidden="1">
      <c r="A12" s="390"/>
      <c r="B12" s="2068">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427"/>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hidden="1">
      <c r="A13" s="387"/>
      <c r="B13" s="2068">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427"/>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hidden="1" thickBot="1">
      <c r="A14" s="395"/>
      <c r="B14" s="2070">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427"/>
      <c r="Q14" s="1517">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15">
      <c r="A15" s="399" t="s">
        <v>2378</v>
      </c>
      <c r="B15" s="65" t="s">
        <v>2472</v>
      </c>
      <c r="C15" s="2071" t="str">
        <f>估价对象房地状况!C4</f>
        <v>一般</v>
      </c>
      <c r="D15" s="400">
        <v>100</v>
      </c>
      <c r="E15" s="411" t="s">
        <v>3265</v>
      </c>
      <c r="F15" s="402">
        <f>SUMIF(76:76,E16,77:77)-SUMIF(76:76,C16,77:77)+100</f>
        <v>100</v>
      </c>
      <c r="G15" s="411" t="s">
        <v>3265</v>
      </c>
      <c r="H15" s="400">
        <f>SUMIF(76:76,G16,77:77)-SUMIF(76:76,C16,77:77)+100</f>
        <v>100</v>
      </c>
      <c r="I15" s="411" t="s">
        <v>3265</v>
      </c>
      <c r="J15" s="400">
        <f>SUMIF(76:76,I16,77:77)-SUMIF(76:76,C16,77:77)+100</f>
        <v>100</v>
      </c>
      <c r="K15" s="571">
        <v>2</v>
      </c>
      <c r="L15" s="2938"/>
      <c r="M15" s="2932"/>
      <c r="N15" s="2932"/>
      <c r="O15" s="2932"/>
      <c r="P15" s="3459" t="s">
        <v>2379</v>
      </c>
      <c r="Q15" s="1526" t="str">
        <f t="shared" si="6"/>
        <v>商业繁华度</v>
      </c>
      <c r="R15" s="714" t="s">
        <v>17</v>
      </c>
      <c r="S15" s="715">
        <f t="shared" si="0"/>
        <v>100</v>
      </c>
      <c r="T15" s="714" t="s">
        <v>17</v>
      </c>
      <c r="U15" s="715">
        <f t="shared" si="1"/>
        <v>100</v>
      </c>
      <c r="V15" s="714" t="s">
        <v>17</v>
      </c>
      <c r="W15" s="715">
        <f t="shared" si="2"/>
        <v>100</v>
      </c>
      <c r="X15" s="1529"/>
      <c r="Y15" s="3418" t="s">
        <v>2379</v>
      </c>
      <c r="Z15" s="1530" t="str">
        <f t="shared" si="7"/>
        <v>商业繁华度</v>
      </c>
      <c r="AA15" s="1527">
        <f t="shared" si="3"/>
        <v>1</v>
      </c>
      <c r="AB15" s="1527">
        <f t="shared" si="4"/>
        <v>1</v>
      </c>
      <c r="AC15" s="1527">
        <f t="shared" si="5"/>
        <v>1</v>
      </c>
    </row>
    <row r="16" spans="1:29" ht="15">
      <c r="A16" s="387"/>
      <c r="B16" s="405"/>
      <c r="C16" s="406" t="s">
        <v>3265</v>
      </c>
      <c r="D16" s="407"/>
      <c r="E16" s="2073" t="s">
        <v>3265</v>
      </c>
      <c r="F16" s="408"/>
      <c r="G16" s="2073" t="s">
        <v>3265</v>
      </c>
      <c r="H16" s="409"/>
      <c r="I16" s="2073" t="s">
        <v>3265</v>
      </c>
      <c r="J16" s="407"/>
      <c r="K16" s="572"/>
      <c r="L16" s="2938"/>
      <c r="M16" s="2932"/>
      <c r="N16" s="2932"/>
      <c r="O16" s="2932"/>
      <c r="P16" s="3460"/>
      <c r="Q16" s="1526"/>
      <c r="R16" s="714"/>
      <c r="S16" s="715"/>
      <c r="T16" s="714"/>
      <c r="U16" s="715"/>
      <c r="V16" s="714"/>
      <c r="W16" s="715"/>
      <c r="X16" s="1529"/>
      <c r="Y16" s="3419"/>
      <c r="Z16" s="1530"/>
      <c r="AA16" s="1527">
        <v>1</v>
      </c>
      <c r="AB16" s="1527">
        <v>1</v>
      </c>
      <c r="AC16" s="1527">
        <v>1</v>
      </c>
    </row>
    <row r="17" spans="1:29" ht="15">
      <c r="A17" s="387"/>
      <c r="B17" s="410" t="s">
        <v>1944</v>
      </c>
      <c r="C17" s="2075" t="str">
        <f>估价对象房地状况!C6</f>
        <v>一般</v>
      </c>
      <c r="D17" s="409">
        <v>100</v>
      </c>
      <c r="E17" s="411" t="s">
        <v>3265</v>
      </c>
      <c r="F17" s="412">
        <f>SUMIF(78:78,E18,79:79)-SUMIF(78:78,C18,79:79)+100</f>
        <v>100</v>
      </c>
      <c r="G17" s="411" t="s">
        <v>3265</v>
      </c>
      <c r="H17" s="414">
        <f>SUMIF(78:78,G18,79:79)-SUMIF(78:78,C18,79:79)+100</f>
        <v>100</v>
      </c>
      <c r="I17" s="411" t="s">
        <v>3265</v>
      </c>
      <c r="J17" s="414">
        <f>SUMIF(78:78,I18,79:79)-SUMIF(78:78,C18,79:79)+100</f>
        <v>100</v>
      </c>
      <c r="K17" s="571">
        <v>2</v>
      </c>
      <c r="L17" s="2938"/>
      <c r="M17" s="2932"/>
      <c r="N17" s="2932"/>
      <c r="O17" s="2932"/>
      <c r="P17" s="3460"/>
      <c r="Q17" s="1526" t="str">
        <f>B17</f>
        <v>交通便捷度</v>
      </c>
      <c r="R17" s="714" t="s">
        <v>17</v>
      </c>
      <c r="S17" s="715">
        <f>F17</f>
        <v>100</v>
      </c>
      <c r="T17" s="714" t="s">
        <v>17</v>
      </c>
      <c r="U17" s="715">
        <f>H17</f>
        <v>100</v>
      </c>
      <c r="V17" s="714" t="s">
        <v>17</v>
      </c>
      <c r="W17" s="715">
        <f>J17</f>
        <v>100</v>
      </c>
      <c r="X17" s="1529"/>
      <c r="Y17" s="3419"/>
      <c r="Z17" s="1530" t="str">
        <f>Q17</f>
        <v>交通便捷度</v>
      </c>
      <c r="AA17" s="1527">
        <f t="shared" si="3"/>
        <v>1</v>
      </c>
      <c r="AB17" s="1527">
        <f t="shared" si="4"/>
        <v>1</v>
      </c>
      <c r="AC17" s="1527">
        <f t="shared" si="5"/>
        <v>1</v>
      </c>
    </row>
    <row r="18" spans="1:29" ht="15">
      <c r="A18" s="387"/>
      <c r="B18" s="415"/>
      <c r="C18" s="2076" t="s">
        <v>3265</v>
      </c>
      <c r="D18" s="409"/>
      <c r="E18" s="2078" t="s">
        <v>3265</v>
      </c>
      <c r="F18" s="412"/>
      <c r="G18" s="2078" t="s">
        <v>3265</v>
      </c>
      <c r="H18" s="407"/>
      <c r="I18" s="2078" t="s">
        <v>3265</v>
      </c>
      <c r="J18" s="407"/>
      <c r="K18" s="572"/>
      <c r="L18" s="2938"/>
      <c r="M18" s="2932"/>
      <c r="N18" s="2932"/>
      <c r="O18" s="2932"/>
      <c r="P18" s="3460"/>
      <c r="Q18" s="1526"/>
      <c r="R18" s="714"/>
      <c r="S18" s="715"/>
      <c r="T18" s="714"/>
      <c r="U18" s="715"/>
      <c r="V18" s="714"/>
      <c r="W18" s="715"/>
      <c r="X18" s="1529"/>
      <c r="Y18" s="3419"/>
      <c r="Z18" s="1530"/>
      <c r="AA18" s="1527">
        <v>1</v>
      </c>
      <c r="AB18" s="1527">
        <v>1</v>
      </c>
      <c r="AC18" s="1527">
        <v>1</v>
      </c>
    </row>
    <row r="19" spans="1:29" ht="15">
      <c r="A19" s="387"/>
      <c r="B19" s="410" t="s">
        <v>2473</v>
      </c>
      <c r="C19" s="2075" t="str">
        <f>估价对象房地状况!C7</f>
        <v>一般</v>
      </c>
      <c r="D19" s="414">
        <v>100</v>
      </c>
      <c r="E19" s="411" t="s">
        <v>3265</v>
      </c>
      <c r="F19" s="417">
        <f>SUMIF(80:80,E20,81:81)-SUMIF(80:80,C20,81:81)+100</f>
        <v>100</v>
      </c>
      <c r="G19" s="411" t="s">
        <v>3265</v>
      </c>
      <c r="H19" s="409">
        <f>SUMIF(80:80,G20,81:81)-SUMIF(80:80,C20,81:81)+100</f>
        <v>100</v>
      </c>
      <c r="I19" s="411" t="s">
        <v>3265</v>
      </c>
      <c r="J19" s="409">
        <f>SUMIF(80:80,I20,81:81)-SUMIF(80:80,C20,81:81)+100</f>
        <v>100</v>
      </c>
      <c r="K19" s="571">
        <v>2</v>
      </c>
      <c r="L19" s="2938"/>
      <c r="M19" s="2932"/>
      <c r="N19" s="2932"/>
      <c r="O19" s="2932"/>
      <c r="P19" s="3460"/>
      <c r="Q19" s="1526" t="str">
        <f>B19</f>
        <v>公共配套设施</v>
      </c>
      <c r="R19" s="714" t="s">
        <v>17</v>
      </c>
      <c r="S19" s="715">
        <f>F19</f>
        <v>100</v>
      </c>
      <c r="T19" s="714" t="s">
        <v>17</v>
      </c>
      <c r="U19" s="715">
        <f>H19</f>
        <v>100</v>
      </c>
      <c r="V19" s="714" t="s">
        <v>17</v>
      </c>
      <c r="W19" s="715">
        <f>J19</f>
        <v>100</v>
      </c>
      <c r="X19" s="1529"/>
      <c r="Y19" s="3419"/>
      <c r="Z19" s="1530" t="str">
        <f>Q19</f>
        <v>公共配套设施</v>
      </c>
      <c r="AA19" s="1527">
        <f t="shared" si="3"/>
        <v>1</v>
      </c>
      <c r="AB19" s="1527">
        <f t="shared" si="4"/>
        <v>1</v>
      </c>
      <c r="AC19" s="1527">
        <f t="shared" si="5"/>
        <v>1</v>
      </c>
    </row>
    <row r="20" spans="1:29" ht="15">
      <c r="A20" s="387"/>
      <c r="B20" s="415"/>
      <c r="C20" s="406" t="s">
        <v>3265</v>
      </c>
      <c r="D20" s="407"/>
      <c r="E20" s="2073" t="s">
        <v>3265</v>
      </c>
      <c r="F20" s="408"/>
      <c r="G20" s="2073" t="s">
        <v>3265</v>
      </c>
      <c r="H20" s="407"/>
      <c r="I20" s="2073" t="s">
        <v>3265</v>
      </c>
      <c r="J20" s="407"/>
      <c r="K20" s="572"/>
      <c r="L20" s="2938"/>
      <c r="M20" s="2932"/>
      <c r="N20" s="2932"/>
      <c r="O20" s="2932"/>
      <c r="P20" s="3460"/>
      <c r="Q20" s="1526"/>
      <c r="R20" s="714"/>
      <c r="S20" s="715"/>
      <c r="T20" s="714"/>
      <c r="U20" s="715"/>
      <c r="V20" s="714"/>
      <c r="W20" s="715"/>
      <c r="X20" s="1529"/>
      <c r="Y20" s="3419"/>
      <c r="Z20" s="1530"/>
      <c r="AA20" s="1527">
        <v>1</v>
      </c>
      <c r="AB20" s="1527">
        <v>1</v>
      </c>
      <c r="AC20" s="1527">
        <v>1</v>
      </c>
    </row>
    <row r="21" spans="1:29" ht="15">
      <c r="A21" s="387"/>
      <c r="B21" s="1285" t="s">
        <v>2474</v>
      </c>
      <c r="C21" s="2075" t="str">
        <f>估价对象房地状况!C8</f>
        <v>七通</v>
      </c>
      <c r="D21" s="414">
        <v>100</v>
      </c>
      <c r="E21" s="416" t="s">
        <v>3266</v>
      </c>
      <c r="F21" s="417">
        <f>SUMIF(82:82,E22,83:83)-SUMIF(82:82,C22,83:83)+100</f>
        <v>100</v>
      </c>
      <c r="G21" s="416" t="s">
        <v>3266</v>
      </c>
      <c r="H21" s="409">
        <f>SUMIF(82:82,G22,83:83)-SUMIF(82:82,C22,83:83)+100</f>
        <v>100</v>
      </c>
      <c r="I21" s="416" t="s">
        <v>3266</v>
      </c>
      <c r="J21" s="409">
        <f>SUMIF(82:82,I22,83:83)-SUMIF(82:82,C22,83:83)+100</f>
        <v>100</v>
      </c>
      <c r="K21" s="571">
        <v>1</v>
      </c>
      <c r="L21" s="2938"/>
      <c r="M21" s="2932"/>
      <c r="N21" s="2932"/>
      <c r="O21" s="2932"/>
      <c r="P21" s="3460"/>
      <c r="Q21" s="1526" t="str">
        <f>B21</f>
        <v>基础设施水平</v>
      </c>
      <c r="R21" s="714" t="s">
        <v>17</v>
      </c>
      <c r="S21" s="715">
        <f>F21</f>
        <v>100</v>
      </c>
      <c r="T21" s="714" t="s">
        <v>17</v>
      </c>
      <c r="U21" s="715">
        <f>H21</f>
        <v>100</v>
      </c>
      <c r="V21" s="714" t="s">
        <v>17</v>
      </c>
      <c r="W21" s="715">
        <f>J21</f>
        <v>100</v>
      </c>
      <c r="X21" s="1529"/>
      <c r="Y21" s="3419"/>
      <c r="Z21" s="1530" t="str">
        <f>Q21</f>
        <v>基础设施水平</v>
      </c>
      <c r="AA21" s="1527">
        <f t="shared" ref="AA21" si="8">D21/F21</f>
        <v>1</v>
      </c>
      <c r="AB21" s="1527">
        <f t="shared" ref="AB21" si="9">D21/H21</f>
        <v>1</v>
      </c>
      <c r="AC21" s="1527">
        <f t="shared" ref="AC21" si="10">D21/J21</f>
        <v>1</v>
      </c>
    </row>
    <row r="22" spans="1:29" ht="15">
      <c r="A22" s="387"/>
      <c r="B22" s="1285"/>
      <c r="C22" s="2076" t="s">
        <v>3266</v>
      </c>
      <c r="D22" s="407"/>
      <c r="E22" s="406" t="s">
        <v>3266</v>
      </c>
      <c r="F22" s="408"/>
      <c r="G22" s="406" t="s">
        <v>3266</v>
      </c>
      <c r="H22" s="407"/>
      <c r="I22" s="406" t="s">
        <v>3266</v>
      </c>
      <c r="J22" s="407"/>
      <c r="K22" s="1284"/>
      <c r="L22" s="2938"/>
      <c r="M22" s="2932"/>
      <c r="N22" s="2932"/>
      <c r="O22" s="2932"/>
      <c r="P22" s="3460"/>
      <c r="Q22" s="1526"/>
      <c r="R22" s="714"/>
      <c r="S22" s="715"/>
      <c r="T22" s="714"/>
      <c r="U22" s="715"/>
      <c r="V22" s="714"/>
      <c r="W22" s="715"/>
      <c r="X22" s="1529"/>
      <c r="Y22" s="3419"/>
      <c r="Z22" s="1530"/>
      <c r="AA22" s="1527">
        <v>1</v>
      </c>
      <c r="AB22" s="1527">
        <v>1</v>
      </c>
      <c r="AC22" s="1527">
        <v>1</v>
      </c>
    </row>
    <row r="23" spans="1:29" ht="15">
      <c r="A23" s="387"/>
      <c r="B23" s="410" t="s">
        <v>1946</v>
      </c>
      <c r="C23" s="2130" t="str">
        <f>估价对象房地状况!C9</f>
        <v>较好</v>
      </c>
      <c r="D23" s="409">
        <v>100</v>
      </c>
      <c r="E23" s="411" t="s">
        <v>3264</v>
      </c>
      <c r="F23" s="412">
        <f>SUMIF(84:84,E24,85:85)-SUMIF(84:84,C24,85:85)+100</f>
        <v>100</v>
      </c>
      <c r="G23" s="411" t="s">
        <v>3264</v>
      </c>
      <c r="H23" s="409">
        <f>SUMIF(84:84,G24,85:85)-SUMIF(84:84,C24,85:85)+100</f>
        <v>100</v>
      </c>
      <c r="I23" s="411" t="s">
        <v>3264</v>
      </c>
      <c r="J23" s="409">
        <f>SUMIF(84:84,I24,85:85)-SUMIF(84:84,C24,85:85)+100</f>
        <v>100</v>
      </c>
      <c r="K23" s="571">
        <v>2</v>
      </c>
      <c r="L23" s="2938"/>
      <c r="M23" s="2932"/>
      <c r="N23" s="2932"/>
      <c r="O23" s="2932"/>
      <c r="P23" s="3460"/>
      <c r="Q23" s="1526" t="str">
        <f>B23</f>
        <v>自然及人文环境</v>
      </c>
      <c r="R23" s="714" t="s">
        <v>17</v>
      </c>
      <c r="S23" s="715">
        <f>F23</f>
        <v>100</v>
      </c>
      <c r="T23" s="714" t="s">
        <v>17</v>
      </c>
      <c r="U23" s="715">
        <f>H23</f>
        <v>100</v>
      </c>
      <c r="V23" s="714" t="s">
        <v>17</v>
      </c>
      <c r="W23" s="715">
        <f>J23</f>
        <v>100</v>
      </c>
      <c r="X23" s="1529"/>
      <c r="Y23" s="3419"/>
      <c r="Z23" s="1530" t="str">
        <f>Q23</f>
        <v>自然及人文环境</v>
      </c>
      <c r="AA23" s="1527">
        <f t="shared" si="3"/>
        <v>1</v>
      </c>
      <c r="AB23" s="1527">
        <f t="shared" si="4"/>
        <v>1</v>
      </c>
      <c r="AC23" s="1527">
        <f t="shared" si="5"/>
        <v>1</v>
      </c>
    </row>
    <row r="24" spans="1:29" ht="15">
      <c r="A24" s="387"/>
      <c r="B24" s="415"/>
      <c r="C24" s="406" t="s">
        <v>3264</v>
      </c>
      <c r="D24" s="407"/>
      <c r="E24" s="2073" t="s">
        <v>3264</v>
      </c>
      <c r="F24" s="408"/>
      <c r="G24" s="2073" t="s">
        <v>3264</v>
      </c>
      <c r="H24" s="407"/>
      <c r="I24" s="2073" t="s">
        <v>3264</v>
      </c>
      <c r="J24" s="407"/>
      <c r="K24" s="572"/>
      <c r="L24" s="2938"/>
      <c r="M24" s="2932"/>
      <c r="N24" s="2932"/>
      <c r="O24" s="2932"/>
      <c r="P24" s="3460"/>
      <c r="Q24" s="1526"/>
      <c r="R24" s="714"/>
      <c r="S24" s="715"/>
      <c r="T24" s="714"/>
      <c r="U24" s="715"/>
      <c r="V24" s="714"/>
      <c r="W24" s="715"/>
      <c r="X24" s="1529"/>
      <c r="Y24" s="3419"/>
      <c r="Z24" s="1530"/>
      <c r="AA24" s="1527">
        <v>1</v>
      </c>
      <c r="AB24" s="1527">
        <v>1</v>
      </c>
      <c r="AC24" s="1527">
        <v>1</v>
      </c>
    </row>
    <row r="25" spans="1:29" ht="15">
      <c r="A25" s="387"/>
      <c r="B25" s="381" t="s">
        <v>2475</v>
      </c>
      <c r="C25" s="573" t="s">
        <v>3362</v>
      </c>
      <c r="D25" s="394">
        <v>100</v>
      </c>
      <c r="E25" s="573" t="s">
        <v>3362</v>
      </c>
      <c r="F25" s="420">
        <f>SUMIF(86:86,E25,87:87)-SUMIF(86:86,C25,87:87)+100</f>
        <v>100</v>
      </c>
      <c r="G25" s="573" t="s">
        <v>3362</v>
      </c>
      <c r="H25" s="394">
        <f>SUMIF(86:86,G25,87:87)-SUMIF(86:86,C25,87:87)+100</f>
        <v>100</v>
      </c>
      <c r="I25" s="573" t="s">
        <v>3362</v>
      </c>
      <c r="J25" s="394">
        <f>SUMIF(86:86,I25,87:87)-SUMIF(86:86,C25,87:87)+100</f>
        <v>100</v>
      </c>
      <c r="K25" s="569">
        <v>2</v>
      </c>
      <c r="L25" s="2938"/>
      <c r="M25" s="2932"/>
      <c r="N25" s="2932"/>
      <c r="O25" s="2932"/>
      <c r="P25" s="3460"/>
      <c r="Q25" s="1526" t="str">
        <f t="shared" ref="Q25:Q46" si="11">B25</f>
        <v>临街状况</v>
      </c>
      <c r="R25" s="714" t="s">
        <v>17</v>
      </c>
      <c r="S25" s="715">
        <f>F25</f>
        <v>100</v>
      </c>
      <c r="T25" s="714" t="s">
        <v>17</v>
      </c>
      <c r="U25" s="715">
        <f>H25</f>
        <v>100</v>
      </c>
      <c r="V25" s="714" t="s">
        <v>17</v>
      </c>
      <c r="W25" s="715">
        <f>J25</f>
        <v>100</v>
      </c>
      <c r="X25" s="1529"/>
      <c r="Y25" s="3419"/>
      <c r="Z25" s="1530" t="str">
        <f>Q25</f>
        <v>临街状况</v>
      </c>
      <c r="AA25" s="1527">
        <f t="shared" si="3"/>
        <v>1</v>
      </c>
      <c r="AB25" s="1527">
        <f t="shared" si="4"/>
        <v>1</v>
      </c>
      <c r="AC25" s="1527">
        <f t="shared" si="5"/>
        <v>1</v>
      </c>
    </row>
    <row r="26" spans="1:29" ht="15">
      <c r="A26" s="387"/>
      <c r="B26" s="1287" t="s">
        <v>2476</v>
      </c>
      <c r="C26" s="3189" t="s">
        <v>3428</v>
      </c>
      <c r="D26" s="394">
        <v>100</v>
      </c>
      <c r="E26" s="393" t="s">
        <v>3264</v>
      </c>
      <c r="F26" s="420">
        <f>SUMIF(88:88,E26,89:89)-SUMIF(88:88,C26,89:89)+100</f>
        <v>100</v>
      </c>
      <c r="G26" s="393" t="s">
        <v>3264</v>
      </c>
      <c r="H26" s="394">
        <f>SUMIF(88:88,G26,89:89)-SUMIF(88:88,C26,89:89)+100</f>
        <v>100</v>
      </c>
      <c r="I26" s="393" t="s">
        <v>3264</v>
      </c>
      <c r="J26" s="394">
        <f>SUMIF(88:88,I26,89:89)-SUMIF(88:88,C26,89:89)+100</f>
        <v>100</v>
      </c>
      <c r="K26" s="570"/>
      <c r="L26" s="2938"/>
      <c r="M26" s="2932"/>
      <c r="N26" s="2932"/>
      <c r="O26" s="2932"/>
      <c r="P26" s="3460"/>
      <c r="Q26" s="1526" t="str">
        <f t="shared" si="11"/>
        <v>平面位置/可视性</v>
      </c>
      <c r="R26" s="714" t="s">
        <v>17</v>
      </c>
      <c r="S26" s="715">
        <f>F26</f>
        <v>100</v>
      </c>
      <c r="T26" s="714" t="s">
        <v>17</v>
      </c>
      <c r="U26" s="715">
        <f>H26</f>
        <v>100</v>
      </c>
      <c r="V26" s="714" t="s">
        <v>17</v>
      </c>
      <c r="W26" s="715">
        <f>J26</f>
        <v>100</v>
      </c>
      <c r="X26" s="1529"/>
      <c r="Y26" s="3419"/>
      <c r="Z26" s="1530" t="str">
        <f>Q26</f>
        <v>平面位置/可视性</v>
      </c>
      <c r="AA26" s="1527">
        <f t="shared" si="3"/>
        <v>1</v>
      </c>
      <c r="AB26" s="1527">
        <f t="shared" si="4"/>
        <v>1</v>
      </c>
      <c r="AC26" s="1527">
        <f t="shared" si="5"/>
        <v>1</v>
      </c>
    </row>
    <row r="27" spans="1:29" s="113" customFormat="1" ht="15">
      <c r="A27" s="390"/>
      <c r="B27" s="410" t="s">
        <v>2477</v>
      </c>
      <c r="C27" s="2131" t="s">
        <v>3265</v>
      </c>
      <c r="D27" s="421">
        <v>100</v>
      </c>
      <c r="E27" s="2131" t="s">
        <v>3265</v>
      </c>
      <c r="F27" s="423">
        <f>SUMIF(90:90,E27,91:91)-SUMIF(90:90,C27,91:91)+100</f>
        <v>100</v>
      </c>
      <c r="G27" s="2131" t="s">
        <v>3265</v>
      </c>
      <c r="H27" s="421">
        <f>SUMIF(90:90,G27,91:91)-SUMIF(90:90,C27,91:91)+100</f>
        <v>100</v>
      </c>
      <c r="I27" s="2131" t="s">
        <v>3265</v>
      </c>
      <c r="J27" s="421">
        <f>SUMIF(90:90,I27,91:91)-SUMIF(90:90,C27,91:91)+100</f>
        <v>100</v>
      </c>
      <c r="K27" s="569">
        <v>3</v>
      </c>
      <c r="L27" s="2933"/>
      <c r="M27" s="2934"/>
      <c r="N27" s="2934"/>
      <c r="O27" s="2934"/>
      <c r="P27" s="3460"/>
      <c r="Q27" s="1517" t="str">
        <f t="shared" si="11"/>
        <v>人流量</v>
      </c>
      <c r="R27" s="710" t="s">
        <v>17</v>
      </c>
      <c r="S27" s="711">
        <f>F27</f>
        <v>100</v>
      </c>
      <c r="T27" s="710" t="s">
        <v>17</v>
      </c>
      <c r="U27" s="711">
        <f>H27</f>
        <v>100</v>
      </c>
      <c r="V27" s="710" t="s">
        <v>17</v>
      </c>
      <c r="W27" s="711">
        <f>J27</f>
        <v>100</v>
      </c>
      <c r="X27" s="712"/>
      <c r="Y27" s="3419"/>
      <c r="Z27" s="55" t="str">
        <f>Q27</f>
        <v>人流量</v>
      </c>
      <c r="AA27" s="1527">
        <f>D27/F27</f>
        <v>1</v>
      </c>
      <c r="AB27" s="1527">
        <f>D27/H27</f>
        <v>1</v>
      </c>
      <c r="AC27" s="1527">
        <f>D27/J27</f>
        <v>1</v>
      </c>
    </row>
    <row r="28" spans="1:29" ht="15.75" thickBot="1">
      <c r="A28" s="387"/>
      <c r="B28" s="381" t="s">
        <v>2478</v>
      </c>
      <c r="C28" s="573" t="s">
        <v>3409</v>
      </c>
      <c r="D28" s="394">
        <v>100</v>
      </c>
      <c r="E28" s="573" t="s">
        <v>3409</v>
      </c>
      <c r="F28" s="420">
        <f>SUMIF(92:92,E28,93:93)-SUMIF(92:92,C28,93:93)+100</f>
        <v>100</v>
      </c>
      <c r="G28" s="573" t="s">
        <v>3409</v>
      </c>
      <c r="H28" s="394">
        <f>SUMIF(92:92,G28,93:93)-SUMIF(92:92,C28,93:93)+100</f>
        <v>100</v>
      </c>
      <c r="I28" s="573" t="s">
        <v>3409</v>
      </c>
      <c r="J28" s="394">
        <f>SUMIF(92:92,I28,93:93)-SUMIF(92:92,C28,93:93)+100</f>
        <v>100</v>
      </c>
      <c r="K28" s="570"/>
      <c r="L28" s="2938"/>
      <c r="M28" s="2932"/>
      <c r="N28" s="2932"/>
      <c r="O28" s="2932"/>
      <c r="P28" s="3460"/>
      <c r="Q28" s="1526" t="str">
        <f t="shared" si="11"/>
        <v>楼层</v>
      </c>
      <c r="R28" s="714" t="s">
        <v>17</v>
      </c>
      <c r="S28" s="715">
        <f t="shared" ref="S28:S46" si="12">F28</f>
        <v>100</v>
      </c>
      <c r="T28" s="714" t="s">
        <v>17</v>
      </c>
      <c r="U28" s="715">
        <f t="shared" ref="U28:U46" si="13">H28</f>
        <v>100</v>
      </c>
      <c r="V28" s="714" t="s">
        <v>17</v>
      </c>
      <c r="W28" s="715">
        <f t="shared" ref="W28:W46" si="14">J28</f>
        <v>100</v>
      </c>
      <c r="X28" s="1529"/>
      <c r="Y28" s="3419"/>
      <c r="Z28" s="1530" t="str">
        <f t="shared" ref="Z28:Z46" si="15">Q28</f>
        <v>楼层</v>
      </c>
      <c r="AA28" s="1527">
        <f t="shared" si="3"/>
        <v>1</v>
      </c>
      <c r="AB28" s="1527">
        <f t="shared" si="4"/>
        <v>1</v>
      </c>
      <c r="AC28" s="1527">
        <f t="shared" si="5"/>
        <v>1</v>
      </c>
    </row>
    <row r="29" spans="1:29" ht="15" hidden="1">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460"/>
      <c r="Q29" s="1526">
        <f t="shared" si="11"/>
        <v>111</v>
      </c>
      <c r="R29" s="714" t="s">
        <v>17</v>
      </c>
      <c r="S29" s="715">
        <f t="shared" si="12"/>
        <v>100</v>
      </c>
      <c r="T29" s="714" t="s">
        <v>17</v>
      </c>
      <c r="U29" s="715">
        <f t="shared" si="13"/>
        <v>100</v>
      </c>
      <c r="V29" s="714" t="s">
        <v>17</v>
      </c>
      <c r="W29" s="715">
        <f t="shared" si="14"/>
        <v>100</v>
      </c>
      <c r="X29" s="1529"/>
      <c r="Y29" s="3419"/>
      <c r="Z29" s="1530">
        <f t="shared" si="15"/>
        <v>111</v>
      </c>
      <c r="AA29" s="1527">
        <f t="shared" si="3"/>
        <v>1</v>
      </c>
      <c r="AB29" s="1527">
        <f t="shared" si="4"/>
        <v>1</v>
      </c>
      <c r="AC29" s="1527">
        <f t="shared" si="5"/>
        <v>1</v>
      </c>
    </row>
    <row r="30" spans="1:29" ht="15" hidden="1">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460"/>
      <c r="Q30" s="1526">
        <f t="shared" si="11"/>
        <v>111</v>
      </c>
      <c r="R30" s="714" t="s">
        <v>17</v>
      </c>
      <c r="S30" s="715">
        <f t="shared" si="12"/>
        <v>100</v>
      </c>
      <c r="T30" s="714" t="s">
        <v>17</v>
      </c>
      <c r="U30" s="715">
        <f t="shared" si="13"/>
        <v>100</v>
      </c>
      <c r="V30" s="714" t="s">
        <v>17</v>
      </c>
      <c r="W30" s="715">
        <f t="shared" si="14"/>
        <v>100</v>
      </c>
      <c r="X30" s="1529"/>
      <c r="Y30" s="3419"/>
      <c r="Z30" s="1530">
        <f t="shared" si="15"/>
        <v>111</v>
      </c>
      <c r="AA30" s="1527">
        <f t="shared" si="3"/>
        <v>1</v>
      </c>
      <c r="AB30" s="1527">
        <f t="shared" si="4"/>
        <v>1</v>
      </c>
      <c r="AC30" s="1527">
        <f t="shared" si="5"/>
        <v>1</v>
      </c>
    </row>
    <row r="31" spans="1:29" ht="15.75" hidden="1"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460"/>
      <c r="Q31" s="1526">
        <f t="shared" si="11"/>
        <v>111</v>
      </c>
      <c r="R31" s="714" t="s">
        <v>17</v>
      </c>
      <c r="S31" s="715">
        <f t="shared" si="12"/>
        <v>100</v>
      </c>
      <c r="T31" s="714" t="s">
        <v>17</v>
      </c>
      <c r="U31" s="715">
        <f t="shared" si="13"/>
        <v>100</v>
      </c>
      <c r="V31" s="714" t="s">
        <v>17</v>
      </c>
      <c r="W31" s="715">
        <f t="shared" si="14"/>
        <v>100</v>
      </c>
      <c r="X31" s="1529"/>
      <c r="Y31" s="3419"/>
      <c r="Z31" s="1530">
        <f t="shared" si="15"/>
        <v>111</v>
      </c>
      <c r="AA31" s="1527">
        <f t="shared" si="3"/>
        <v>1</v>
      </c>
      <c r="AB31" s="1527">
        <f t="shared" si="4"/>
        <v>1</v>
      </c>
      <c r="AC31" s="1527">
        <f t="shared" si="5"/>
        <v>1</v>
      </c>
    </row>
    <row r="32" spans="1:29" ht="15">
      <c r="A32" s="399" t="s">
        <v>2382</v>
      </c>
      <c r="B32" s="67" t="s">
        <v>2479</v>
      </c>
      <c r="C32" s="2085" t="s">
        <v>3378</v>
      </c>
      <c r="D32" s="426">
        <v>100</v>
      </c>
      <c r="E32" s="2085" t="s">
        <v>3378</v>
      </c>
      <c r="F32" s="420">
        <f>SUMIF(100:100,E32,101:101)-SUMIF(100:100,C32,101:101)+100</f>
        <v>100</v>
      </c>
      <c r="G32" s="2085" t="s">
        <v>3378</v>
      </c>
      <c r="H32" s="394">
        <f>SUMIF(100:100,G32,101:101)-SUMIF(100:100,C32,101:101)+100</f>
        <v>100</v>
      </c>
      <c r="I32" s="2085" t="s">
        <v>3378</v>
      </c>
      <c r="J32" s="426">
        <f>SUMIF(100:100,I32,101:101)-SUMIF(100:100,C32,101:101)+100</f>
        <v>100</v>
      </c>
      <c r="K32" s="569">
        <v>2</v>
      </c>
      <c r="L32" s="2938"/>
      <c r="M32" s="2932"/>
      <c r="N32" s="2932"/>
      <c r="O32" s="2932"/>
      <c r="P32" s="3461" t="s">
        <v>2384</v>
      </c>
      <c r="Q32" s="1526" t="str">
        <f t="shared" si="11"/>
        <v>商业类型</v>
      </c>
      <c r="R32" s="714" t="s">
        <v>17</v>
      </c>
      <c r="S32" s="715">
        <f t="shared" si="12"/>
        <v>100</v>
      </c>
      <c r="T32" s="714" t="s">
        <v>17</v>
      </c>
      <c r="U32" s="715">
        <f t="shared" si="13"/>
        <v>100</v>
      </c>
      <c r="V32" s="714" t="s">
        <v>17</v>
      </c>
      <c r="W32" s="715">
        <f t="shared" si="14"/>
        <v>100</v>
      </c>
      <c r="X32" s="1529"/>
      <c r="Y32" s="3421" t="s">
        <v>2384</v>
      </c>
      <c r="Z32" s="1530" t="str">
        <f t="shared" si="15"/>
        <v>商业类型</v>
      </c>
      <c r="AA32" s="1527">
        <f t="shared" si="3"/>
        <v>1</v>
      </c>
      <c r="AB32" s="1527">
        <f t="shared" si="4"/>
        <v>1</v>
      </c>
      <c r="AC32" s="1527">
        <f t="shared" si="5"/>
        <v>1</v>
      </c>
    </row>
    <row r="33" spans="1:29" s="430" customFormat="1" ht="15">
      <c r="A33" s="427"/>
      <c r="B33" s="381" t="s">
        <v>2385</v>
      </c>
      <c r="C33" s="428">
        <f>典型户型修正!B24</f>
        <v>85.15</v>
      </c>
      <c r="D33" s="132">
        <v>100</v>
      </c>
      <c r="E33" s="389">
        <f>案例!G69</f>
        <v>122.53</v>
      </c>
      <c r="F33" s="384">
        <f>LOOKUP(E33,103:103,104:104)-LOOKUP(C33,103:103,104:104)+100</f>
        <v>100</v>
      </c>
      <c r="G33" s="388">
        <f>案例!G70</f>
        <v>43.47</v>
      </c>
      <c r="H33" s="132">
        <f>LOOKUP(G33,103:103,104:104)-LOOKUP(C33,103:103,104:104)+100</f>
        <v>100</v>
      </c>
      <c r="I33" s="388">
        <f>案例!G71</f>
        <v>232</v>
      </c>
      <c r="J33" s="132">
        <f>LOOKUP(I33,103:103,104:104)-LOOKUP(C33,103:103,104:104)+100</f>
        <v>100</v>
      </c>
      <c r="K33" s="570"/>
      <c r="L33" s="2937"/>
      <c r="M33" s="2939"/>
      <c r="N33" s="2939"/>
      <c r="O33" s="2939"/>
      <c r="P33" s="3462"/>
      <c r="Q33" s="716" t="str">
        <f t="shared" si="11"/>
        <v>项目建筑规模</v>
      </c>
      <c r="R33" s="717" t="s">
        <v>17</v>
      </c>
      <c r="S33" s="718">
        <f t="shared" si="12"/>
        <v>100</v>
      </c>
      <c r="T33" s="717" t="s">
        <v>17</v>
      </c>
      <c r="U33" s="718">
        <f t="shared" si="13"/>
        <v>100</v>
      </c>
      <c r="V33" s="717" t="s">
        <v>17</v>
      </c>
      <c r="W33" s="718">
        <f t="shared" si="14"/>
        <v>100</v>
      </c>
      <c r="X33" s="719"/>
      <c r="Y33" s="3421"/>
      <c r="Z33" s="720" t="str">
        <f t="shared" si="15"/>
        <v>项目建筑规模</v>
      </c>
      <c r="AA33" s="1527">
        <f t="shared" si="3"/>
        <v>1</v>
      </c>
      <c r="AB33" s="1527">
        <f t="shared" si="4"/>
        <v>1</v>
      </c>
      <c r="AC33" s="1527">
        <f t="shared" si="5"/>
        <v>1</v>
      </c>
    </row>
    <row r="34" spans="1:29" ht="15">
      <c r="A34" s="431"/>
      <c r="B34" s="381" t="s">
        <v>2386</v>
      </c>
      <c r="C34" s="2087" t="s">
        <v>3273</v>
      </c>
      <c r="D34" s="394">
        <v>100</v>
      </c>
      <c r="E34" s="2087" t="s">
        <v>3273</v>
      </c>
      <c r="F34" s="420">
        <f>SUMIF(105:105,E34,106:106)-SUMIF(105:105,C34,106:106)+100</f>
        <v>100</v>
      </c>
      <c r="G34" s="2087" t="s">
        <v>3273</v>
      </c>
      <c r="H34" s="394">
        <f>SUMIF(105:105,G34,106:106)-SUMIF(105:105,C34,106:106)+100</f>
        <v>100</v>
      </c>
      <c r="I34" s="2087" t="s">
        <v>3273</v>
      </c>
      <c r="J34" s="394">
        <f>SUMIF(105:105,I34,106:106)-SUMIF(105:105,C34,106:106)+100</f>
        <v>100</v>
      </c>
      <c r="K34" s="569">
        <v>2</v>
      </c>
      <c r="L34" s="2938"/>
      <c r="M34" s="2932"/>
      <c r="N34" s="2932"/>
      <c r="O34" s="2932"/>
      <c r="P34" s="3462"/>
      <c r="Q34" s="1526" t="str">
        <f t="shared" si="11"/>
        <v>建筑结构</v>
      </c>
      <c r="R34" s="714" t="s">
        <v>17</v>
      </c>
      <c r="S34" s="715">
        <f t="shared" si="12"/>
        <v>100</v>
      </c>
      <c r="T34" s="714" t="s">
        <v>17</v>
      </c>
      <c r="U34" s="715">
        <f t="shared" si="13"/>
        <v>100</v>
      </c>
      <c r="V34" s="714" t="s">
        <v>17</v>
      </c>
      <c r="W34" s="715">
        <f t="shared" si="14"/>
        <v>100</v>
      </c>
      <c r="X34" s="1529"/>
      <c r="Y34" s="3421"/>
      <c r="Z34" s="1530" t="str">
        <f t="shared" si="15"/>
        <v>建筑结构</v>
      </c>
      <c r="AA34" s="1527">
        <f t="shared" si="3"/>
        <v>1</v>
      </c>
      <c r="AB34" s="1527">
        <f t="shared" si="4"/>
        <v>1</v>
      </c>
      <c r="AC34" s="1527">
        <f t="shared" si="5"/>
        <v>1</v>
      </c>
    </row>
    <row r="35" spans="1:29" ht="15">
      <c r="A35" s="431"/>
      <c r="B35" s="381" t="s">
        <v>2480</v>
      </c>
      <c r="C35" s="2081" t="s">
        <v>3381</v>
      </c>
      <c r="D35" s="394">
        <v>100</v>
      </c>
      <c r="E35" s="2081" t="s">
        <v>3381</v>
      </c>
      <c r="F35" s="420">
        <f>SUMIF(107:107,E35,108:108)-SUMIF(107:107,C35,108:108)+100</f>
        <v>100</v>
      </c>
      <c r="G35" s="2081" t="s">
        <v>3381</v>
      </c>
      <c r="H35" s="394">
        <f>SUMIF(107:107,G35,108:108)-SUMIF(107:107,C35,108:108)+100</f>
        <v>100</v>
      </c>
      <c r="I35" s="2081" t="s">
        <v>3381</v>
      </c>
      <c r="J35" s="394">
        <f>SUMIF(107:107,I35,108:108)-SUMIF(107:107,C35,108:108)+100</f>
        <v>100</v>
      </c>
      <c r="K35" s="569">
        <v>2</v>
      </c>
      <c r="L35" s="2938"/>
      <c r="M35" s="2932"/>
      <c r="N35" s="2932"/>
      <c r="O35" s="2932"/>
      <c r="P35" s="3462"/>
      <c r="Q35" s="1526" t="str">
        <f t="shared" si="11"/>
        <v>公共部分装修</v>
      </c>
      <c r="R35" s="714" t="s">
        <v>17</v>
      </c>
      <c r="S35" s="715">
        <f t="shared" si="12"/>
        <v>100</v>
      </c>
      <c r="T35" s="714" t="s">
        <v>17</v>
      </c>
      <c r="U35" s="715">
        <f t="shared" si="13"/>
        <v>100</v>
      </c>
      <c r="V35" s="714" t="s">
        <v>17</v>
      </c>
      <c r="W35" s="715">
        <f t="shared" si="14"/>
        <v>100</v>
      </c>
      <c r="X35" s="1529"/>
      <c r="Y35" s="3421"/>
      <c r="Z35" s="1530" t="str">
        <f t="shared" si="15"/>
        <v>公共部分装修</v>
      </c>
      <c r="AA35" s="1527">
        <f t="shared" si="3"/>
        <v>1</v>
      </c>
      <c r="AB35" s="1527">
        <f t="shared" si="4"/>
        <v>1</v>
      </c>
      <c r="AC35" s="1527">
        <f t="shared" si="5"/>
        <v>1</v>
      </c>
    </row>
    <row r="36" spans="1:29" ht="15">
      <c r="A36" s="431"/>
      <c r="B36" s="381" t="s">
        <v>2481</v>
      </c>
      <c r="C36" s="433">
        <f>'数据-取费表'!N6</f>
        <v>0.9</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938"/>
      <c r="M36" s="2932"/>
      <c r="N36" s="2932"/>
      <c r="O36" s="2932"/>
      <c r="P36" s="3462"/>
      <c r="Q36" s="1526" t="str">
        <f t="shared" si="11"/>
        <v>成新度</v>
      </c>
      <c r="R36" s="714" t="s">
        <v>17</v>
      </c>
      <c r="S36" s="715">
        <f t="shared" si="12"/>
        <v>100</v>
      </c>
      <c r="T36" s="714" t="s">
        <v>17</v>
      </c>
      <c r="U36" s="715">
        <f t="shared" si="13"/>
        <v>100</v>
      </c>
      <c r="V36" s="714" t="s">
        <v>17</v>
      </c>
      <c r="W36" s="715">
        <f t="shared" si="14"/>
        <v>100</v>
      </c>
      <c r="X36" s="1529"/>
      <c r="Y36" s="3421"/>
      <c r="Z36" s="1530" t="str">
        <f t="shared" si="15"/>
        <v>成新度</v>
      </c>
      <c r="AA36" s="1527">
        <f t="shared" si="3"/>
        <v>1</v>
      </c>
      <c r="AB36" s="1527">
        <f t="shared" si="4"/>
        <v>1</v>
      </c>
      <c r="AC36" s="1527">
        <f t="shared" si="5"/>
        <v>1</v>
      </c>
    </row>
    <row r="37" spans="1:29" s="113" customFormat="1" ht="15">
      <c r="A37" s="432"/>
      <c r="B37" s="381" t="s">
        <v>2482</v>
      </c>
      <c r="C37" s="2081" t="s">
        <v>3266</v>
      </c>
      <c r="D37" s="132">
        <v>100</v>
      </c>
      <c r="E37" s="2081" t="s">
        <v>3266</v>
      </c>
      <c r="F37" s="420">
        <f>SUMIF(112:112,E37,113:113)-SUMIF(112:112,C37,113:113)+100</f>
        <v>100</v>
      </c>
      <c r="G37" s="2081" t="s">
        <v>3266</v>
      </c>
      <c r="H37" s="394">
        <f>SUMIF(112:112,G37,113:113)-SUMIF(112:112,C37,113:113)+100</f>
        <v>100</v>
      </c>
      <c r="I37" s="2081" t="s">
        <v>3266</v>
      </c>
      <c r="J37" s="394">
        <f>SUMIF(112:112,I37,113:113)-SUMIF(112:112,C37,113:113)+100</f>
        <v>100</v>
      </c>
      <c r="K37" s="569">
        <v>1</v>
      </c>
      <c r="L37" s="2933"/>
      <c r="M37" s="2934"/>
      <c r="N37" s="2934"/>
      <c r="O37" s="2934"/>
      <c r="P37" s="3462"/>
      <c r="Q37" s="1517" t="str">
        <f t="shared" si="11"/>
        <v>市政基础设施</v>
      </c>
      <c r="R37" s="710" t="s">
        <v>17</v>
      </c>
      <c r="S37" s="711">
        <f t="shared" si="12"/>
        <v>100</v>
      </c>
      <c r="T37" s="710" t="s">
        <v>17</v>
      </c>
      <c r="U37" s="711">
        <f t="shared" si="13"/>
        <v>100</v>
      </c>
      <c r="V37" s="710" t="s">
        <v>17</v>
      </c>
      <c r="W37" s="711">
        <f t="shared" si="14"/>
        <v>100</v>
      </c>
      <c r="X37" s="712"/>
      <c r="Y37" s="3421"/>
      <c r="Z37" s="55" t="str">
        <f t="shared" si="15"/>
        <v>市政基础设施</v>
      </c>
      <c r="AA37" s="713">
        <f t="shared" si="3"/>
        <v>1</v>
      </c>
      <c r="AB37" s="713">
        <f t="shared" si="4"/>
        <v>1</v>
      </c>
      <c r="AC37" s="713">
        <f t="shared" si="5"/>
        <v>1</v>
      </c>
    </row>
    <row r="38" spans="1:29" ht="15">
      <c r="A38" s="431"/>
      <c r="B38" s="381" t="s">
        <v>2483</v>
      </c>
      <c r="C38" s="2081" t="s">
        <v>3388</v>
      </c>
      <c r="D38" s="394">
        <v>100</v>
      </c>
      <c r="E38" s="2081" t="s">
        <v>3388</v>
      </c>
      <c r="F38" s="420">
        <f>SUMIF(114:114,E38,115:115)-SUMIF(114:114,C38,115:115)+100</f>
        <v>100</v>
      </c>
      <c r="G38" s="2081" t="s">
        <v>3388</v>
      </c>
      <c r="H38" s="394">
        <f>SUMIF(114:114,G38,115:115)-SUMIF(114:114,C38,115:115)+100</f>
        <v>100</v>
      </c>
      <c r="I38" s="2081" t="s">
        <v>3388</v>
      </c>
      <c r="J38" s="394">
        <f>SUMIF(114:114,I38,115:115)-SUMIF(114:114,C38,115:115)+100</f>
        <v>100</v>
      </c>
      <c r="K38" s="569">
        <v>5</v>
      </c>
      <c r="L38" s="2938"/>
      <c r="M38" s="2932"/>
      <c r="N38" s="2932"/>
      <c r="O38" s="2932"/>
      <c r="P38" s="3462" t="s">
        <v>2384</v>
      </c>
      <c r="Q38" s="1526" t="str">
        <f t="shared" si="11"/>
        <v>业态</v>
      </c>
      <c r="R38" s="714" t="s">
        <v>17</v>
      </c>
      <c r="S38" s="715">
        <f t="shared" si="12"/>
        <v>100</v>
      </c>
      <c r="T38" s="714" t="s">
        <v>17</v>
      </c>
      <c r="U38" s="715">
        <f t="shared" si="13"/>
        <v>100</v>
      </c>
      <c r="V38" s="714" t="s">
        <v>17</v>
      </c>
      <c r="W38" s="715">
        <f t="shared" si="14"/>
        <v>100</v>
      </c>
      <c r="X38" s="1529"/>
      <c r="Y38" s="3421" t="s">
        <v>2384</v>
      </c>
      <c r="Z38" s="1530" t="str">
        <f t="shared" si="15"/>
        <v>业态</v>
      </c>
      <c r="AA38" s="1527">
        <f t="shared" si="3"/>
        <v>1</v>
      </c>
      <c r="AB38" s="1527">
        <f t="shared" si="4"/>
        <v>1</v>
      </c>
      <c r="AC38" s="1527">
        <f t="shared" si="5"/>
        <v>1</v>
      </c>
    </row>
    <row r="39" spans="1:29" ht="15">
      <c r="A39" s="431"/>
      <c r="B39" s="381" t="s">
        <v>2484</v>
      </c>
      <c r="C39" s="2081" t="s">
        <v>3391</v>
      </c>
      <c r="D39" s="394">
        <v>100</v>
      </c>
      <c r="E39" s="2081" t="s">
        <v>3391</v>
      </c>
      <c r="F39" s="420">
        <f>SUMIF(116:116,E39,117:117)-SUMIF(116:116,C39,117:117)+100</f>
        <v>100</v>
      </c>
      <c r="G39" s="2081" t="s">
        <v>3391</v>
      </c>
      <c r="H39" s="394">
        <f>SUMIF(116:116,G39,117:117)-SUMIF(116:116,C39,117:117)+100</f>
        <v>100</v>
      </c>
      <c r="I39" s="2081" t="s">
        <v>3391</v>
      </c>
      <c r="J39" s="394">
        <f>SUMIF(116:116,I39,117:117)-SUMIF(116:116,C39,117:117)+100</f>
        <v>100</v>
      </c>
      <c r="K39" s="569">
        <v>5</v>
      </c>
      <c r="L39" s="2938"/>
      <c r="M39" s="2932"/>
      <c r="N39" s="2932"/>
      <c r="O39" s="2932"/>
      <c r="P39" s="3462"/>
      <c r="Q39" s="1526" t="str">
        <f t="shared" si="11"/>
        <v>层高</v>
      </c>
      <c r="R39" s="714" t="s">
        <v>17</v>
      </c>
      <c r="S39" s="715">
        <f t="shared" si="12"/>
        <v>100</v>
      </c>
      <c r="T39" s="714" t="s">
        <v>17</v>
      </c>
      <c r="U39" s="715">
        <f t="shared" si="13"/>
        <v>100</v>
      </c>
      <c r="V39" s="714" t="s">
        <v>17</v>
      </c>
      <c r="W39" s="715">
        <f t="shared" si="14"/>
        <v>100</v>
      </c>
      <c r="X39" s="1529"/>
      <c r="Y39" s="3421"/>
      <c r="Z39" s="1530" t="str">
        <f t="shared" si="15"/>
        <v>层高</v>
      </c>
      <c r="AA39" s="1527">
        <f t="shared" si="3"/>
        <v>1</v>
      </c>
      <c r="AB39" s="1527">
        <f t="shared" si="4"/>
        <v>1</v>
      </c>
      <c r="AC39" s="1527">
        <f t="shared" si="5"/>
        <v>1</v>
      </c>
    </row>
    <row r="40" spans="1:29" ht="15">
      <c r="A40" s="431"/>
      <c r="B40" s="381" t="s">
        <v>2485</v>
      </c>
      <c r="C40" s="574" t="str">
        <f>E118</f>
        <v>60-90</v>
      </c>
      <c r="D40" s="394">
        <v>100</v>
      </c>
      <c r="E40" s="575" t="s">
        <v>3443</v>
      </c>
      <c r="F40" s="420">
        <f>SUMIF(118:118,E40,119:119)-SUMIF(118:118,C40,119:119)+100</f>
        <v>96</v>
      </c>
      <c r="G40" s="575" t="str">
        <f>D118</f>
        <v>30-60</v>
      </c>
      <c r="H40" s="394">
        <f>SUMIF(118:118,G40,119:119)-SUMIF(118:118,C40,119:119)+100</f>
        <v>104</v>
      </c>
      <c r="I40" s="575" t="str">
        <f>H118</f>
        <v>200-300</v>
      </c>
      <c r="J40" s="394">
        <f>SUMIF(118:118,I40,119:119)-SUMIF(118:118,C40,119:119)+100</f>
        <v>88</v>
      </c>
      <c r="K40" s="570"/>
      <c r="L40" s="2938"/>
      <c r="M40" s="2932"/>
      <c r="N40" s="2932"/>
      <c r="O40" s="2932"/>
      <c r="P40" s="3462"/>
      <c r="Q40" s="1526" t="str">
        <f t="shared" si="11"/>
        <v>单套建筑面积</v>
      </c>
      <c r="R40" s="714" t="s">
        <v>17</v>
      </c>
      <c r="S40" s="715">
        <f t="shared" si="12"/>
        <v>96</v>
      </c>
      <c r="T40" s="714" t="s">
        <v>17</v>
      </c>
      <c r="U40" s="715">
        <f t="shared" si="13"/>
        <v>104</v>
      </c>
      <c r="V40" s="714" t="s">
        <v>17</v>
      </c>
      <c r="W40" s="715">
        <f t="shared" si="14"/>
        <v>88</v>
      </c>
      <c r="X40" s="1529"/>
      <c r="Y40" s="3421"/>
      <c r="Z40" s="1530" t="str">
        <f t="shared" si="15"/>
        <v>单套建筑面积</v>
      </c>
      <c r="AA40" s="1527">
        <f t="shared" si="3"/>
        <v>1.0416666666666667</v>
      </c>
      <c r="AB40" s="1527">
        <f t="shared" si="4"/>
        <v>0.96153846153846156</v>
      </c>
      <c r="AC40" s="1527">
        <f t="shared" si="5"/>
        <v>1.1363636363636365</v>
      </c>
    </row>
    <row r="41" spans="1:29" s="430" customFormat="1" ht="15">
      <c r="A41" s="427"/>
      <c r="B41" s="1528" t="s">
        <v>2486</v>
      </c>
      <c r="C41" s="573" t="s">
        <v>3295</v>
      </c>
      <c r="D41" s="394">
        <v>100</v>
      </c>
      <c r="E41" s="573" t="s">
        <v>3295</v>
      </c>
      <c r="F41" s="420">
        <f>SUMIF(120:120,E41,121:121)-SUMIF(120:120,C41,121:121)+100</f>
        <v>100</v>
      </c>
      <c r="G41" s="573" t="s">
        <v>3295</v>
      </c>
      <c r="H41" s="394">
        <f>SUMIF(120:120,G41,121:121)-SUMIF(120:120,C41,121:121)+100</f>
        <v>100</v>
      </c>
      <c r="I41" s="573" t="s">
        <v>3295</v>
      </c>
      <c r="J41" s="394">
        <f>SUMIF(120:120,I41,121:121)-SUMIF(120:120,C41,121:121)+100</f>
        <v>100</v>
      </c>
      <c r="K41" s="569">
        <v>2</v>
      </c>
      <c r="L41" s="2937"/>
      <c r="M41" s="2939"/>
      <c r="N41" s="2939"/>
      <c r="O41" s="2939"/>
      <c r="P41" s="3462"/>
      <c r="Q41" s="716" t="str">
        <f t="shared" si="11"/>
        <v>进深比</v>
      </c>
      <c r="R41" s="717" t="s">
        <v>17</v>
      </c>
      <c r="S41" s="718">
        <f t="shared" si="12"/>
        <v>100</v>
      </c>
      <c r="T41" s="717" t="s">
        <v>17</v>
      </c>
      <c r="U41" s="718">
        <f t="shared" si="13"/>
        <v>100</v>
      </c>
      <c r="V41" s="717" t="s">
        <v>17</v>
      </c>
      <c r="W41" s="718">
        <f t="shared" si="14"/>
        <v>100</v>
      </c>
      <c r="X41" s="719"/>
      <c r="Y41" s="3421"/>
      <c r="Z41" s="720" t="str">
        <f t="shared" si="15"/>
        <v>进深比</v>
      </c>
      <c r="AA41" s="1527">
        <f t="shared" si="3"/>
        <v>1</v>
      </c>
      <c r="AB41" s="1527">
        <f t="shared" si="4"/>
        <v>1</v>
      </c>
      <c r="AC41" s="1527">
        <f t="shared" si="5"/>
        <v>1</v>
      </c>
    </row>
    <row r="42" spans="1:29" ht="15">
      <c r="A42" s="431"/>
      <c r="B42" s="381" t="s">
        <v>2487</v>
      </c>
      <c r="C42" s="2081" t="s">
        <v>3383</v>
      </c>
      <c r="D42" s="394">
        <v>100</v>
      </c>
      <c r="E42" s="2081" t="s">
        <v>3383</v>
      </c>
      <c r="F42" s="420">
        <f>SUMIF(122:122,E42,123:123)-SUMIF(122:122,C42,123:123)+100</f>
        <v>100</v>
      </c>
      <c r="G42" s="2081" t="s">
        <v>3444</v>
      </c>
      <c r="H42" s="394">
        <f>SUMIF(122:122,G42,123:123)-SUMIF(122:122,C42,123:123)+100</f>
        <v>98</v>
      </c>
      <c r="I42" s="2081" t="s">
        <v>3383</v>
      </c>
      <c r="J42" s="394">
        <f>SUMIF(122:122,I42,123:123)-SUMIF(122:122,C42,123:123)+100</f>
        <v>100</v>
      </c>
      <c r="K42" s="569">
        <v>2</v>
      </c>
      <c r="L42" s="2938"/>
      <c r="M42" s="2932"/>
      <c r="N42" s="2932"/>
      <c r="O42" s="2932"/>
      <c r="P42" s="3462"/>
      <c r="Q42" s="1526" t="str">
        <f t="shared" si="11"/>
        <v>内部装修</v>
      </c>
      <c r="R42" s="714" t="s">
        <v>17</v>
      </c>
      <c r="S42" s="715">
        <f t="shared" si="12"/>
        <v>100</v>
      </c>
      <c r="T42" s="714" t="s">
        <v>17</v>
      </c>
      <c r="U42" s="715">
        <f t="shared" si="13"/>
        <v>98</v>
      </c>
      <c r="V42" s="714" t="s">
        <v>17</v>
      </c>
      <c r="W42" s="715">
        <f t="shared" si="14"/>
        <v>100</v>
      </c>
      <c r="X42" s="1529"/>
      <c r="Y42" s="3421"/>
      <c r="Z42" s="1530" t="str">
        <f t="shared" si="15"/>
        <v>内部装修</v>
      </c>
      <c r="AA42" s="1527">
        <f t="shared" si="3"/>
        <v>1</v>
      </c>
      <c r="AB42" s="1527">
        <f t="shared" si="4"/>
        <v>1.0204081632653061</v>
      </c>
      <c r="AC42" s="1527">
        <f t="shared" si="5"/>
        <v>1</v>
      </c>
    </row>
    <row r="43" spans="1:29" ht="15.75" thickBot="1">
      <c r="A43" s="431"/>
      <c r="B43" s="381" t="s">
        <v>2395</v>
      </c>
      <c r="C43" s="2081" t="s">
        <v>3264</v>
      </c>
      <c r="D43" s="394">
        <v>100</v>
      </c>
      <c r="E43" s="2081" t="s">
        <v>3264</v>
      </c>
      <c r="F43" s="420">
        <f>SUMIF(124:124,E43,125:125)-SUMIF(124:124,C43,125:125)+100</f>
        <v>100</v>
      </c>
      <c r="G43" s="2081" t="s">
        <v>3264</v>
      </c>
      <c r="H43" s="394">
        <f>SUMIF(124:124,G43,125:125)-SUMIF(124:124,C43,125:125)+100</f>
        <v>100</v>
      </c>
      <c r="I43" s="2081" t="s">
        <v>3264</v>
      </c>
      <c r="J43" s="394">
        <f>SUMIF(124:124,I43,125:125)-SUMIF(124:124,C43,125:125)+100</f>
        <v>100</v>
      </c>
      <c r="K43" s="569">
        <v>2</v>
      </c>
      <c r="L43" s="2938"/>
      <c r="M43" s="2932"/>
      <c r="N43" s="2932"/>
      <c r="O43" s="2932"/>
      <c r="P43" s="3462"/>
      <c r="Q43" s="1526" t="str">
        <f t="shared" si="11"/>
        <v>内部装修维护情况</v>
      </c>
      <c r="R43" s="714" t="s">
        <v>17</v>
      </c>
      <c r="S43" s="715">
        <f t="shared" si="12"/>
        <v>100</v>
      </c>
      <c r="T43" s="714" t="s">
        <v>17</v>
      </c>
      <c r="U43" s="715">
        <f t="shared" si="13"/>
        <v>100</v>
      </c>
      <c r="V43" s="714" t="s">
        <v>17</v>
      </c>
      <c r="W43" s="715">
        <f t="shared" si="14"/>
        <v>100</v>
      </c>
      <c r="X43" s="1529"/>
      <c r="Y43" s="3421"/>
      <c r="Z43" s="1530" t="str">
        <f t="shared" si="15"/>
        <v>内部装修维护情况</v>
      </c>
      <c r="AA43" s="1527">
        <f t="shared" si="3"/>
        <v>1</v>
      </c>
      <c r="AB43" s="1527">
        <f t="shared" si="4"/>
        <v>1</v>
      </c>
      <c r="AC43" s="1527">
        <f t="shared" si="5"/>
        <v>1</v>
      </c>
    </row>
    <row r="44" spans="1:29" s="113" customFormat="1" ht="15" hidden="1">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462"/>
      <c r="Q44" s="1517">
        <f t="shared" si="11"/>
        <v>111</v>
      </c>
      <c r="R44" s="710" t="s">
        <v>17</v>
      </c>
      <c r="S44" s="711">
        <f t="shared" si="12"/>
        <v>100</v>
      </c>
      <c r="T44" s="710" t="s">
        <v>17</v>
      </c>
      <c r="U44" s="711">
        <f t="shared" si="13"/>
        <v>100</v>
      </c>
      <c r="V44" s="710" t="s">
        <v>17</v>
      </c>
      <c r="W44" s="711">
        <f t="shared" si="14"/>
        <v>100</v>
      </c>
      <c r="X44" s="712"/>
      <c r="Y44" s="3421"/>
      <c r="Z44" s="55">
        <f t="shared" si="15"/>
        <v>111</v>
      </c>
      <c r="AA44" s="713">
        <f t="shared" si="3"/>
        <v>1</v>
      </c>
      <c r="AB44" s="713">
        <f t="shared" si="4"/>
        <v>1</v>
      </c>
      <c r="AC44" s="713">
        <f t="shared" si="5"/>
        <v>1</v>
      </c>
    </row>
    <row r="45" spans="1:29" ht="15" hidden="1">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462"/>
      <c r="Q45" s="1526">
        <f t="shared" si="11"/>
        <v>111</v>
      </c>
      <c r="R45" s="714" t="s">
        <v>17</v>
      </c>
      <c r="S45" s="715">
        <f t="shared" si="12"/>
        <v>100</v>
      </c>
      <c r="T45" s="714" t="s">
        <v>17</v>
      </c>
      <c r="U45" s="715">
        <f t="shared" si="13"/>
        <v>100</v>
      </c>
      <c r="V45" s="714" t="s">
        <v>17</v>
      </c>
      <c r="W45" s="715">
        <f t="shared" si="14"/>
        <v>100</v>
      </c>
      <c r="X45" s="1529"/>
      <c r="Y45" s="3421"/>
      <c r="Z45" s="1530">
        <f t="shared" si="15"/>
        <v>111</v>
      </c>
      <c r="AA45" s="1527">
        <f t="shared" si="3"/>
        <v>1</v>
      </c>
      <c r="AB45" s="1527">
        <f t="shared" si="4"/>
        <v>1</v>
      </c>
      <c r="AC45" s="1527">
        <f t="shared" si="5"/>
        <v>1</v>
      </c>
    </row>
    <row r="46" spans="1:29" ht="15.75" hidden="1" thickBot="1">
      <c r="A46" s="437"/>
      <c r="B46" s="207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463"/>
      <c r="Q46" s="1526">
        <f t="shared" si="11"/>
        <v>111</v>
      </c>
      <c r="R46" s="714" t="s">
        <v>17</v>
      </c>
      <c r="S46" s="715">
        <f t="shared" si="12"/>
        <v>100</v>
      </c>
      <c r="T46" s="714" t="s">
        <v>17</v>
      </c>
      <c r="U46" s="715">
        <f t="shared" si="13"/>
        <v>100</v>
      </c>
      <c r="V46" s="714" t="s">
        <v>17</v>
      </c>
      <c r="W46" s="715">
        <f t="shared" si="14"/>
        <v>100</v>
      </c>
      <c r="X46" s="1529"/>
      <c r="Y46" s="3464"/>
      <c r="Z46" s="1530">
        <f t="shared" si="15"/>
        <v>111</v>
      </c>
      <c r="AA46" s="1527">
        <f t="shared" si="3"/>
        <v>1</v>
      </c>
      <c r="AB46" s="1527">
        <f t="shared" si="4"/>
        <v>1</v>
      </c>
      <c r="AC46" s="1527">
        <f t="shared" si="5"/>
        <v>1</v>
      </c>
    </row>
    <row r="47" spans="1:29" ht="15">
      <c r="A47" s="438" t="s">
        <v>2396</v>
      </c>
      <c r="B47" s="439"/>
      <c r="C47" s="1308" t="s">
        <v>1</v>
      </c>
      <c r="D47" s="1309"/>
      <c r="E47" s="1310">
        <f>ROUND(案例!I69*M47,0)</f>
        <v>35257</v>
      </c>
      <c r="F47" s="1311"/>
      <c r="G47" s="1312">
        <f>ROUND(案例!I70*M47,0)</f>
        <v>39337</v>
      </c>
      <c r="H47" s="1313"/>
      <c r="I47" s="1310">
        <f>ROUND(案例!I71*M47,0)</f>
        <v>36853</v>
      </c>
      <c r="J47" s="1313"/>
      <c r="K47" s="723"/>
      <c r="L47" s="3190" t="s">
        <v>3429</v>
      </c>
      <c r="M47" s="2941">
        <v>0.9</v>
      </c>
      <c r="N47" s="2932"/>
      <c r="O47" s="2941"/>
      <c r="P47" s="3403" t="str">
        <f>A47</f>
        <v>成交单价（元/平方米）</v>
      </c>
      <c r="Q47" s="3403"/>
      <c r="R47" s="3416">
        <f>E47</f>
        <v>35257</v>
      </c>
      <c r="S47" s="3416"/>
      <c r="T47" s="3416">
        <f>G47</f>
        <v>39337</v>
      </c>
      <c r="U47" s="3416"/>
      <c r="V47" s="3416">
        <f>I47</f>
        <v>36853</v>
      </c>
      <c r="W47" s="3416"/>
      <c r="X47" s="699"/>
      <c r="Y47" s="721"/>
      <c r="Z47" s="699"/>
      <c r="AA47" s="699"/>
      <c r="AB47" s="699"/>
      <c r="AC47" s="699"/>
    </row>
    <row r="48" spans="1:29" ht="15.75" thickBot="1">
      <c r="A48" s="445" t="s">
        <v>2488</v>
      </c>
      <c r="B48" s="446"/>
      <c r="C48" s="1314">
        <f>R49</f>
        <v>39067</v>
      </c>
      <c r="D48" s="2527" t="s">
        <v>2872</v>
      </c>
      <c r="E48" s="1315">
        <f>R48</f>
        <v>36726</v>
      </c>
      <c r="F48" s="2528"/>
      <c r="G48" s="1314">
        <f>T48</f>
        <v>38596</v>
      </c>
      <c r="H48" s="2528"/>
      <c r="I48" s="1315">
        <f>V48</f>
        <v>41878</v>
      </c>
      <c r="J48" s="2528"/>
      <c r="K48" s="2530">
        <f>F48+H48+J48</f>
        <v>0</v>
      </c>
      <c r="L48" s="2940"/>
      <c r="M48" s="2941"/>
      <c r="N48" s="2932"/>
      <c r="O48" s="2941"/>
      <c r="P48" s="3403" t="str">
        <f>A48</f>
        <v>比较价值（元/平方米）</v>
      </c>
      <c r="Q48" s="3403"/>
      <c r="R48" s="3465">
        <f>IF(F1="售价",ROUND(PRODUCT(R47,AA7:AA46),0),ROUND(PRODUCT(R47,AA7:AA46),1))</f>
        <v>36726</v>
      </c>
      <c r="S48" s="3465"/>
      <c r="T48" s="3465">
        <f>IF(F1="售价",ROUND(PRODUCT(T47,AB7:AB46),0),ROUND(PRODUCT(T47,AB7:AB46),1))</f>
        <v>38596</v>
      </c>
      <c r="U48" s="3465"/>
      <c r="V48" s="3465">
        <f>IF(F1="售价",ROUND(PRODUCT(V47,AC7:AC46),0),ROUND(PRODUCT(V47,AC7:AC46),1))</f>
        <v>41878</v>
      </c>
      <c r="W48" s="3465"/>
      <c r="X48" s="699"/>
      <c r="Y48" s="699"/>
      <c r="Z48" s="699"/>
      <c r="AA48" s="699"/>
      <c r="AB48" s="699"/>
      <c r="AC48" s="699"/>
    </row>
    <row r="49" spans="1:29" ht="15.75" thickBot="1">
      <c r="A49" s="449" t="s">
        <v>2489</v>
      </c>
      <c r="B49" s="450"/>
      <c r="C49" s="1317">
        <f>R49</f>
        <v>39067</v>
      </c>
      <c r="D49" s="1317"/>
      <c r="E49" s="1317"/>
      <c r="F49" s="1317"/>
      <c r="G49" s="1317"/>
      <c r="H49" s="1317"/>
      <c r="I49" s="1317"/>
      <c r="J49" s="1317"/>
      <c r="K49" s="724"/>
      <c r="L49" s="2940"/>
      <c r="M49" s="2941"/>
      <c r="N49" s="2932"/>
      <c r="O49" s="2941"/>
      <c r="P49" s="3423" t="str">
        <f>A49</f>
        <v>估价对象XX用房的比较价值（楼面单价，元/平方米）</v>
      </c>
      <c r="Q49" s="3424"/>
      <c r="R49" s="3466">
        <f>IF(F1="售价",ROUND(IF(D48="简单平均",AVERAGE(R48:V48),R48*F48+T48*H48+V48*J48),0),ROUND(IF(D48="简单平均",AVERAGE(R48:V48),R48*F48+T48*H48+V48*J48),1))</f>
        <v>39067</v>
      </c>
      <c r="S49" s="3466"/>
      <c r="T49" s="3466"/>
      <c r="U49" s="3466"/>
      <c r="V49" s="3466"/>
      <c r="W49" s="3466"/>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2490</v>
      </c>
      <c r="D52" s="455"/>
      <c r="E52" s="456">
        <f>IF(E47&lt;E48,E48/E47-1,E47/E48-1)</f>
        <v>4.1665484868253166E-2</v>
      </c>
      <c r="F52" s="457" t="str">
        <f>IF(OR(E52&gt;=0.3,E52&lt;=-0.3),"超过30%","")</f>
        <v/>
      </c>
      <c r="G52" s="456">
        <f>IF(G47&lt;G48,G48/G47-1,G47/G48-1)</f>
        <v>1.9198880713027222E-2</v>
      </c>
      <c r="H52" s="457" t="str">
        <f>IF(OR(G52&gt;=0.3,G52&lt;=-0.3),"超过30%","")</f>
        <v/>
      </c>
      <c r="I52" s="456">
        <f>IF(I47&lt;I48,I48/I47-1,I47/I48-1)</f>
        <v>0.1363525357501425</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2491</v>
      </c>
      <c r="D53" s="458"/>
      <c r="E53" s="456">
        <f>IF(E48&lt;G48,G48/E48-1,E48/G48-1)</f>
        <v>5.0917606055655318E-2</v>
      </c>
      <c r="F53" s="457" t="str">
        <f>IF(OR(E53&gt;=0.2,E53&lt;=-0.2),"超过20%","")</f>
        <v/>
      </c>
      <c r="G53" s="456">
        <f>IF(G48&lt;I48,I48/G48-1,G48/I48-1)</f>
        <v>8.5034718623691496E-2</v>
      </c>
      <c r="H53" s="457" t="str">
        <f>IF(OR(G53&gt;=0.2,G53&lt;=-0.2),"超过20%","")</f>
        <v/>
      </c>
      <c r="I53" s="456">
        <f>IF(I48&lt;E48,E48/I48-1,I48/E48-1)</f>
        <v>0.14028208898328165</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2492</v>
      </c>
      <c r="D54" s="458"/>
      <c r="E54" s="456">
        <f>IF(E47&lt;G47,G47/E47-1,E47/G47-1)</f>
        <v>0.11572170065518894</v>
      </c>
      <c r="F54" s="457" t="str">
        <f>IF(OR(E54&gt;=0.3,E54&lt;=-0.3),"超过30%","")</f>
        <v/>
      </c>
      <c r="G54" s="456">
        <f>IF(G47&lt;I47,I47/G47-1,G47/I47-1)</f>
        <v>6.7402925134995684E-2</v>
      </c>
      <c r="H54" s="457" t="str">
        <f>IF(OR(G54&gt;=0.3,G54&lt;=-0.3),"超过30%","")</f>
        <v/>
      </c>
      <c r="I54" s="456">
        <f>IF(I47&lt;E47,E47/I47-1,I47/E47-1)</f>
        <v>4.5267606432765062E-2</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2493</v>
      </c>
      <c r="B57" s="699"/>
      <c r="C57" s="704"/>
      <c r="D57" s="704"/>
      <c r="E57" s="704"/>
      <c r="F57" s="705"/>
      <c r="G57" s="705"/>
      <c r="H57" s="704"/>
      <c r="I57" s="704"/>
      <c r="J57" s="704"/>
      <c r="K57" s="706"/>
      <c r="L57" s="1066"/>
      <c r="M57" s="1064"/>
      <c r="N57" s="1064"/>
      <c r="O57" s="1064"/>
      <c r="P57" s="2954"/>
      <c r="Q57" s="2955"/>
      <c r="R57" s="2941"/>
      <c r="S57" s="2941"/>
      <c r="T57" s="2941"/>
      <c r="U57" s="2941"/>
      <c r="V57" s="2941"/>
      <c r="W57" s="2941"/>
      <c r="X57" s="2941"/>
      <c r="Y57" s="2941"/>
      <c r="Z57" s="2941"/>
      <c r="AA57" s="2941"/>
      <c r="AB57" s="2941"/>
      <c r="AC57" s="2941"/>
    </row>
    <row r="58" spans="1:29" s="465" customFormat="1" ht="15">
      <c r="A58" s="462" t="s">
        <v>2367</v>
      </c>
      <c r="B58" s="463"/>
      <c r="C58" s="1337" t="str">
        <f>YEAR(C7)&amp;"-"&amp;MONTH(C7)</f>
        <v>2021-11</v>
      </c>
      <c r="D58" s="1338">
        <f>EDATE(C58,-1)</f>
        <v>44470</v>
      </c>
      <c r="E58" s="1338">
        <f t="shared" ref="E58:N58" si="16">EDATE(D58,-1)</f>
        <v>44440</v>
      </c>
      <c r="F58" s="1338">
        <f t="shared" si="16"/>
        <v>44409</v>
      </c>
      <c r="G58" s="1338">
        <f t="shared" si="16"/>
        <v>44378</v>
      </c>
      <c r="H58" s="1338">
        <f t="shared" si="16"/>
        <v>44348</v>
      </c>
      <c r="I58" s="1338">
        <f t="shared" si="16"/>
        <v>44317</v>
      </c>
      <c r="J58" s="1338">
        <f t="shared" si="16"/>
        <v>44287</v>
      </c>
      <c r="K58" s="1338">
        <f t="shared" si="16"/>
        <v>44256</v>
      </c>
      <c r="L58" s="1338">
        <f t="shared" si="16"/>
        <v>44228</v>
      </c>
      <c r="M58" s="1338">
        <f t="shared" si="16"/>
        <v>44197</v>
      </c>
      <c r="N58" s="1338">
        <f t="shared" si="16"/>
        <v>44166</v>
      </c>
      <c r="O58" s="1338">
        <f>EDATE(N58,-1)</f>
        <v>44136</v>
      </c>
      <c r="P58" s="2956"/>
      <c r="Q58" s="2957"/>
      <c r="R58" s="2957"/>
      <c r="S58" s="2957"/>
      <c r="T58" s="2957"/>
      <c r="U58" s="2957"/>
      <c r="V58" s="2957"/>
      <c r="W58" s="2957"/>
      <c r="X58" s="2957"/>
      <c r="Y58" s="2957"/>
      <c r="Z58" s="2957"/>
      <c r="AA58" s="2957"/>
      <c r="AB58" s="2957"/>
      <c r="AC58" s="2957"/>
    </row>
    <row r="59" spans="1:29" s="113" customFormat="1" ht="15">
      <c r="A59" s="466"/>
      <c r="B59" s="467"/>
      <c r="C59" s="1336">
        <v>100</v>
      </c>
      <c r="D59" s="469">
        <v>100</v>
      </c>
      <c r="E59" s="469">
        <v>100</v>
      </c>
      <c r="F59" s="469">
        <v>100</v>
      </c>
      <c r="G59" s="469">
        <v>100</v>
      </c>
      <c r="H59" s="469">
        <v>100</v>
      </c>
      <c r="I59" s="469">
        <v>100</v>
      </c>
      <c r="J59" s="469">
        <v>100</v>
      </c>
      <c r="K59" s="469">
        <v>100</v>
      </c>
      <c r="L59" s="469">
        <v>100</v>
      </c>
      <c r="M59" s="470">
        <v>100</v>
      </c>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2404</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2369</v>
      </c>
      <c r="B61" s="467"/>
      <c r="C61" s="479" t="s">
        <v>2471</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2407</v>
      </c>
      <c r="B63" s="485" t="s">
        <v>2373</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2377</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v>4</v>
      </c>
      <c r="H68" s="506">
        <v>5</v>
      </c>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2378</v>
      </c>
      <c r="B76" s="485" t="s">
        <v>2415</v>
      </c>
      <c r="C76" s="530" t="s">
        <v>2416</v>
      </c>
      <c r="D76" s="530" t="s">
        <v>2417</v>
      </c>
      <c r="E76" s="530" t="s">
        <v>2418</v>
      </c>
      <c r="F76" s="530" t="s">
        <v>2419</v>
      </c>
      <c r="G76" s="530" t="s">
        <v>2420</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98</v>
      </c>
      <c r="E77" s="501">
        <f>D77-$K15</f>
        <v>96</v>
      </c>
      <c r="F77" s="501">
        <f>E77-$K15</f>
        <v>94</v>
      </c>
      <c r="G77" s="501">
        <f>F77-$K15</f>
        <v>92</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2421</v>
      </c>
      <c r="C78" s="535" t="s">
        <v>2416</v>
      </c>
      <c r="D78" s="535" t="s">
        <v>2417</v>
      </c>
      <c r="E78" s="535" t="s">
        <v>2418</v>
      </c>
      <c r="F78" s="535" t="s">
        <v>2419</v>
      </c>
      <c r="G78" s="535" t="s">
        <v>2420</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98</v>
      </c>
      <c r="E79" s="501">
        <f>D79-$K17</f>
        <v>96</v>
      </c>
      <c r="F79" s="501">
        <f>E79-$K17</f>
        <v>94</v>
      </c>
      <c r="G79" s="501">
        <f>F79-$K17</f>
        <v>92</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2422</v>
      </c>
      <c r="C80" s="535" t="s">
        <v>2416</v>
      </c>
      <c r="D80" s="535" t="s">
        <v>2417</v>
      </c>
      <c r="E80" s="535" t="s">
        <v>2418</v>
      </c>
      <c r="F80" s="535" t="s">
        <v>2419</v>
      </c>
      <c r="G80" s="535" t="s">
        <v>2420</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98</v>
      </c>
      <c r="E81" s="501">
        <f>D81-$K19</f>
        <v>96</v>
      </c>
      <c r="F81" s="501">
        <f>E81-$K19</f>
        <v>94</v>
      </c>
      <c r="G81" s="501">
        <f>F81-$K19</f>
        <v>92</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2474</v>
      </c>
      <c r="C82" s="616" t="s">
        <v>2494</v>
      </c>
      <c r="D82" s="616" t="s">
        <v>2495</v>
      </c>
      <c r="E82" s="616" t="s">
        <v>2496</v>
      </c>
      <c r="F82" s="616" t="s">
        <v>2497</v>
      </c>
      <c r="G82" s="616" t="s">
        <v>2498</v>
      </c>
      <c r="H82" s="496"/>
      <c r="I82" s="496"/>
      <c r="J82" s="496"/>
      <c r="K82" s="496"/>
      <c r="L82" s="496"/>
      <c r="M82" s="1283"/>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2428</v>
      </c>
      <c r="C84" s="535" t="s">
        <v>2416</v>
      </c>
      <c r="D84" s="535" t="s">
        <v>2417</v>
      </c>
      <c r="E84" s="535" t="s">
        <v>2418</v>
      </c>
      <c r="F84" s="535" t="s">
        <v>2419</v>
      </c>
      <c r="G84" s="535" t="s">
        <v>2420</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98</v>
      </c>
      <c r="E85" s="501">
        <f>D85-$K23</f>
        <v>96</v>
      </c>
      <c r="F85" s="501">
        <f>E85-$K23</f>
        <v>94</v>
      </c>
      <c r="G85" s="501">
        <f>F85-$K23</f>
        <v>92</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2499</v>
      </c>
      <c r="C86" s="3120" t="s">
        <v>3360</v>
      </c>
      <c r="D86" s="3120" t="s">
        <v>3361</v>
      </c>
      <c r="E86" s="3120" t="s">
        <v>3363</v>
      </c>
      <c r="F86" s="3120" t="s">
        <v>3364</v>
      </c>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0" t="s">
        <v>3365</v>
      </c>
      <c r="D88" s="3120" t="s">
        <v>3366</v>
      </c>
      <c r="E88" s="3120" t="s">
        <v>3367</v>
      </c>
      <c r="F88" s="3180" t="s">
        <v>3368</v>
      </c>
      <c r="G88" s="3120" t="s">
        <v>3369</v>
      </c>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v>100</v>
      </c>
      <c r="D89" s="493">
        <f>C89-2</f>
        <v>98</v>
      </c>
      <c r="E89" s="493">
        <f>D89-2</f>
        <v>96</v>
      </c>
      <c r="F89" s="493">
        <f>E89-2</f>
        <v>94</v>
      </c>
      <c r="G89" s="493">
        <f>F89-2</f>
        <v>92</v>
      </c>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3120" t="s">
        <v>3370</v>
      </c>
      <c r="D90" s="3120" t="s">
        <v>3371</v>
      </c>
      <c r="E90" s="3120" t="s">
        <v>3367</v>
      </c>
      <c r="F90" s="3120" t="s">
        <v>3372</v>
      </c>
      <c r="G90" s="3120" t="s">
        <v>3373</v>
      </c>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3374</v>
      </c>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v>100</v>
      </c>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3"/>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2382</v>
      </c>
      <c r="B100" s="485" t="s">
        <v>2500</v>
      </c>
      <c r="C100" s="3119" t="s">
        <v>3375</v>
      </c>
      <c r="D100" s="3119" t="s">
        <v>3376</v>
      </c>
      <c r="E100" s="3119" t="s">
        <v>3377</v>
      </c>
      <c r="F100" s="3119" t="s">
        <v>3379</v>
      </c>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2432</v>
      </c>
      <c r="C102" s="535" t="str">
        <f>C103&amp;"(含)"&amp;"-"&amp;D103</f>
        <v>0(含)-10000000</v>
      </c>
      <c r="D102" s="535" t="str">
        <f t="shared" ref="D102:L102" si="23">D103&amp;"(含)"&amp;"-"&amp;E103</f>
        <v>10000000(含)-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v>0</v>
      </c>
      <c r="D103" s="552">
        <v>10000000</v>
      </c>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v>100</v>
      </c>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2433</v>
      </c>
      <c r="C105" s="3120" t="s">
        <v>3380</v>
      </c>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2435</v>
      </c>
      <c r="C107" s="3120" t="s">
        <v>3382</v>
      </c>
      <c r="D107" s="3120" t="s">
        <v>3384</v>
      </c>
      <c r="E107" s="3120" t="s">
        <v>3385</v>
      </c>
      <c r="F107" s="3121" t="s">
        <v>3386</v>
      </c>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2437</v>
      </c>
      <c r="C112" s="511" t="str">
        <f>C82</f>
        <v>七通</v>
      </c>
      <c r="D112" s="511" t="str">
        <f>D82</f>
        <v>六通</v>
      </c>
      <c r="E112" s="511" t="str">
        <f>E82</f>
        <v>五通</v>
      </c>
      <c r="F112" s="511" t="str">
        <f>F82</f>
        <v>四通</v>
      </c>
      <c r="G112" s="511" t="str">
        <f>G82</f>
        <v>三通</v>
      </c>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2501</v>
      </c>
      <c r="C114" s="3120" t="s">
        <v>3387</v>
      </c>
      <c r="D114" s="3120" t="s">
        <v>3389</v>
      </c>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95</v>
      </c>
      <c r="E115" s="501">
        <f t="shared" si="28"/>
        <v>90</v>
      </c>
      <c r="F115" s="501">
        <f t="shared" si="28"/>
        <v>85</v>
      </c>
      <c r="G115" s="501">
        <f t="shared" si="28"/>
        <v>80</v>
      </c>
      <c r="H115" s="501">
        <f t="shared" si="28"/>
        <v>75</v>
      </c>
      <c r="I115" s="501">
        <f t="shared" si="28"/>
        <v>70</v>
      </c>
      <c r="J115" s="501">
        <f t="shared" si="28"/>
        <v>65</v>
      </c>
      <c r="K115" s="501">
        <f t="shared" si="28"/>
        <v>60</v>
      </c>
      <c r="L115" s="501">
        <f t="shared" si="28"/>
        <v>55</v>
      </c>
      <c r="M115" s="502">
        <f t="shared" si="28"/>
        <v>50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2502</v>
      </c>
      <c r="C116" s="3120" t="s">
        <v>3390</v>
      </c>
      <c r="D116" s="3120" t="s">
        <v>3392</v>
      </c>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2503</v>
      </c>
      <c r="C118" s="583" t="s">
        <v>3393</v>
      </c>
      <c r="D118" s="583" t="s">
        <v>3394</v>
      </c>
      <c r="E118" s="583" t="s">
        <v>3395</v>
      </c>
      <c r="F118" s="583" t="s">
        <v>3396</v>
      </c>
      <c r="G118" s="583" t="s">
        <v>3397</v>
      </c>
      <c r="H118" s="512" t="s">
        <v>3398</v>
      </c>
      <c r="I118" s="512" t="s">
        <v>3399</v>
      </c>
      <c r="J118" s="512" t="s">
        <v>3400</v>
      </c>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v>100</v>
      </c>
      <c r="D119" s="493">
        <f>C119-4</f>
        <v>96</v>
      </c>
      <c r="E119" s="493">
        <f t="shared" ref="E119:J119" si="29">D119-4</f>
        <v>92</v>
      </c>
      <c r="F119" s="493">
        <f t="shared" si="29"/>
        <v>88</v>
      </c>
      <c r="G119" s="493">
        <f t="shared" si="29"/>
        <v>84</v>
      </c>
      <c r="H119" s="493">
        <f t="shared" si="29"/>
        <v>80</v>
      </c>
      <c r="I119" s="493">
        <f t="shared" si="29"/>
        <v>76</v>
      </c>
      <c r="J119" s="493">
        <f t="shared" si="29"/>
        <v>72</v>
      </c>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2504</v>
      </c>
      <c r="C120" s="3121" t="s">
        <v>3401</v>
      </c>
      <c r="D120" s="3121" t="s">
        <v>3402</v>
      </c>
      <c r="E120" s="3121" t="s">
        <v>3367</v>
      </c>
      <c r="F120" s="3121" t="s">
        <v>3403</v>
      </c>
      <c r="G120" s="3181" t="s">
        <v>3404</v>
      </c>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2439</v>
      </c>
      <c r="C122" s="511" t="str">
        <f>C107</f>
        <v>精装修</v>
      </c>
      <c r="D122" s="511" t="str">
        <f>D107</f>
        <v>普通装修</v>
      </c>
      <c r="E122" s="511" t="str">
        <f>E107</f>
        <v>简单装修</v>
      </c>
      <c r="F122" s="511" t="str">
        <f>F107</f>
        <v>毛坯</v>
      </c>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3"/>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7" priority="21" stopIfTrue="1" operator="containsText" text="超过">
      <formula>NOT(ISERROR(SEARCH("超过",F52)))</formula>
    </cfRule>
  </conditionalFormatting>
  <conditionalFormatting sqref="H54">
    <cfRule type="containsText" dxfId="176" priority="19" stopIfTrue="1" operator="containsText" text="超过">
      <formula>NOT(ISERROR(SEARCH("超过",H54)))</formula>
    </cfRule>
  </conditionalFormatting>
  <conditionalFormatting sqref="F54">
    <cfRule type="containsText" dxfId="175" priority="18" stopIfTrue="1" operator="containsText" text="超过">
      <formula>NOT(ISERROR(SEARCH("超过",F54)))</formula>
    </cfRule>
  </conditionalFormatting>
  <conditionalFormatting sqref="F53 H53">
    <cfRule type="containsText" dxfId="174" priority="17" stopIfTrue="1" operator="containsText" text="超过">
      <formula>NOT(ISERROR(SEARCH("超过",F53)))</formula>
    </cfRule>
  </conditionalFormatting>
  <conditionalFormatting sqref="E52">
    <cfRule type="expression" dxfId="173" priority="16" stopIfTrue="1">
      <formula>$F$52="超过30%"</formula>
    </cfRule>
  </conditionalFormatting>
  <conditionalFormatting sqref="E53">
    <cfRule type="expression" dxfId="172" priority="15" stopIfTrue="1">
      <formula>$F$53="超过20%"</formula>
    </cfRule>
  </conditionalFormatting>
  <conditionalFormatting sqref="E54">
    <cfRule type="expression" dxfId="171" priority="14" stopIfTrue="1">
      <formula>$F$54="超过30%"</formula>
    </cfRule>
  </conditionalFormatting>
  <conditionalFormatting sqref="G54">
    <cfRule type="expression" dxfId="170" priority="13" stopIfTrue="1">
      <formula>$H$54="超过30%"</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J52">
    <cfRule type="containsText" dxfId="167" priority="10" stopIfTrue="1" operator="containsText" text="超过">
      <formula>NOT(ISERROR(SEARCH("超过",J52)))</formula>
    </cfRule>
  </conditionalFormatting>
  <conditionalFormatting sqref="J54">
    <cfRule type="containsText" dxfId="166" priority="9" stopIfTrue="1" operator="containsText" text="超过">
      <formula>NOT(ISERROR(SEARCH("超过",J54)))</formula>
    </cfRule>
  </conditionalFormatting>
  <conditionalFormatting sqref="J53">
    <cfRule type="containsText" dxfId="165" priority="8" stopIfTrue="1" operator="containsText" text="超过">
      <formula>NOT(ISERROR(SEARCH("超过",J53)))</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F1" zoomScale="90" zoomScaleNormal="90" workbookViewId="0">
      <pane ySplit="24" topLeftCell="A25" activePane="bottomLeft" state="frozen"/>
      <selection activeCell="G17" sqref="G17"/>
      <selection pane="bottomLeft" activeCell="U29" sqref="U29"/>
    </sheetView>
  </sheetViews>
  <sheetFormatPr defaultColWidth="9" defaultRowHeight="12.75"/>
  <cols>
    <col min="1" max="1" width="30.2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2820</v>
      </c>
      <c r="C1" s="3470" t="s">
        <v>2821</v>
      </c>
      <c r="D1" s="3471"/>
      <c r="E1" s="3471"/>
      <c r="F1" s="3471"/>
      <c r="G1" s="3471"/>
      <c r="H1" s="3471"/>
      <c r="I1" s="3471"/>
      <c r="J1" s="3471"/>
      <c r="K1" s="3471"/>
      <c r="L1" s="3471"/>
      <c r="M1" s="3471"/>
      <c r="N1" s="3471"/>
      <c r="O1" s="3471"/>
      <c r="P1" s="3471"/>
      <c r="Q1" s="3471"/>
      <c r="R1" s="3471"/>
      <c r="S1" s="3472"/>
      <c r="T1" s="1107" t="s">
        <v>2822</v>
      </c>
    </row>
    <row r="2" spans="1:45" s="663" customFormat="1" ht="38.25">
      <c r="A2" s="1108"/>
      <c r="B2" s="659" t="s">
        <v>2823</v>
      </c>
      <c r="C2" s="660" t="str">
        <f t="shared" ref="C2:L2" si="0">C3&amp;"(含)"&amp;"-"&amp;D3</f>
        <v>0(含)-30</v>
      </c>
      <c r="D2" s="661" t="str">
        <f t="shared" si="0"/>
        <v>30(含)-60</v>
      </c>
      <c r="E2" s="661" t="str">
        <f t="shared" si="0"/>
        <v>60(含)-90</v>
      </c>
      <c r="F2" s="661" t="str">
        <f t="shared" si="0"/>
        <v>90(含)-150</v>
      </c>
      <c r="G2" s="661" t="str">
        <f t="shared" si="0"/>
        <v>150(含)-200</v>
      </c>
      <c r="H2" s="661" t="str">
        <f t="shared" si="0"/>
        <v>200(含)-300</v>
      </c>
      <c r="I2" s="661" t="str">
        <f t="shared" si="0"/>
        <v>300(含)-500</v>
      </c>
      <c r="J2" s="661" t="str">
        <f t="shared" si="0"/>
        <v>500(含)-1000</v>
      </c>
      <c r="K2" s="661" t="str">
        <f t="shared" si="0"/>
        <v>1000(含)-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v>0</v>
      </c>
      <c r="D3" s="666">
        <v>30</v>
      </c>
      <c r="E3" s="666">
        <v>60</v>
      </c>
      <c r="F3" s="1464">
        <v>90</v>
      </c>
      <c r="G3" s="1464">
        <v>150</v>
      </c>
      <c r="H3" s="1464">
        <v>200</v>
      </c>
      <c r="I3" s="1464">
        <v>300</v>
      </c>
      <c r="J3" s="1464">
        <v>500</v>
      </c>
      <c r="K3" s="1464">
        <v>1000</v>
      </c>
      <c r="L3" s="1465"/>
      <c r="M3" s="1466"/>
      <c r="N3" s="1466"/>
      <c r="O3" s="1464"/>
      <c r="P3" s="1464"/>
      <c r="Q3" s="1464"/>
      <c r="R3" s="1464"/>
      <c r="S3" s="146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f>'比较法-商业'!C119</f>
        <v>100</v>
      </c>
      <c r="D4" s="1113">
        <f>'比较法-商业'!D119</f>
        <v>96</v>
      </c>
      <c r="E4" s="1113">
        <f>'比较法-商业'!E119</f>
        <v>92</v>
      </c>
      <c r="F4" s="1113">
        <f>'比较法-商业'!F119</f>
        <v>88</v>
      </c>
      <c r="G4" s="1113">
        <f>'比较法-商业'!G119</f>
        <v>84</v>
      </c>
      <c r="H4" s="1113">
        <f>'比较法-商业'!H119</f>
        <v>80</v>
      </c>
      <c r="I4" s="1113">
        <f>'比较法-商业'!I119</f>
        <v>76</v>
      </c>
      <c r="J4" s="1113">
        <f>'比较法-商业'!J119</f>
        <v>72</v>
      </c>
      <c r="K4" s="1468"/>
      <c r="L4" s="1468"/>
      <c r="M4" s="1469"/>
      <c r="N4" s="1469"/>
      <c r="O4" s="1468"/>
      <c r="P4" s="1468"/>
      <c r="Q4" s="1468"/>
      <c r="R4" s="1468"/>
      <c r="S4" s="1470"/>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18"/>
      <c r="B5" s="3182" t="s">
        <v>3405</v>
      </c>
      <c r="C5" s="3183" t="s">
        <v>3406</v>
      </c>
      <c r="D5" s="3184" t="s">
        <v>3408</v>
      </c>
      <c r="E5" s="1120"/>
      <c r="F5" s="1471"/>
      <c r="G5" s="1471"/>
      <c r="H5" s="1471"/>
      <c r="I5" s="1471"/>
      <c r="J5" s="1471"/>
      <c r="K5" s="1471"/>
      <c r="L5" s="1472"/>
      <c r="M5" s="1473"/>
      <c r="N5" s="1473"/>
      <c r="O5" s="1471"/>
      <c r="P5" s="1471"/>
      <c r="Q5" s="1471"/>
      <c r="R5" s="1471"/>
      <c r="S5" s="1474"/>
      <c r="T5" s="1122">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4"/>
      <c r="C6" s="1029">
        <v>100</v>
      </c>
      <c r="D6" s="1027">
        <f>C6-$T5</f>
        <v>95</v>
      </c>
      <c r="E6" s="1027">
        <f t="shared" ref="E6:S6" si="7">D6-$T5</f>
        <v>90</v>
      </c>
      <c r="F6" s="1475">
        <f t="shared" si="7"/>
        <v>85</v>
      </c>
      <c r="G6" s="1475">
        <f t="shared" si="7"/>
        <v>80</v>
      </c>
      <c r="H6" s="1475">
        <f t="shared" si="7"/>
        <v>75</v>
      </c>
      <c r="I6" s="1475">
        <f t="shared" si="7"/>
        <v>70</v>
      </c>
      <c r="J6" s="1475">
        <f t="shared" si="7"/>
        <v>65</v>
      </c>
      <c r="K6" s="1475">
        <f t="shared" si="7"/>
        <v>60</v>
      </c>
      <c r="L6" s="1475">
        <f t="shared" si="7"/>
        <v>55</v>
      </c>
      <c r="M6" s="1475">
        <f t="shared" si="7"/>
        <v>50</v>
      </c>
      <c r="N6" s="1475">
        <f t="shared" si="7"/>
        <v>45</v>
      </c>
      <c r="O6" s="1475">
        <f t="shared" si="7"/>
        <v>40</v>
      </c>
      <c r="P6" s="1475">
        <f t="shared" si="7"/>
        <v>35</v>
      </c>
      <c r="Q6" s="1475">
        <f t="shared" si="7"/>
        <v>30</v>
      </c>
      <c r="R6" s="1475">
        <f t="shared" si="7"/>
        <v>25</v>
      </c>
      <c r="S6" s="1475">
        <f t="shared" si="7"/>
        <v>20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18"/>
      <c r="B7" s="3193" t="s">
        <v>3432</v>
      </c>
      <c r="C7" s="3195" t="s">
        <v>3434</v>
      </c>
      <c r="D7" s="3195" t="s">
        <v>3433</v>
      </c>
      <c r="E7" s="3195" t="s">
        <v>3436</v>
      </c>
      <c r="F7" s="1476"/>
      <c r="G7" s="1476"/>
      <c r="H7" s="1476"/>
      <c r="I7" s="1476"/>
      <c r="J7" s="1476"/>
      <c r="K7" s="1476"/>
      <c r="L7" s="1476"/>
      <c r="M7" s="1477"/>
      <c r="N7" s="1478"/>
      <c r="O7" s="1479"/>
      <c r="P7" s="1480"/>
      <c r="Q7" s="1481"/>
      <c r="R7" s="1482"/>
      <c r="S7" s="1483"/>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4"/>
      <c r="C8" s="1029">
        <v>100</v>
      </c>
      <c r="D8" s="1027">
        <f>C8-$T7</f>
        <v>98</v>
      </c>
      <c r="E8" s="1027">
        <f t="shared" ref="E8:S8" si="8">D8-$T7</f>
        <v>96</v>
      </c>
      <c r="F8" s="1475">
        <f t="shared" si="8"/>
        <v>94</v>
      </c>
      <c r="G8" s="1475">
        <f t="shared" si="8"/>
        <v>92</v>
      </c>
      <c r="H8" s="1475">
        <f t="shared" si="8"/>
        <v>90</v>
      </c>
      <c r="I8" s="1475">
        <f t="shared" si="8"/>
        <v>88</v>
      </c>
      <c r="J8" s="1475">
        <f t="shared" si="8"/>
        <v>86</v>
      </c>
      <c r="K8" s="1475">
        <f t="shared" si="8"/>
        <v>84</v>
      </c>
      <c r="L8" s="1475">
        <f t="shared" si="8"/>
        <v>82</v>
      </c>
      <c r="M8" s="1475">
        <f t="shared" si="8"/>
        <v>80</v>
      </c>
      <c r="N8" s="1475">
        <f t="shared" si="8"/>
        <v>78</v>
      </c>
      <c r="O8" s="1475">
        <f t="shared" si="8"/>
        <v>76</v>
      </c>
      <c r="P8" s="1475">
        <f t="shared" si="8"/>
        <v>74</v>
      </c>
      <c r="Q8" s="1475">
        <f t="shared" si="8"/>
        <v>72</v>
      </c>
      <c r="R8" s="1475">
        <f t="shared" si="8"/>
        <v>70</v>
      </c>
      <c r="S8" s="1475">
        <f t="shared" si="8"/>
        <v>68</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3193" t="s">
        <v>3437</v>
      </c>
      <c r="C9" s="3194" t="s">
        <v>3438</v>
      </c>
      <c r="D9" s="3195" t="s">
        <v>3440</v>
      </c>
      <c r="E9" s="1023"/>
      <c r="F9" s="1476"/>
      <c r="G9" s="1476"/>
      <c r="H9" s="1476"/>
      <c r="I9" s="1476"/>
      <c r="J9" s="1476"/>
      <c r="K9" s="1476"/>
      <c r="L9" s="1484"/>
      <c r="M9" s="1477"/>
      <c r="N9" s="1478"/>
      <c r="O9" s="1479"/>
      <c r="P9" s="1480"/>
      <c r="Q9" s="1481"/>
      <c r="R9" s="1482"/>
      <c r="S9" s="1483"/>
      <c r="T9" s="669">
        <f>'比较法-商业'!K27</f>
        <v>3</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97</v>
      </c>
      <c r="E10" s="1124">
        <f t="shared" ref="E10:S10" si="9">D10-$T9</f>
        <v>94</v>
      </c>
      <c r="F10" s="1485">
        <f t="shared" si="9"/>
        <v>91</v>
      </c>
      <c r="G10" s="1485">
        <f t="shared" si="9"/>
        <v>88</v>
      </c>
      <c r="H10" s="1485">
        <f t="shared" si="9"/>
        <v>85</v>
      </c>
      <c r="I10" s="1485">
        <f t="shared" si="9"/>
        <v>82</v>
      </c>
      <c r="J10" s="1485">
        <f t="shared" si="9"/>
        <v>79</v>
      </c>
      <c r="K10" s="1485">
        <f t="shared" si="9"/>
        <v>76</v>
      </c>
      <c r="L10" s="1485">
        <f t="shared" si="9"/>
        <v>73</v>
      </c>
      <c r="M10" s="1485">
        <f t="shared" si="9"/>
        <v>70</v>
      </c>
      <c r="N10" s="1485">
        <f t="shared" si="9"/>
        <v>67</v>
      </c>
      <c r="O10" s="1485">
        <f t="shared" si="9"/>
        <v>64</v>
      </c>
      <c r="P10" s="1485">
        <f t="shared" si="9"/>
        <v>61</v>
      </c>
      <c r="Q10" s="1485">
        <f t="shared" si="9"/>
        <v>58</v>
      </c>
      <c r="R10" s="1485">
        <f t="shared" si="9"/>
        <v>55</v>
      </c>
      <c r="S10" s="1485">
        <f t="shared" si="9"/>
        <v>52</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7" t="s">
        <v>2824</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7" t="s">
        <v>2825</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7" t="s">
        <v>2826</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3" t="s">
        <v>2827</v>
      </c>
      <c r="B17" s="2354" t="s">
        <v>2828</v>
      </c>
      <c r="C17" s="3185" t="s">
        <v>3410</v>
      </c>
      <c r="D17" s="3186" t="s">
        <v>3412</v>
      </c>
      <c r="E17" s="3187" t="s">
        <v>3414</v>
      </c>
      <c r="F17" s="3187" t="s">
        <v>3415</v>
      </c>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5"/>
      <c r="AS17" s="735"/>
    </row>
    <row r="18" spans="1:45" s="663" customFormat="1" ht="13.5" thickBot="1">
      <c r="A18" s="1143"/>
      <c r="B18" s="1144"/>
      <c r="C18" s="1145">
        <v>100</v>
      </c>
      <c r="D18" s="1146">
        <v>85</v>
      </c>
      <c r="E18" s="1146">
        <v>70</v>
      </c>
      <c r="F18" s="1146" t="s">
        <v>3415</v>
      </c>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5"/>
      <c r="AS18" s="735"/>
    </row>
    <row r="19" spans="1:45">
      <c r="A19" s="134"/>
      <c r="B19" s="164"/>
      <c r="C19" s="164"/>
      <c r="D19" s="2355" t="s">
        <v>2829</v>
      </c>
      <c r="E19" s="1514"/>
      <c r="F19" s="1514"/>
      <c r="G19" s="1514"/>
      <c r="H19" s="1182"/>
      <c r="I19" s="164"/>
      <c r="J19" s="164"/>
      <c r="K19" s="164"/>
      <c r="L19" s="164"/>
      <c r="M19" s="164"/>
      <c r="N19" s="164"/>
      <c r="O19" s="164"/>
      <c r="P19" s="164"/>
      <c r="Q19" s="164"/>
      <c r="R19" s="727"/>
      <c r="S19" s="134"/>
    </row>
    <row r="20" spans="1:45" ht="16.5" thickBot="1">
      <c r="A20" s="671" t="s">
        <v>2830</v>
      </c>
      <c r="B20" s="300">
        <f>IF(D20="——",S22,S22-F20)</f>
        <v>2785</v>
      </c>
      <c r="C20" s="164"/>
      <c r="D20" s="2356" t="s">
        <v>70</v>
      </c>
      <c r="E20" s="1515"/>
      <c r="F20" s="1107" t="e">
        <f ca="1">SUMIF(INDIRECT("'"&amp;H20&amp;"'"&amp;"!A:A"),"承租人权益价值",INDIRECT("'"&amp;H20&amp;"'"&amp;"!c:c"))</f>
        <v>#REF!</v>
      </c>
      <c r="G20" s="1107" t="s">
        <v>2831</v>
      </c>
      <c r="H20" s="2357"/>
      <c r="I20" s="164"/>
      <c r="J20" s="164"/>
      <c r="K20" s="164"/>
      <c r="L20" s="164"/>
      <c r="M20" s="164"/>
      <c r="N20" s="164"/>
      <c r="O20" s="164"/>
      <c r="P20" s="164"/>
      <c r="Q20" s="164"/>
      <c r="R20" s="727"/>
      <c r="S20" s="134"/>
    </row>
    <row r="21" spans="1:45" ht="15.75">
      <c r="A21" s="671" t="s">
        <v>2832</v>
      </c>
      <c r="B21" s="300">
        <f>ROUND(B20*10000/B22,0)</f>
        <v>27883</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998.81000000000006</v>
      </c>
      <c r="C22" s="3467" t="s">
        <v>33</v>
      </c>
      <c r="D22" s="3468"/>
      <c r="E22" s="3468"/>
      <c r="F22" s="3468"/>
      <c r="G22" s="3468"/>
      <c r="H22" s="3468"/>
      <c r="I22" s="3468"/>
      <c r="J22" s="3468"/>
      <c r="K22" s="3468"/>
      <c r="L22" s="3468"/>
      <c r="M22" s="3468"/>
      <c r="N22" s="3468"/>
      <c r="O22" s="3468"/>
      <c r="P22" s="3468"/>
      <c r="Q22" s="3469"/>
      <c r="R22" s="672">
        <f>ROUND(S22*10000/B22,0)</f>
        <v>27883</v>
      </c>
      <c r="S22" s="24">
        <f>SUM(S24:S10000)</f>
        <v>2785</v>
      </c>
      <c r="U22" s="734">
        <f ca="1">结果表!G19</f>
        <v>2338</v>
      </c>
    </row>
    <row r="23" spans="1:45" s="12" customFormat="1" ht="24">
      <c r="A23" s="11" t="s">
        <v>2834</v>
      </c>
      <c r="B23" s="11" t="s">
        <v>2835</v>
      </c>
      <c r="C23" s="11" t="s">
        <v>2836</v>
      </c>
      <c r="D23" s="11" t="str">
        <f>B5</f>
        <v>临路</v>
      </c>
      <c r="E23" s="11" t="s">
        <v>2836</v>
      </c>
      <c r="F23" s="11" t="str">
        <f>B7</f>
        <v>装修</v>
      </c>
      <c r="G23" s="11" t="s">
        <v>2836</v>
      </c>
      <c r="H23" s="11" t="str">
        <f>B9</f>
        <v>人流量</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3192" t="s">
        <v>3430</v>
      </c>
      <c r="V23" s="3192" t="s">
        <v>3431</v>
      </c>
      <c r="W23" s="738"/>
      <c r="X23" s="738" t="s">
        <v>3454</v>
      </c>
      <c r="Y23" s="3192" t="s">
        <v>3455</v>
      </c>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面积指标!B9</f>
        <v>————————-8号楼1层101</v>
      </c>
      <c r="B24" s="674">
        <f>面积指标!E9</f>
        <v>85.15</v>
      </c>
      <c r="C24" s="3028">
        <v>1</v>
      </c>
      <c r="D24" s="3029" t="s">
        <v>3267</v>
      </c>
      <c r="E24" s="3028">
        <v>1</v>
      </c>
      <c r="F24" s="3029" t="s">
        <v>3383</v>
      </c>
      <c r="G24" s="3028">
        <v>1</v>
      </c>
      <c r="H24" s="3029" t="s">
        <v>3265</v>
      </c>
      <c r="I24" s="3028">
        <v>1</v>
      </c>
      <c r="J24" s="3029"/>
      <c r="K24" s="3028">
        <v>1</v>
      </c>
      <c r="L24" s="3029"/>
      <c r="M24" s="3028">
        <v>1</v>
      </c>
      <c r="N24" s="3029"/>
      <c r="O24" s="3028">
        <v>1</v>
      </c>
      <c r="P24" s="3029" t="s">
        <v>3409</v>
      </c>
      <c r="Q24" s="3028">
        <v>1</v>
      </c>
      <c r="R24" s="677">
        <f>'比较法-商业'!C49</f>
        <v>39067</v>
      </c>
      <c r="S24" s="675">
        <f t="shared" ref="S24:S54" si="11">ROUND(R24*B24/10000,0)</f>
        <v>333</v>
      </c>
      <c r="T24" s="739"/>
      <c r="U24" s="739">
        <f ca="1">ROUND(S24/$S$22*$U$22,0)</f>
        <v>280</v>
      </c>
      <c r="V24" s="739">
        <f ca="1">ROUND(U24*10000/B24,0)</f>
        <v>32883</v>
      </c>
      <c r="W24" s="739"/>
      <c r="X24" s="739">
        <v>243.4</v>
      </c>
      <c r="Y24" s="739">
        <f>ROUND(X24*10000/B24,0)</f>
        <v>28585</v>
      </c>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tr">
        <f>面积指标!B8</f>
        <v>————————-8号楼1层102</v>
      </c>
      <c r="B25" s="674">
        <f>面积指标!E8</f>
        <v>91.22</v>
      </c>
      <c r="C25" s="24">
        <f>IF(B25="",1,(LOOKUP(B25,$3:$3,$4:$4)-LOOKUP($B$24,$3:$3,$4:$4)+100)/100)</f>
        <v>0.96</v>
      </c>
      <c r="D25" s="3029" t="s">
        <v>3267</v>
      </c>
      <c r="E25" s="24">
        <f>(SUMIF($5:$5,D25,$6:$6)-SUMIF($5:$5,$D$24,$6:$6)+100)/100</f>
        <v>1</v>
      </c>
      <c r="F25" s="676" t="s">
        <v>3383</v>
      </c>
      <c r="G25" s="24">
        <f>(SUMIF($7:$7,F25,$8:$8)-SUMIF($7:$7,$F$24,$8:$8)+100)/100</f>
        <v>1</v>
      </c>
      <c r="H25" s="676" t="s">
        <v>3265</v>
      </c>
      <c r="I25" s="24">
        <f>(SUMIF($9:$9,H25,$10:$10)-SUMIF($9:$9,$H$24,$10:$10)+100)/100</f>
        <v>1</v>
      </c>
      <c r="J25" s="676"/>
      <c r="K25" s="24">
        <f>(SUMIF($11:$11,J25,$12:$12)-SUMIF($11:$11,$J$24,$12:$12)+100)/100</f>
        <v>1</v>
      </c>
      <c r="L25" s="676"/>
      <c r="M25" s="24">
        <f>(SUMIF($13:$13,L25,$14:$14)-SUMIF($13:$13,$L$24,$14:$14)+100)/100</f>
        <v>1</v>
      </c>
      <c r="N25" s="676"/>
      <c r="O25" s="24">
        <f>(SUMIF($15:$15,N25,$16:$16)-SUMIF($15:$15,$N$24,$16:$16)+100)/100</f>
        <v>1</v>
      </c>
      <c r="P25" s="3029" t="s">
        <v>3409</v>
      </c>
      <c r="Q25" s="24">
        <f>(SUMIF($17:$17,P25,$18:$18)-SUMIF($17:$17,$P$24,$18:$18)+100)/100</f>
        <v>1</v>
      </c>
      <c r="R25" s="672">
        <f>IF(B25="",0,ROUND($R$24*C25*E25*G25*I25*K25*M25*O25*Q25,0))</f>
        <v>37504</v>
      </c>
      <c r="S25" s="322">
        <f t="shared" si="11"/>
        <v>342</v>
      </c>
      <c r="U25" s="739">
        <f ca="1">ROUND(S25/$S$22*$U$22,0)</f>
        <v>287</v>
      </c>
      <c r="V25" s="739">
        <f ca="1">ROUND(U25*10000/B25,0)</f>
        <v>31462</v>
      </c>
      <c r="X25" s="734">
        <v>264.60000000000002</v>
      </c>
      <c r="Y25" s="739">
        <f t="shared" ref="Y25:Y28" si="12">ROUND(X25*10000/B25,0)</f>
        <v>29007</v>
      </c>
    </row>
    <row r="26" spans="1:45">
      <c r="A26" s="155" t="str">
        <f>面积指标!B5</f>
        <v>丰台区丰仪路1号院1号楼1至2层101</v>
      </c>
      <c r="B26" s="674">
        <f>面积指标!E5</f>
        <v>290.99</v>
      </c>
      <c r="C26" s="24">
        <f t="shared" ref="C26:C89" si="13">IF(B26="",1,(LOOKUP(B26,$3:$3,$4:$4)-LOOKUP($B$24,$3:$3,$4:$4)+100)/100)</f>
        <v>0.88</v>
      </c>
      <c r="D26" s="676" t="s">
        <v>3407</v>
      </c>
      <c r="E26" s="24">
        <f t="shared" ref="E26:E89" si="14">(SUMIF($5:$5,D26,$6:$6)-SUMIF($5:$5,$D$24,$6:$6)+100)/100</f>
        <v>0.95</v>
      </c>
      <c r="F26" s="676" t="s">
        <v>3435</v>
      </c>
      <c r="G26" s="24">
        <f t="shared" ref="G26:G89" si="15">(SUMIF($7:$7,F26,$8:$8)-SUMIF($7:$7,$F$24,$8:$8)+100)/100</f>
        <v>0.98</v>
      </c>
      <c r="H26" s="676" t="s">
        <v>3439</v>
      </c>
      <c r="I26" s="24">
        <f t="shared" ref="I26:I89" si="16">(SUMIF($9:$9,H26,$10:$10)-SUMIF($9:$9,$H$24,$10:$10)+100)/100</f>
        <v>0.97</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676" t="s">
        <v>3411</v>
      </c>
      <c r="Q26" s="24">
        <f t="shared" ref="Q26:Q89" si="20">(SUMIF($17:$17,P26,$18:$18)-SUMIF($17:$17,$P$24,$18:$18)+100)/100</f>
        <v>0.85</v>
      </c>
      <c r="R26" s="672">
        <f t="shared" ref="R26:R89" si="21">IF(B26="",0,ROUND($R$24*C26*E26*G26*I26*K26*M26*O26*Q26,0))</f>
        <v>26390</v>
      </c>
      <c r="S26" s="322">
        <f t="shared" si="11"/>
        <v>768</v>
      </c>
      <c r="U26" s="739">
        <f ca="1">ROUND(S26/$S$22*$U$22,0)</f>
        <v>645</v>
      </c>
      <c r="V26" s="739">
        <f ca="1">ROUND(U26*10000/B26,0)</f>
        <v>22166</v>
      </c>
      <c r="X26" s="734">
        <v>673.2</v>
      </c>
      <c r="Y26" s="739">
        <f t="shared" si="12"/>
        <v>23135</v>
      </c>
    </row>
    <row r="27" spans="1:45">
      <c r="A27" s="155" t="str">
        <f>面积指标!B6</f>
        <v>———————————1至2层102</v>
      </c>
      <c r="B27" s="674">
        <f>面积指标!E6</f>
        <v>333.07</v>
      </c>
      <c r="C27" s="24">
        <f t="shared" si="13"/>
        <v>0.84</v>
      </c>
      <c r="D27" s="676" t="s">
        <v>3407</v>
      </c>
      <c r="E27" s="24">
        <f t="shared" si="14"/>
        <v>0.95</v>
      </c>
      <c r="F27" s="676" t="s">
        <v>3381</v>
      </c>
      <c r="G27" s="24">
        <f t="shared" si="15"/>
        <v>1.02</v>
      </c>
      <c r="H27" s="676" t="s">
        <v>3439</v>
      </c>
      <c r="I27" s="24">
        <f t="shared" si="16"/>
        <v>0.97</v>
      </c>
      <c r="J27" s="676"/>
      <c r="K27" s="24">
        <f t="shared" si="17"/>
        <v>1</v>
      </c>
      <c r="L27" s="676"/>
      <c r="M27" s="24">
        <f t="shared" si="18"/>
        <v>1</v>
      </c>
      <c r="N27" s="676"/>
      <c r="O27" s="24">
        <f t="shared" si="19"/>
        <v>1</v>
      </c>
      <c r="P27" s="676" t="s">
        <v>3411</v>
      </c>
      <c r="Q27" s="24">
        <f t="shared" si="20"/>
        <v>0.85</v>
      </c>
      <c r="R27" s="672">
        <f t="shared" si="21"/>
        <v>26218</v>
      </c>
      <c r="S27" s="322">
        <f t="shared" si="11"/>
        <v>873</v>
      </c>
      <c r="U27" s="739">
        <f ca="1">ROUND(S27/$S$22*$U$22,0)</f>
        <v>733</v>
      </c>
      <c r="V27" s="739">
        <f ca="1">ROUND(U27*10000/B27,0)</f>
        <v>22007</v>
      </c>
      <c r="X27" s="734">
        <v>760.4</v>
      </c>
      <c r="Y27" s="739">
        <f t="shared" si="12"/>
        <v>22830</v>
      </c>
    </row>
    <row r="28" spans="1:45">
      <c r="A28" s="155" t="str">
        <f>面积指标!B7</f>
        <v>———————————1至2层201</v>
      </c>
      <c r="B28" s="674">
        <f>面积指标!E7</f>
        <v>198.38</v>
      </c>
      <c r="C28" s="24">
        <f t="shared" si="13"/>
        <v>0.92</v>
      </c>
      <c r="D28" s="676" t="s">
        <v>3407</v>
      </c>
      <c r="E28" s="24">
        <f t="shared" si="14"/>
        <v>0.95</v>
      </c>
      <c r="F28" s="676" t="s">
        <v>3381</v>
      </c>
      <c r="G28" s="24">
        <f t="shared" si="15"/>
        <v>1.02</v>
      </c>
      <c r="H28" s="676" t="s">
        <v>3439</v>
      </c>
      <c r="I28" s="24">
        <f t="shared" si="16"/>
        <v>0.97</v>
      </c>
      <c r="J28" s="676"/>
      <c r="K28" s="24">
        <f t="shared" si="17"/>
        <v>1</v>
      </c>
      <c r="L28" s="676"/>
      <c r="M28" s="24">
        <f t="shared" si="18"/>
        <v>1</v>
      </c>
      <c r="N28" s="676"/>
      <c r="O28" s="24">
        <f t="shared" si="19"/>
        <v>1</v>
      </c>
      <c r="P28" s="676" t="s">
        <v>3413</v>
      </c>
      <c r="Q28" s="24">
        <f t="shared" si="20"/>
        <v>0.7</v>
      </c>
      <c r="R28" s="672">
        <f t="shared" si="21"/>
        <v>23648</v>
      </c>
      <c r="S28" s="322">
        <f t="shared" si="11"/>
        <v>469</v>
      </c>
      <c r="U28" s="739">
        <f ca="1">U22-U24-U25-U26-U27</f>
        <v>393</v>
      </c>
      <c r="V28" s="739">
        <f ca="1">ROUND(U28*10000/B28,0)</f>
        <v>19810</v>
      </c>
      <c r="X28" s="734">
        <v>479.4</v>
      </c>
      <c r="Y28" s="739">
        <f t="shared" si="12"/>
        <v>24166</v>
      </c>
    </row>
    <row r="29" spans="1:45">
      <c r="A29" s="155"/>
      <c r="B29" s="57"/>
      <c r="C29" s="24">
        <f t="shared" si="13"/>
        <v>1</v>
      </c>
      <c r="D29" s="676"/>
      <c r="E29" s="24">
        <f t="shared" si="14"/>
        <v>0</v>
      </c>
      <c r="F29" s="676"/>
      <c r="G29" s="24">
        <f t="shared" si="15"/>
        <v>0.02</v>
      </c>
      <c r="H29" s="676"/>
      <c r="I29" s="24">
        <f t="shared" si="16"/>
        <v>0</v>
      </c>
      <c r="J29" s="676"/>
      <c r="K29" s="24">
        <f t="shared" si="17"/>
        <v>1</v>
      </c>
      <c r="L29" s="676"/>
      <c r="M29" s="24">
        <f t="shared" si="18"/>
        <v>1</v>
      </c>
      <c r="N29" s="676"/>
      <c r="O29" s="24">
        <f t="shared" si="19"/>
        <v>1</v>
      </c>
      <c r="P29" s="676"/>
      <c r="Q29" s="24">
        <f t="shared" si="20"/>
        <v>0</v>
      </c>
      <c r="R29" s="672">
        <f t="shared" si="21"/>
        <v>0</v>
      </c>
      <c r="S29" s="322">
        <f t="shared" si="11"/>
        <v>0</v>
      </c>
      <c r="X29" s="734">
        <f>SUM(X24:X28)</f>
        <v>2421</v>
      </c>
      <c r="Y29" s="734">
        <f>ROUND(X29*10000/B22,0)</f>
        <v>24239</v>
      </c>
    </row>
    <row r="30" spans="1:45">
      <c r="A30" s="155"/>
      <c r="B30" s="57"/>
      <c r="C30" s="24">
        <f t="shared" si="13"/>
        <v>1</v>
      </c>
      <c r="D30" s="676"/>
      <c r="E30" s="24">
        <f t="shared" si="14"/>
        <v>0</v>
      </c>
      <c r="F30" s="676"/>
      <c r="G30" s="24">
        <f t="shared" si="15"/>
        <v>0.02</v>
      </c>
      <c r="H30" s="676"/>
      <c r="I30" s="24">
        <f t="shared" si="16"/>
        <v>0</v>
      </c>
      <c r="J30" s="676"/>
      <c r="K30" s="24">
        <f t="shared" si="17"/>
        <v>1</v>
      </c>
      <c r="L30" s="676"/>
      <c r="M30" s="24">
        <f t="shared" si="18"/>
        <v>1</v>
      </c>
      <c r="N30" s="676"/>
      <c r="O30" s="24">
        <f t="shared" si="19"/>
        <v>1</v>
      </c>
      <c r="P30" s="676"/>
      <c r="Q30" s="24">
        <f t="shared" si="20"/>
        <v>0</v>
      </c>
      <c r="R30" s="672">
        <f t="shared" si="21"/>
        <v>0</v>
      </c>
      <c r="S30" s="322">
        <f t="shared" si="11"/>
        <v>0</v>
      </c>
    </row>
    <row r="31" spans="1:45">
      <c r="A31" s="155"/>
      <c r="B31" s="57"/>
      <c r="C31" s="24">
        <f t="shared" si="13"/>
        <v>1</v>
      </c>
      <c r="D31" s="676"/>
      <c r="E31" s="24">
        <f t="shared" si="14"/>
        <v>0</v>
      </c>
      <c r="F31" s="676"/>
      <c r="G31" s="24">
        <f t="shared" si="15"/>
        <v>0.02</v>
      </c>
      <c r="H31" s="676"/>
      <c r="I31" s="24">
        <f t="shared" si="16"/>
        <v>0</v>
      </c>
      <c r="J31" s="676"/>
      <c r="K31" s="24">
        <f t="shared" si="17"/>
        <v>1</v>
      </c>
      <c r="L31" s="676"/>
      <c r="M31" s="24">
        <f t="shared" si="18"/>
        <v>1</v>
      </c>
      <c r="N31" s="676"/>
      <c r="O31" s="24">
        <f t="shared" si="19"/>
        <v>1</v>
      </c>
      <c r="P31" s="676"/>
      <c r="Q31" s="24">
        <f t="shared" si="20"/>
        <v>0</v>
      </c>
      <c r="R31" s="672">
        <f t="shared" si="21"/>
        <v>0</v>
      </c>
      <c r="S31" s="322">
        <f t="shared" si="11"/>
        <v>0</v>
      </c>
    </row>
    <row r="32" spans="1:45">
      <c r="A32" s="155"/>
      <c r="B32" s="57"/>
      <c r="C32" s="24">
        <f t="shared" si="13"/>
        <v>1</v>
      </c>
      <c r="D32" s="676"/>
      <c r="E32" s="24">
        <f t="shared" si="14"/>
        <v>0</v>
      </c>
      <c r="F32" s="676"/>
      <c r="G32" s="24">
        <f t="shared" si="15"/>
        <v>0.02</v>
      </c>
      <c r="H32" s="676"/>
      <c r="I32" s="24">
        <f t="shared" si="16"/>
        <v>0</v>
      </c>
      <c r="J32" s="676"/>
      <c r="K32" s="24">
        <f t="shared" si="17"/>
        <v>1</v>
      </c>
      <c r="L32" s="676"/>
      <c r="M32" s="24">
        <f t="shared" si="18"/>
        <v>1</v>
      </c>
      <c r="N32" s="676"/>
      <c r="O32" s="24">
        <f t="shared" si="19"/>
        <v>1</v>
      </c>
      <c r="P32" s="676"/>
      <c r="Q32" s="24">
        <f t="shared" si="20"/>
        <v>0</v>
      </c>
      <c r="R32" s="672">
        <f t="shared" si="21"/>
        <v>0</v>
      </c>
      <c r="S32" s="322">
        <f t="shared" si="11"/>
        <v>0</v>
      </c>
    </row>
    <row r="33" spans="1:19">
      <c r="A33" s="155"/>
      <c r="B33" s="57"/>
      <c r="C33" s="24">
        <f t="shared" si="13"/>
        <v>1</v>
      </c>
      <c r="D33" s="676"/>
      <c r="E33" s="24">
        <f t="shared" si="14"/>
        <v>0</v>
      </c>
      <c r="F33" s="676"/>
      <c r="G33" s="24">
        <f t="shared" si="15"/>
        <v>0.02</v>
      </c>
      <c r="H33" s="676"/>
      <c r="I33" s="24">
        <f t="shared" si="16"/>
        <v>0</v>
      </c>
      <c r="J33" s="676"/>
      <c r="K33" s="24">
        <f t="shared" si="17"/>
        <v>1</v>
      </c>
      <c r="L33" s="676"/>
      <c r="M33" s="24">
        <f t="shared" si="18"/>
        <v>1</v>
      </c>
      <c r="N33" s="676"/>
      <c r="O33" s="24">
        <f t="shared" si="19"/>
        <v>1</v>
      </c>
      <c r="P33" s="676"/>
      <c r="Q33" s="24">
        <f t="shared" si="20"/>
        <v>0</v>
      </c>
      <c r="R33" s="672">
        <f t="shared" si="21"/>
        <v>0</v>
      </c>
      <c r="S33" s="322">
        <f t="shared" si="11"/>
        <v>0</v>
      </c>
    </row>
    <row r="34" spans="1:19">
      <c r="A34" s="155"/>
      <c r="B34" s="57"/>
      <c r="C34" s="24">
        <f t="shared" si="13"/>
        <v>1</v>
      </c>
      <c r="D34" s="676"/>
      <c r="E34" s="24">
        <f t="shared" si="14"/>
        <v>0</v>
      </c>
      <c r="F34" s="676"/>
      <c r="G34" s="24">
        <f t="shared" si="15"/>
        <v>0.02</v>
      </c>
      <c r="H34" s="676"/>
      <c r="I34" s="24">
        <f t="shared" si="16"/>
        <v>0</v>
      </c>
      <c r="J34" s="676"/>
      <c r="K34" s="24">
        <f t="shared" si="17"/>
        <v>1</v>
      </c>
      <c r="L34" s="676"/>
      <c r="M34" s="24">
        <f t="shared" si="18"/>
        <v>1</v>
      </c>
      <c r="N34" s="676"/>
      <c r="O34" s="24">
        <f t="shared" si="19"/>
        <v>1</v>
      </c>
      <c r="P34" s="676"/>
      <c r="Q34" s="24">
        <f t="shared" si="20"/>
        <v>0</v>
      </c>
      <c r="R34" s="672">
        <f t="shared" si="21"/>
        <v>0</v>
      </c>
      <c r="S34" s="322">
        <f t="shared" si="11"/>
        <v>0</v>
      </c>
    </row>
    <row r="35" spans="1:19">
      <c r="A35" s="155"/>
      <c r="B35" s="57"/>
      <c r="C35" s="24">
        <f t="shared" si="13"/>
        <v>1</v>
      </c>
      <c r="D35" s="676"/>
      <c r="E35" s="24">
        <f t="shared" si="14"/>
        <v>0</v>
      </c>
      <c r="F35" s="676"/>
      <c r="G35" s="24">
        <f t="shared" si="15"/>
        <v>0.02</v>
      </c>
      <c r="H35" s="676"/>
      <c r="I35" s="24">
        <f t="shared" si="16"/>
        <v>0</v>
      </c>
      <c r="J35" s="676"/>
      <c r="K35" s="24">
        <f t="shared" si="17"/>
        <v>1</v>
      </c>
      <c r="L35" s="676"/>
      <c r="M35" s="24">
        <f t="shared" si="18"/>
        <v>1</v>
      </c>
      <c r="N35" s="676"/>
      <c r="O35" s="24">
        <f t="shared" si="19"/>
        <v>1</v>
      </c>
      <c r="P35" s="676"/>
      <c r="Q35" s="24">
        <f t="shared" si="20"/>
        <v>0</v>
      </c>
      <c r="R35" s="672">
        <f t="shared" si="21"/>
        <v>0</v>
      </c>
      <c r="S35" s="322">
        <f t="shared" si="11"/>
        <v>0</v>
      </c>
    </row>
    <row r="36" spans="1:19">
      <c r="A36" s="155"/>
      <c r="B36" s="57"/>
      <c r="C36" s="24">
        <f t="shared" si="13"/>
        <v>1</v>
      </c>
      <c r="D36" s="676"/>
      <c r="E36" s="24">
        <f t="shared" si="14"/>
        <v>0</v>
      </c>
      <c r="F36" s="676"/>
      <c r="G36" s="24">
        <f t="shared" si="15"/>
        <v>0.02</v>
      </c>
      <c r="H36" s="676"/>
      <c r="I36" s="24">
        <f t="shared" si="16"/>
        <v>0</v>
      </c>
      <c r="J36" s="676"/>
      <c r="K36" s="24">
        <f t="shared" si="17"/>
        <v>1</v>
      </c>
      <c r="L36" s="676"/>
      <c r="M36" s="24">
        <f t="shared" si="18"/>
        <v>1</v>
      </c>
      <c r="N36" s="676"/>
      <c r="O36" s="24">
        <f t="shared" si="19"/>
        <v>1</v>
      </c>
      <c r="P36" s="676"/>
      <c r="Q36" s="24">
        <f t="shared" si="20"/>
        <v>0</v>
      </c>
      <c r="R36" s="672">
        <f t="shared" si="21"/>
        <v>0</v>
      </c>
      <c r="S36" s="322">
        <f t="shared" si="11"/>
        <v>0</v>
      </c>
    </row>
    <row r="37" spans="1:19">
      <c r="A37" s="155"/>
      <c r="B37" s="57"/>
      <c r="C37" s="24">
        <f t="shared" si="13"/>
        <v>1</v>
      </c>
      <c r="D37" s="676"/>
      <c r="E37" s="24">
        <f t="shared" si="14"/>
        <v>0</v>
      </c>
      <c r="F37" s="676"/>
      <c r="G37" s="24">
        <f t="shared" si="15"/>
        <v>0.02</v>
      </c>
      <c r="H37" s="676"/>
      <c r="I37" s="24">
        <f t="shared" si="16"/>
        <v>0</v>
      </c>
      <c r="J37" s="676"/>
      <c r="K37" s="24">
        <f t="shared" si="17"/>
        <v>1</v>
      </c>
      <c r="L37" s="676"/>
      <c r="M37" s="24">
        <f t="shared" si="18"/>
        <v>1</v>
      </c>
      <c r="N37" s="676"/>
      <c r="O37" s="24">
        <f t="shared" si="19"/>
        <v>1</v>
      </c>
      <c r="P37" s="676"/>
      <c r="Q37" s="24">
        <f t="shared" si="20"/>
        <v>0</v>
      </c>
      <c r="R37" s="672">
        <f t="shared" si="21"/>
        <v>0</v>
      </c>
      <c r="S37" s="322">
        <f t="shared" si="11"/>
        <v>0</v>
      </c>
    </row>
    <row r="38" spans="1:19">
      <c r="A38" s="155"/>
      <c r="B38" s="57"/>
      <c r="C38" s="24">
        <f t="shared" si="13"/>
        <v>1</v>
      </c>
      <c r="D38" s="676"/>
      <c r="E38" s="24">
        <f t="shared" si="14"/>
        <v>0</v>
      </c>
      <c r="F38" s="676"/>
      <c r="G38" s="24">
        <f t="shared" si="15"/>
        <v>0.02</v>
      </c>
      <c r="H38" s="676"/>
      <c r="I38" s="24">
        <f t="shared" si="16"/>
        <v>0</v>
      </c>
      <c r="J38" s="676"/>
      <c r="K38" s="24">
        <f t="shared" si="17"/>
        <v>1</v>
      </c>
      <c r="L38" s="676"/>
      <c r="M38" s="24">
        <f t="shared" si="18"/>
        <v>1</v>
      </c>
      <c r="N38" s="676"/>
      <c r="O38" s="24">
        <f t="shared" si="19"/>
        <v>1</v>
      </c>
      <c r="P38" s="676"/>
      <c r="Q38" s="24">
        <f t="shared" si="20"/>
        <v>0</v>
      </c>
      <c r="R38" s="672">
        <f t="shared" si="21"/>
        <v>0</v>
      </c>
      <c r="S38" s="322">
        <f t="shared" si="11"/>
        <v>0</v>
      </c>
    </row>
    <row r="39" spans="1:19">
      <c r="A39" s="155"/>
      <c r="B39" s="57"/>
      <c r="C39" s="24">
        <f t="shared" si="13"/>
        <v>1</v>
      </c>
      <c r="D39" s="676"/>
      <c r="E39" s="24">
        <f t="shared" si="14"/>
        <v>0</v>
      </c>
      <c r="F39" s="676"/>
      <c r="G39" s="24">
        <f t="shared" si="15"/>
        <v>0.02</v>
      </c>
      <c r="H39" s="676"/>
      <c r="I39" s="24">
        <f t="shared" si="16"/>
        <v>0</v>
      </c>
      <c r="J39" s="676"/>
      <c r="K39" s="24">
        <f t="shared" si="17"/>
        <v>1</v>
      </c>
      <c r="L39" s="676"/>
      <c r="M39" s="24">
        <f t="shared" si="18"/>
        <v>1</v>
      </c>
      <c r="N39" s="676"/>
      <c r="O39" s="24">
        <f t="shared" si="19"/>
        <v>1</v>
      </c>
      <c r="P39" s="676"/>
      <c r="Q39" s="24">
        <f t="shared" si="20"/>
        <v>0</v>
      </c>
      <c r="R39" s="672">
        <f t="shared" si="21"/>
        <v>0</v>
      </c>
      <c r="S39" s="322">
        <f t="shared" si="11"/>
        <v>0</v>
      </c>
    </row>
    <row r="40" spans="1:19">
      <c r="A40" s="155"/>
      <c r="B40" s="57"/>
      <c r="C40" s="24">
        <f t="shared" si="13"/>
        <v>1</v>
      </c>
      <c r="D40" s="676"/>
      <c r="E40" s="24">
        <f t="shared" si="14"/>
        <v>0</v>
      </c>
      <c r="F40" s="676"/>
      <c r="G40" s="24">
        <f t="shared" si="15"/>
        <v>0.02</v>
      </c>
      <c r="H40" s="676"/>
      <c r="I40" s="24">
        <f t="shared" si="16"/>
        <v>0</v>
      </c>
      <c r="J40" s="676"/>
      <c r="K40" s="24">
        <f t="shared" si="17"/>
        <v>1</v>
      </c>
      <c r="L40" s="676"/>
      <c r="M40" s="24">
        <f t="shared" si="18"/>
        <v>1</v>
      </c>
      <c r="N40" s="676"/>
      <c r="O40" s="24">
        <f t="shared" si="19"/>
        <v>1</v>
      </c>
      <c r="P40" s="676"/>
      <c r="Q40" s="24">
        <f t="shared" si="20"/>
        <v>0</v>
      </c>
      <c r="R40" s="672">
        <f t="shared" si="21"/>
        <v>0</v>
      </c>
      <c r="S40" s="322">
        <f t="shared" si="11"/>
        <v>0</v>
      </c>
    </row>
    <row r="41" spans="1:19">
      <c r="A41" s="155"/>
      <c r="B41" s="57"/>
      <c r="C41" s="24">
        <f t="shared" si="13"/>
        <v>1</v>
      </c>
      <c r="D41" s="676"/>
      <c r="E41" s="24">
        <f t="shared" si="14"/>
        <v>0</v>
      </c>
      <c r="F41" s="676"/>
      <c r="G41" s="24">
        <f t="shared" si="15"/>
        <v>0.02</v>
      </c>
      <c r="H41" s="676"/>
      <c r="I41" s="24">
        <f t="shared" si="16"/>
        <v>0</v>
      </c>
      <c r="J41" s="676"/>
      <c r="K41" s="24">
        <f t="shared" si="17"/>
        <v>1</v>
      </c>
      <c r="L41" s="676"/>
      <c r="M41" s="24">
        <f t="shared" si="18"/>
        <v>1</v>
      </c>
      <c r="N41" s="676"/>
      <c r="O41" s="24">
        <f t="shared" si="19"/>
        <v>1</v>
      </c>
      <c r="P41" s="676"/>
      <c r="Q41" s="24">
        <f t="shared" si="20"/>
        <v>0</v>
      </c>
      <c r="R41" s="672">
        <f t="shared" si="21"/>
        <v>0</v>
      </c>
      <c r="S41" s="322">
        <f t="shared" si="11"/>
        <v>0</v>
      </c>
    </row>
    <row r="42" spans="1:19">
      <c r="A42" s="155"/>
      <c r="B42" s="57"/>
      <c r="C42" s="24">
        <f t="shared" si="13"/>
        <v>1</v>
      </c>
      <c r="D42" s="676"/>
      <c r="E42" s="24">
        <f t="shared" si="14"/>
        <v>0</v>
      </c>
      <c r="F42" s="676"/>
      <c r="G42" s="24">
        <f t="shared" si="15"/>
        <v>0.02</v>
      </c>
      <c r="H42" s="676"/>
      <c r="I42" s="24">
        <f t="shared" si="16"/>
        <v>0</v>
      </c>
      <c r="J42" s="676"/>
      <c r="K42" s="24">
        <f t="shared" si="17"/>
        <v>1</v>
      </c>
      <c r="L42" s="676"/>
      <c r="M42" s="24">
        <f t="shared" si="18"/>
        <v>1</v>
      </c>
      <c r="N42" s="676"/>
      <c r="O42" s="24">
        <f t="shared" si="19"/>
        <v>1</v>
      </c>
      <c r="P42" s="676"/>
      <c r="Q42" s="24">
        <f t="shared" si="20"/>
        <v>0</v>
      </c>
      <c r="R42" s="672">
        <f t="shared" si="21"/>
        <v>0</v>
      </c>
      <c r="S42" s="322">
        <f t="shared" si="11"/>
        <v>0</v>
      </c>
    </row>
    <row r="43" spans="1:19">
      <c r="A43" s="155"/>
      <c r="B43" s="57"/>
      <c r="C43" s="24">
        <f t="shared" si="13"/>
        <v>1</v>
      </c>
      <c r="D43" s="676"/>
      <c r="E43" s="24">
        <f t="shared" si="14"/>
        <v>0</v>
      </c>
      <c r="F43" s="676"/>
      <c r="G43" s="24">
        <f t="shared" si="15"/>
        <v>0.02</v>
      </c>
      <c r="H43" s="676"/>
      <c r="I43" s="24">
        <f t="shared" si="16"/>
        <v>0</v>
      </c>
      <c r="J43" s="676"/>
      <c r="K43" s="24">
        <f t="shared" si="17"/>
        <v>1</v>
      </c>
      <c r="L43" s="676"/>
      <c r="M43" s="24">
        <f t="shared" si="18"/>
        <v>1</v>
      </c>
      <c r="N43" s="676"/>
      <c r="O43" s="24">
        <f t="shared" si="19"/>
        <v>1</v>
      </c>
      <c r="P43" s="676"/>
      <c r="Q43" s="24">
        <f t="shared" si="20"/>
        <v>0</v>
      </c>
      <c r="R43" s="672">
        <f t="shared" si="21"/>
        <v>0</v>
      </c>
      <c r="S43" s="322">
        <f t="shared" si="11"/>
        <v>0</v>
      </c>
    </row>
    <row r="44" spans="1:19">
      <c r="A44" s="155"/>
      <c r="B44" s="57"/>
      <c r="C44" s="24">
        <f t="shared" si="13"/>
        <v>1</v>
      </c>
      <c r="D44" s="676"/>
      <c r="E44" s="24">
        <f t="shared" si="14"/>
        <v>0</v>
      </c>
      <c r="F44" s="676"/>
      <c r="G44" s="24">
        <f t="shared" si="15"/>
        <v>0.02</v>
      </c>
      <c r="H44" s="676"/>
      <c r="I44" s="24">
        <f t="shared" si="16"/>
        <v>0</v>
      </c>
      <c r="J44" s="676"/>
      <c r="K44" s="24">
        <f t="shared" si="17"/>
        <v>1</v>
      </c>
      <c r="L44" s="676"/>
      <c r="M44" s="24">
        <f t="shared" si="18"/>
        <v>1</v>
      </c>
      <c r="N44" s="676"/>
      <c r="O44" s="24">
        <f t="shared" si="19"/>
        <v>1</v>
      </c>
      <c r="P44" s="676"/>
      <c r="Q44" s="24">
        <f t="shared" si="20"/>
        <v>0</v>
      </c>
      <c r="R44" s="672">
        <f t="shared" si="21"/>
        <v>0</v>
      </c>
      <c r="S44" s="322">
        <f t="shared" si="11"/>
        <v>0</v>
      </c>
    </row>
    <row r="45" spans="1:19">
      <c r="A45" s="155"/>
      <c r="B45" s="57"/>
      <c r="C45" s="24">
        <f t="shared" si="13"/>
        <v>1</v>
      </c>
      <c r="D45" s="676"/>
      <c r="E45" s="24">
        <f t="shared" si="14"/>
        <v>0</v>
      </c>
      <c r="F45" s="676"/>
      <c r="G45" s="24">
        <f t="shared" si="15"/>
        <v>0.02</v>
      </c>
      <c r="H45" s="676"/>
      <c r="I45" s="24">
        <f t="shared" si="16"/>
        <v>0</v>
      </c>
      <c r="J45" s="676"/>
      <c r="K45" s="24">
        <f t="shared" si="17"/>
        <v>1</v>
      </c>
      <c r="L45" s="676"/>
      <c r="M45" s="24">
        <f t="shared" si="18"/>
        <v>1</v>
      </c>
      <c r="N45" s="676"/>
      <c r="O45" s="24">
        <f t="shared" si="19"/>
        <v>1</v>
      </c>
      <c r="P45" s="676"/>
      <c r="Q45" s="24">
        <f t="shared" si="20"/>
        <v>0</v>
      </c>
      <c r="R45" s="672">
        <f t="shared" si="21"/>
        <v>0</v>
      </c>
      <c r="S45" s="322">
        <f t="shared" si="11"/>
        <v>0</v>
      </c>
    </row>
    <row r="46" spans="1:19">
      <c r="A46" s="155"/>
      <c r="B46" s="57"/>
      <c r="C46" s="24">
        <f t="shared" si="13"/>
        <v>1</v>
      </c>
      <c r="D46" s="676"/>
      <c r="E46" s="24">
        <f t="shared" si="14"/>
        <v>0</v>
      </c>
      <c r="F46" s="676"/>
      <c r="G46" s="24">
        <f t="shared" si="15"/>
        <v>0.02</v>
      </c>
      <c r="H46" s="676"/>
      <c r="I46" s="24">
        <f t="shared" si="16"/>
        <v>0</v>
      </c>
      <c r="J46" s="676"/>
      <c r="K46" s="24">
        <f t="shared" si="17"/>
        <v>1</v>
      </c>
      <c r="L46" s="676"/>
      <c r="M46" s="24">
        <f t="shared" si="18"/>
        <v>1</v>
      </c>
      <c r="N46" s="676"/>
      <c r="O46" s="24">
        <f t="shared" si="19"/>
        <v>1</v>
      </c>
      <c r="P46" s="676"/>
      <c r="Q46" s="24">
        <f t="shared" si="20"/>
        <v>0</v>
      </c>
      <c r="R46" s="672">
        <f t="shared" si="21"/>
        <v>0</v>
      </c>
      <c r="S46" s="322">
        <f t="shared" si="11"/>
        <v>0</v>
      </c>
    </row>
    <row r="47" spans="1:19">
      <c r="A47" s="155"/>
      <c r="B47" s="57"/>
      <c r="C47" s="24">
        <f t="shared" si="13"/>
        <v>1</v>
      </c>
      <c r="D47" s="676"/>
      <c r="E47" s="24">
        <f t="shared" si="14"/>
        <v>0</v>
      </c>
      <c r="F47" s="676"/>
      <c r="G47" s="24">
        <f t="shared" si="15"/>
        <v>0.02</v>
      </c>
      <c r="H47" s="676"/>
      <c r="I47" s="24">
        <f t="shared" si="16"/>
        <v>0</v>
      </c>
      <c r="J47" s="676"/>
      <c r="K47" s="24">
        <f t="shared" si="17"/>
        <v>1</v>
      </c>
      <c r="L47" s="676"/>
      <c r="M47" s="24">
        <f t="shared" si="18"/>
        <v>1</v>
      </c>
      <c r="N47" s="676"/>
      <c r="O47" s="24">
        <f t="shared" si="19"/>
        <v>1</v>
      </c>
      <c r="P47" s="676"/>
      <c r="Q47" s="24">
        <f t="shared" si="20"/>
        <v>0</v>
      </c>
      <c r="R47" s="672">
        <f t="shared" si="21"/>
        <v>0</v>
      </c>
      <c r="S47" s="322">
        <f t="shared" si="11"/>
        <v>0</v>
      </c>
    </row>
    <row r="48" spans="1:19">
      <c r="A48" s="155"/>
      <c r="B48" s="57"/>
      <c r="C48" s="24">
        <f t="shared" si="13"/>
        <v>1</v>
      </c>
      <c r="D48" s="676"/>
      <c r="E48" s="24">
        <f t="shared" si="14"/>
        <v>0</v>
      </c>
      <c r="F48" s="676"/>
      <c r="G48" s="24">
        <f t="shared" si="15"/>
        <v>0.02</v>
      </c>
      <c r="H48" s="676"/>
      <c r="I48" s="24">
        <f t="shared" si="16"/>
        <v>0</v>
      </c>
      <c r="J48" s="676"/>
      <c r="K48" s="24">
        <f t="shared" si="17"/>
        <v>1</v>
      </c>
      <c r="L48" s="676"/>
      <c r="M48" s="24">
        <f t="shared" si="18"/>
        <v>1</v>
      </c>
      <c r="N48" s="676"/>
      <c r="O48" s="24">
        <f t="shared" si="19"/>
        <v>1</v>
      </c>
      <c r="P48" s="676"/>
      <c r="Q48" s="24">
        <f t="shared" si="20"/>
        <v>0</v>
      </c>
      <c r="R48" s="672">
        <f t="shared" si="21"/>
        <v>0</v>
      </c>
      <c r="S48" s="322">
        <f t="shared" si="11"/>
        <v>0</v>
      </c>
    </row>
    <row r="49" spans="1:19">
      <c r="A49" s="155"/>
      <c r="B49" s="57"/>
      <c r="C49" s="24">
        <f t="shared" si="13"/>
        <v>1</v>
      </c>
      <c r="D49" s="676"/>
      <c r="E49" s="24">
        <f t="shared" si="14"/>
        <v>0</v>
      </c>
      <c r="F49" s="676"/>
      <c r="G49" s="24">
        <f t="shared" si="15"/>
        <v>0.02</v>
      </c>
      <c r="H49" s="676"/>
      <c r="I49" s="24">
        <f t="shared" si="16"/>
        <v>0</v>
      </c>
      <c r="J49" s="676"/>
      <c r="K49" s="24">
        <f t="shared" si="17"/>
        <v>1</v>
      </c>
      <c r="L49" s="676"/>
      <c r="M49" s="24">
        <f t="shared" si="18"/>
        <v>1</v>
      </c>
      <c r="N49" s="676"/>
      <c r="O49" s="24">
        <f t="shared" si="19"/>
        <v>1</v>
      </c>
      <c r="P49" s="676"/>
      <c r="Q49" s="24">
        <f t="shared" si="20"/>
        <v>0</v>
      </c>
      <c r="R49" s="672">
        <f t="shared" si="21"/>
        <v>0</v>
      </c>
      <c r="S49" s="322">
        <f t="shared" si="11"/>
        <v>0</v>
      </c>
    </row>
    <row r="50" spans="1:19">
      <c r="A50" s="155"/>
      <c r="B50" s="57"/>
      <c r="C50" s="24">
        <f t="shared" si="13"/>
        <v>1</v>
      </c>
      <c r="D50" s="676"/>
      <c r="E50" s="24">
        <f t="shared" si="14"/>
        <v>0</v>
      </c>
      <c r="F50" s="676"/>
      <c r="G50" s="24">
        <f t="shared" si="15"/>
        <v>0.02</v>
      </c>
      <c r="H50" s="676"/>
      <c r="I50" s="24">
        <f t="shared" si="16"/>
        <v>0</v>
      </c>
      <c r="J50" s="676"/>
      <c r="K50" s="24">
        <f t="shared" si="17"/>
        <v>1</v>
      </c>
      <c r="L50" s="676"/>
      <c r="M50" s="24">
        <f t="shared" si="18"/>
        <v>1</v>
      </c>
      <c r="N50" s="676"/>
      <c r="O50" s="24">
        <f t="shared" si="19"/>
        <v>1</v>
      </c>
      <c r="P50" s="676"/>
      <c r="Q50" s="24">
        <f t="shared" si="20"/>
        <v>0</v>
      </c>
      <c r="R50" s="672">
        <f t="shared" si="21"/>
        <v>0</v>
      </c>
      <c r="S50" s="322">
        <f t="shared" si="11"/>
        <v>0</v>
      </c>
    </row>
    <row r="51" spans="1:19">
      <c r="A51" s="155"/>
      <c r="B51" s="57"/>
      <c r="C51" s="24">
        <f t="shared" si="13"/>
        <v>1</v>
      </c>
      <c r="D51" s="676"/>
      <c r="E51" s="24">
        <f t="shared" si="14"/>
        <v>0</v>
      </c>
      <c r="F51" s="676"/>
      <c r="G51" s="24">
        <f t="shared" si="15"/>
        <v>0.02</v>
      </c>
      <c r="H51" s="676"/>
      <c r="I51" s="24">
        <f t="shared" si="16"/>
        <v>0</v>
      </c>
      <c r="J51" s="676"/>
      <c r="K51" s="24">
        <f t="shared" si="17"/>
        <v>1</v>
      </c>
      <c r="L51" s="676"/>
      <c r="M51" s="24">
        <f t="shared" si="18"/>
        <v>1</v>
      </c>
      <c r="N51" s="676"/>
      <c r="O51" s="24">
        <f t="shared" si="19"/>
        <v>1</v>
      </c>
      <c r="P51" s="676"/>
      <c r="Q51" s="24">
        <f t="shared" si="20"/>
        <v>0</v>
      </c>
      <c r="R51" s="672">
        <f t="shared" si="21"/>
        <v>0</v>
      </c>
      <c r="S51" s="322">
        <f t="shared" si="11"/>
        <v>0</v>
      </c>
    </row>
    <row r="52" spans="1:19">
      <c r="A52" s="155"/>
      <c r="B52" s="57"/>
      <c r="C52" s="24">
        <f t="shared" si="13"/>
        <v>1</v>
      </c>
      <c r="D52" s="676"/>
      <c r="E52" s="24">
        <f t="shared" si="14"/>
        <v>0</v>
      </c>
      <c r="F52" s="676"/>
      <c r="G52" s="24">
        <f t="shared" si="15"/>
        <v>0.02</v>
      </c>
      <c r="H52" s="676"/>
      <c r="I52" s="24">
        <f t="shared" si="16"/>
        <v>0</v>
      </c>
      <c r="J52" s="676"/>
      <c r="K52" s="24">
        <f t="shared" si="17"/>
        <v>1</v>
      </c>
      <c r="L52" s="676"/>
      <c r="M52" s="24">
        <f t="shared" si="18"/>
        <v>1</v>
      </c>
      <c r="N52" s="676"/>
      <c r="O52" s="24">
        <f t="shared" si="19"/>
        <v>1</v>
      </c>
      <c r="P52" s="676"/>
      <c r="Q52" s="24">
        <f t="shared" si="20"/>
        <v>0</v>
      </c>
      <c r="R52" s="672">
        <f t="shared" si="21"/>
        <v>0</v>
      </c>
      <c r="S52" s="322">
        <f t="shared" si="11"/>
        <v>0</v>
      </c>
    </row>
    <row r="53" spans="1:19">
      <c r="A53" s="155"/>
      <c r="B53" s="57"/>
      <c r="C53" s="24">
        <f t="shared" si="13"/>
        <v>1</v>
      </c>
      <c r="D53" s="676"/>
      <c r="E53" s="24">
        <f t="shared" si="14"/>
        <v>0</v>
      </c>
      <c r="F53" s="676"/>
      <c r="G53" s="24">
        <f t="shared" si="15"/>
        <v>0.02</v>
      </c>
      <c r="H53" s="676"/>
      <c r="I53" s="24">
        <f t="shared" si="16"/>
        <v>0</v>
      </c>
      <c r="J53" s="676"/>
      <c r="K53" s="24">
        <f t="shared" si="17"/>
        <v>1</v>
      </c>
      <c r="L53" s="676"/>
      <c r="M53" s="24">
        <f t="shared" si="18"/>
        <v>1</v>
      </c>
      <c r="N53" s="676"/>
      <c r="O53" s="24">
        <f t="shared" si="19"/>
        <v>1</v>
      </c>
      <c r="P53" s="676"/>
      <c r="Q53" s="24">
        <f t="shared" si="20"/>
        <v>0</v>
      </c>
      <c r="R53" s="672">
        <f t="shared" si="21"/>
        <v>0</v>
      </c>
      <c r="S53" s="322">
        <f t="shared" si="11"/>
        <v>0</v>
      </c>
    </row>
    <row r="54" spans="1:19">
      <c r="A54" s="155"/>
      <c r="B54" s="57"/>
      <c r="C54" s="24">
        <f t="shared" si="13"/>
        <v>1</v>
      </c>
      <c r="D54" s="676"/>
      <c r="E54" s="24">
        <f t="shared" si="14"/>
        <v>0</v>
      </c>
      <c r="F54" s="676"/>
      <c r="G54" s="24">
        <f t="shared" si="15"/>
        <v>0.02</v>
      </c>
      <c r="H54" s="676"/>
      <c r="I54" s="24">
        <f t="shared" si="16"/>
        <v>0</v>
      </c>
      <c r="J54" s="676"/>
      <c r="K54" s="24">
        <f t="shared" si="17"/>
        <v>1</v>
      </c>
      <c r="L54" s="676"/>
      <c r="M54" s="24">
        <f t="shared" si="18"/>
        <v>1</v>
      </c>
      <c r="N54" s="676"/>
      <c r="O54" s="24">
        <f t="shared" si="19"/>
        <v>1</v>
      </c>
      <c r="P54" s="676"/>
      <c r="Q54" s="24">
        <f t="shared" si="20"/>
        <v>0</v>
      </c>
      <c r="R54" s="672">
        <f t="shared" si="21"/>
        <v>0</v>
      </c>
      <c r="S54" s="322">
        <f t="shared" si="11"/>
        <v>0</v>
      </c>
    </row>
    <row r="55" spans="1:19">
      <c r="A55" s="155"/>
      <c r="B55" s="57"/>
      <c r="C55" s="24">
        <f t="shared" si="13"/>
        <v>1</v>
      </c>
      <c r="D55" s="676"/>
      <c r="E55" s="24">
        <f t="shared" si="14"/>
        <v>0</v>
      </c>
      <c r="F55" s="676"/>
      <c r="G55" s="24">
        <f t="shared" si="15"/>
        <v>0.02</v>
      </c>
      <c r="H55" s="676"/>
      <c r="I55" s="24">
        <f t="shared" si="16"/>
        <v>0</v>
      </c>
      <c r="J55" s="676"/>
      <c r="K55" s="24">
        <f t="shared" si="17"/>
        <v>1</v>
      </c>
      <c r="L55" s="676"/>
      <c r="M55" s="24">
        <f t="shared" si="18"/>
        <v>1</v>
      </c>
      <c r="N55" s="676"/>
      <c r="O55" s="24">
        <f t="shared" si="19"/>
        <v>1</v>
      </c>
      <c r="P55" s="676"/>
      <c r="Q55" s="24">
        <f t="shared" si="20"/>
        <v>0</v>
      </c>
      <c r="R55" s="672">
        <f t="shared" si="21"/>
        <v>0</v>
      </c>
      <c r="S55" s="322">
        <f t="shared" ref="S55:S77" si="22">ROUND(R55*B55/10000,0)</f>
        <v>0</v>
      </c>
    </row>
    <row r="56" spans="1:19">
      <c r="A56" s="155"/>
      <c r="B56" s="57"/>
      <c r="C56" s="24">
        <f t="shared" si="13"/>
        <v>1</v>
      </c>
      <c r="D56" s="676"/>
      <c r="E56" s="24">
        <f t="shared" si="14"/>
        <v>0</v>
      </c>
      <c r="F56" s="676"/>
      <c r="G56" s="24">
        <f t="shared" si="15"/>
        <v>0.02</v>
      </c>
      <c r="H56" s="676"/>
      <c r="I56" s="24">
        <f t="shared" si="16"/>
        <v>0</v>
      </c>
      <c r="J56" s="676"/>
      <c r="K56" s="24">
        <f t="shared" si="17"/>
        <v>1</v>
      </c>
      <c r="L56" s="676"/>
      <c r="M56" s="24">
        <f t="shared" si="18"/>
        <v>1</v>
      </c>
      <c r="N56" s="676"/>
      <c r="O56" s="24">
        <f t="shared" si="19"/>
        <v>1</v>
      </c>
      <c r="P56" s="676"/>
      <c r="Q56" s="24">
        <f t="shared" si="20"/>
        <v>0</v>
      </c>
      <c r="R56" s="672">
        <f t="shared" si="21"/>
        <v>0</v>
      </c>
      <c r="S56" s="322">
        <f t="shared" si="22"/>
        <v>0</v>
      </c>
    </row>
    <row r="57" spans="1:19">
      <c r="A57" s="155"/>
      <c r="B57" s="57"/>
      <c r="C57" s="24">
        <f t="shared" si="13"/>
        <v>1</v>
      </c>
      <c r="D57" s="676"/>
      <c r="E57" s="24">
        <f t="shared" si="14"/>
        <v>0</v>
      </c>
      <c r="F57" s="676"/>
      <c r="G57" s="24">
        <f t="shared" si="15"/>
        <v>0.02</v>
      </c>
      <c r="H57" s="676"/>
      <c r="I57" s="24">
        <f t="shared" si="16"/>
        <v>0</v>
      </c>
      <c r="J57" s="676"/>
      <c r="K57" s="24">
        <f t="shared" si="17"/>
        <v>1</v>
      </c>
      <c r="L57" s="676"/>
      <c r="M57" s="24">
        <f t="shared" si="18"/>
        <v>1</v>
      </c>
      <c r="N57" s="676"/>
      <c r="O57" s="24">
        <f t="shared" si="19"/>
        <v>1</v>
      </c>
      <c r="P57" s="676"/>
      <c r="Q57" s="24">
        <f t="shared" si="20"/>
        <v>0</v>
      </c>
      <c r="R57" s="672">
        <f t="shared" si="21"/>
        <v>0</v>
      </c>
      <c r="S57" s="322">
        <f t="shared" si="22"/>
        <v>0</v>
      </c>
    </row>
    <row r="58" spans="1:19">
      <c r="A58" s="155"/>
      <c r="B58" s="57"/>
      <c r="C58" s="24">
        <f t="shared" si="13"/>
        <v>1</v>
      </c>
      <c r="D58" s="676"/>
      <c r="E58" s="24">
        <f t="shared" si="14"/>
        <v>0</v>
      </c>
      <c r="F58" s="676"/>
      <c r="G58" s="24">
        <f t="shared" si="15"/>
        <v>0.02</v>
      </c>
      <c r="H58" s="676"/>
      <c r="I58" s="24">
        <f t="shared" si="16"/>
        <v>0</v>
      </c>
      <c r="J58" s="676"/>
      <c r="K58" s="24">
        <f t="shared" si="17"/>
        <v>1</v>
      </c>
      <c r="L58" s="676"/>
      <c r="M58" s="24">
        <f t="shared" si="18"/>
        <v>1</v>
      </c>
      <c r="N58" s="676"/>
      <c r="O58" s="24">
        <f t="shared" si="19"/>
        <v>1</v>
      </c>
      <c r="P58" s="676"/>
      <c r="Q58" s="24">
        <f t="shared" si="20"/>
        <v>0</v>
      </c>
      <c r="R58" s="672">
        <f t="shared" si="21"/>
        <v>0</v>
      </c>
      <c r="S58" s="322">
        <f t="shared" si="22"/>
        <v>0</v>
      </c>
    </row>
    <row r="59" spans="1:19">
      <c r="A59" s="155"/>
      <c r="B59" s="57"/>
      <c r="C59" s="24">
        <f t="shared" si="13"/>
        <v>1</v>
      </c>
      <c r="D59" s="676"/>
      <c r="E59" s="24">
        <f t="shared" si="14"/>
        <v>0</v>
      </c>
      <c r="F59" s="676"/>
      <c r="G59" s="24">
        <f t="shared" si="15"/>
        <v>0.02</v>
      </c>
      <c r="H59" s="676"/>
      <c r="I59" s="24">
        <f t="shared" si="16"/>
        <v>0</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0</v>
      </c>
      <c r="F60" s="676"/>
      <c r="G60" s="24">
        <f t="shared" si="15"/>
        <v>0.02</v>
      </c>
      <c r="H60" s="676"/>
      <c r="I60" s="24">
        <f t="shared" si="16"/>
        <v>0</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0</v>
      </c>
      <c r="F61" s="676"/>
      <c r="G61" s="24">
        <f t="shared" si="15"/>
        <v>0.02</v>
      </c>
      <c r="H61" s="676"/>
      <c r="I61" s="24">
        <f t="shared" si="16"/>
        <v>0</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0</v>
      </c>
      <c r="F62" s="676"/>
      <c r="G62" s="24">
        <f t="shared" si="15"/>
        <v>0.02</v>
      </c>
      <c r="H62" s="676"/>
      <c r="I62" s="24">
        <f t="shared" si="16"/>
        <v>0</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0</v>
      </c>
      <c r="F63" s="676"/>
      <c r="G63" s="24">
        <f t="shared" si="15"/>
        <v>0.02</v>
      </c>
      <c r="H63" s="676"/>
      <c r="I63" s="24">
        <f t="shared" si="16"/>
        <v>0</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0</v>
      </c>
      <c r="F64" s="676"/>
      <c r="G64" s="24">
        <f t="shared" si="15"/>
        <v>0.02</v>
      </c>
      <c r="H64" s="676"/>
      <c r="I64" s="24">
        <f t="shared" si="16"/>
        <v>0</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0</v>
      </c>
      <c r="F65" s="676"/>
      <c r="G65" s="24">
        <f t="shared" si="15"/>
        <v>0.02</v>
      </c>
      <c r="H65" s="676"/>
      <c r="I65" s="24">
        <f t="shared" si="16"/>
        <v>0</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0</v>
      </c>
      <c r="F66" s="676"/>
      <c r="G66" s="24">
        <f t="shared" si="15"/>
        <v>0.02</v>
      </c>
      <c r="H66" s="676"/>
      <c r="I66" s="24">
        <f t="shared" si="16"/>
        <v>0</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0</v>
      </c>
      <c r="F67" s="676"/>
      <c r="G67" s="24">
        <f t="shared" si="15"/>
        <v>0.02</v>
      </c>
      <c r="H67" s="676"/>
      <c r="I67" s="24">
        <f t="shared" si="16"/>
        <v>0</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0</v>
      </c>
      <c r="F68" s="676"/>
      <c r="G68" s="24">
        <f t="shared" si="15"/>
        <v>0.02</v>
      </c>
      <c r="H68" s="676"/>
      <c r="I68" s="24">
        <f t="shared" si="16"/>
        <v>0</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0</v>
      </c>
      <c r="F69" s="676"/>
      <c r="G69" s="24">
        <f t="shared" si="15"/>
        <v>0.02</v>
      </c>
      <c r="H69" s="676"/>
      <c r="I69" s="24">
        <f t="shared" si="16"/>
        <v>0</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0</v>
      </c>
      <c r="F70" s="676"/>
      <c r="G70" s="24">
        <f t="shared" si="15"/>
        <v>0.02</v>
      </c>
      <c r="H70" s="676"/>
      <c r="I70" s="24">
        <f t="shared" si="16"/>
        <v>0</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0</v>
      </c>
      <c r="F71" s="676"/>
      <c r="G71" s="24">
        <f t="shared" si="15"/>
        <v>0.02</v>
      </c>
      <c r="H71" s="676"/>
      <c r="I71" s="24">
        <f t="shared" si="16"/>
        <v>0</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0</v>
      </c>
      <c r="F72" s="676"/>
      <c r="G72" s="24">
        <f t="shared" si="15"/>
        <v>0.02</v>
      </c>
      <c r="H72" s="676"/>
      <c r="I72" s="24">
        <f t="shared" si="16"/>
        <v>0</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0</v>
      </c>
      <c r="F73" s="676"/>
      <c r="G73" s="24">
        <f t="shared" si="15"/>
        <v>0.02</v>
      </c>
      <c r="H73" s="676"/>
      <c r="I73" s="24">
        <f t="shared" si="16"/>
        <v>0</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0</v>
      </c>
      <c r="F74" s="676"/>
      <c r="G74" s="24">
        <f t="shared" si="15"/>
        <v>0.02</v>
      </c>
      <c r="H74" s="676"/>
      <c r="I74" s="24">
        <f t="shared" si="16"/>
        <v>0</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0</v>
      </c>
      <c r="F75" s="676"/>
      <c r="G75" s="24">
        <f t="shared" si="15"/>
        <v>0.02</v>
      </c>
      <c r="H75" s="676"/>
      <c r="I75" s="24">
        <f t="shared" si="16"/>
        <v>0</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0</v>
      </c>
      <c r="F76" s="676"/>
      <c r="G76" s="24">
        <f t="shared" si="15"/>
        <v>0.02</v>
      </c>
      <c r="H76" s="676"/>
      <c r="I76" s="24">
        <f t="shared" si="16"/>
        <v>0</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0</v>
      </c>
      <c r="F77" s="676"/>
      <c r="G77" s="24">
        <f t="shared" si="15"/>
        <v>0.02</v>
      </c>
      <c r="H77" s="676"/>
      <c r="I77" s="24">
        <f t="shared" si="16"/>
        <v>0</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0</v>
      </c>
      <c r="F78" s="676"/>
      <c r="G78" s="24">
        <f t="shared" si="15"/>
        <v>0.02</v>
      </c>
      <c r="H78" s="676"/>
      <c r="I78" s="24">
        <f t="shared" si="16"/>
        <v>0</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0</v>
      </c>
      <c r="F79" s="676"/>
      <c r="G79" s="24">
        <f t="shared" si="15"/>
        <v>0.02</v>
      </c>
      <c r="H79" s="676"/>
      <c r="I79" s="24">
        <f t="shared" si="16"/>
        <v>0</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0</v>
      </c>
      <c r="F80" s="676"/>
      <c r="G80" s="24">
        <f t="shared" si="15"/>
        <v>0.02</v>
      </c>
      <c r="H80" s="676"/>
      <c r="I80" s="24">
        <f t="shared" si="16"/>
        <v>0</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0</v>
      </c>
      <c r="F81" s="676"/>
      <c r="G81" s="24">
        <f t="shared" si="15"/>
        <v>0.02</v>
      </c>
      <c r="H81" s="676"/>
      <c r="I81" s="24">
        <f t="shared" si="16"/>
        <v>0</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0</v>
      </c>
      <c r="F82" s="676"/>
      <c r="G82" s="24">
        <f t="shared" si="15"/>
        <v>0.02</v>
      </c>
      <c r="H82" s="676"/>
      <c r="I82" s="24">
        <f t="shared" si="16"/>
        <v>0</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0</v>
      </c>
      <c r="F83" s="676"/>
      <c r="G83" s="24">
        <f t="shared" si="15"/>
        <v>0.02</v>
      </c>
      <c r="H83" s="676"/>
      <c r="I83" s="24">
        <f t="shared" si="16"/>
        <v>0</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0</v>
      </c>
      <c r="F84" s="676"/>
      <c r="G84" s="24">
        <f t="shared" si="15"/>
        <v>0.02</v>
      </c>
      <c r="H84" s="676"/>
      <c r="I84" s="24">
        <f t="shared" si="16"/>
        <v>0</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0</v>
      </c>
      <c r="F85" s="676"/>
      <c r="G85" s="24">
        <f t="shared" si="15"/>
        <v>0.02</v>
      </c>
      <c r="H85" s="676"/>
      <c r="I85" s="24">
        <f t="shared" si="16"/>
        <v>0</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0</v>
      </c>
      <c r="F86" s="676"/>
      <c r="G86" s="24">
        <f t="shared" si="15"/>
        <v>0.02</v>
      </c>
      <c r="H86" s="676"/>
      <c r="I86" s="24">
        <f t="shared" si="16"/>
        <v>0</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0</v>
      </c>
      <c r="F87" s="676"/>
      <c r="G87" s="24">
        <f t="shared" si="15"/>
        <v>0.02</v>
      </c>
      <c r="H87" s="676"/>
      <c r="I87" s="24">
        <f t="shared" si="16"/>
        <v>0</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0</v>
      </c>
      <c r="F88" s="676"/>
      <c r="G88" s="24">
        <f t="shared" si="15"/>
        <v>0.02</v>
      </c>
      <c r="H88" s="676"/>
      <c r="I88" s="24">
        <f t="shared" si="16"/>
        <v>0</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0</v>
      </c>
      <c r="F89" s="676"/>
      <c r="G89" s="24">
        <f t="shared" si="15"/>
        <v>0.02</v>
      </c>
      <c r="H89" s="676"/>
      <c r="I89" s="24">
        <f t="shared" si="16"/>
        <v>0</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0</v>
      </c>
      <c r="F90" s="676"/>
      <c r="G90" s="24">
        <f t="shared" ref="G90:G153" si="26">(SUMIF($7:$7,F90,$8:$8)-SUMIF($7:$7,$F$24,$8:$8)+100)/100</f>
        <v>0.02</v>
      </c>
      <c r="H90" s="676"/>
      <c r="I90" s="24">
        <f t="shared" ref="I90:I153" si="27">(SUMIF($9:$9,H90,$10:$10)-SUMIF($9:$9,$H$24,$10:$10)+100)/100</f>
        <v>0</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0</v>
      </c>
      <c r="F91" s="676"/>
      <c r="G91" s="24">
        <f t="shared" si="26"/>
        <v>0.02</v>
      </c>
      <c r="H91" s="676"/>
      <c r="I91" s="24">
        <f t="shared" si="27"/>
        <v>0</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0</v>
      </c>
      <c r="F92" s="676"/>
      <c r="G92" s="24">
        <f t="shared" si="26"/>
        <v>0.02</v>
      </c>
      <c r="H92" s="676"/>
      <c r="I92" s="24">
        <f t="shared" si="27"/>
        <v>0</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0</v>
      </c>
      <c r="F93" s="676"/>
      <c r="G93" s="24">
        <f t="shared" si="26"/>
        <v>0.02</v>
      </c>
      <c r="H93" s="676"/>
      <c r="I93" s="24">
        <f t="shared" si="27"/>
        <v>0</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0</v>
      </c>
      <c r="F94" s="676"/>
      <c r="G94" s="24">
        <f t="shared" si="26"/>
        <v>0.02</v>
      </c>
      <c r="H94" s="676"/>
      <c r="I94" s="24">
        <f t="shared" si="27"/>
        <v>0</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0</v>
      </c>
      <c r="F95" s="676"/>
      <c r="G95" s="24">
        <f t="shared" si="26"/>
        <v>0.02</v>
      </c>
      <c r="H95" s="676"/>
      <c r="I95" s="24">
        <f t="shared" si="27"/>
        <v>0</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0</v>
      </c>
      <c r="F96" s="676"/>
      <c r="G96" s="24">
        <f t="shared" si="26"/>
        <v>0.02</v>
      </c>
      <c r="H96" s="676"/>
      <c r="I96" s="24">
        <f t="shared" si="27"/>
        <v>0</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0</v>
      </c>
      <c r="F97" s="676"/>
      <c r="G97" s="24">
        <f t="shared" si="26"/>
        <v>0.02</v>
      </c>
      <c r="H97" s="676"/>
      <c r="I97" s="24">
        <f t="shared" si="27"/>
        <v>0</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0</v>
      </c>
      <c r="F98" s="676"/>
      <c r="G98" s="24">
        <f t="shared" si="26"/>
        <v>0.02</v>
      </c>
      <c r="H98" s="676"/>
      <c r="I98" s="24">
        <f t="shared" si="27"/>
        <v>0</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0</v>
      </c>
      <c r="F99" s="676"/>
      <c r="G99" s="24">
        <f t="shared" si="26"/>
        <v>0.02</v>
      </c>
      <c r="H99" s="676"/>
      <c r="I99" s="24">
        <f t="shared" si="27"/>
        <v>0</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0</v>
      </c>
      <c r="F100" s="676"/>
      <c r="G100" s="24">
        <f t="shared" si="26"/>
        <v>0.02</v>
      </c>
      <c r="H100" s="676"/>
      <c r="I100" s="24">
        <f t="shared" si="27"/>
        <v>0</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0</v>
      </c>
      <c r="F101" s="676"/>
      <c r="G101" s="24">
        <f t="shared" si="26"/>
        <v>0.02</v>
      </c>
      <c r="H101" s="676"/>
      <c r="I101" s="24">
        <f t="shared" si="27"/>
        <v>0</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0</v>
      </c>
      <c r="F102" s="676"/>
      <c r="G102" s="24">
        <f t="shared" si="26"/>
        <v>0.02</v>
      </c>
      <c r="H102" s="676"/>
      <c r="I102" s="24">
        <f t="shared" si="27"/>
        <v>0</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0</v>
      </c>
      <c r="F103" s="676"/>
      <c r="G103" s="24">
        <f t="shared" si="26"/>
        <v>0.02</v>
      </c>
      <c r="H103" s="676"/>
      <c r="I103" s="24">
        <f t="shared" si="27"/>
        <v>0</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0</v>
      </c>
      <c r="F104" s="676"/>
      <c r="G104" s="24">
        <f t="shared" si="26"/>
        <v>0.02</v>
      </c>
      <c r="H104" s="676"/>
      <c r="I104" s="24">
        <f t="shared" si="27"/>
        <v>0</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0</v>
      </c>
      <c r="F105" s="676"/>
      <c r="G105" s="24">
        <f t="shared" si="26"/>
        <v>0.02</v>
      </c>
      <c r="H105" s="676"/>
      <c r="I105" s="24">
        <f t="shared" si="27"/>
        <v>0</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0</v>
      </c>
      <c r="F106" s="676"/>
      <c r="G106" s="24">
        <f t="shared" si="26"/>
        <v>0.02</v>
      </c>
      <c r="H106" s="676"/>
      <c r="I106" s="24">
        <f t="shared" si="27"/>
        <v>0</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0</v>
      </c>
      <c r="F107" s="676"/>
      <c r="G107" s="24">
        <f t="shared" si="26"/>
        <v>0.02</v>
      </c>
      <c r="H107" s="676"/>
      <c r="I107" s="24">
        <f t="shared" si="27"/>
        <v>0</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0</v>
      </c>
      <c r="F108" s="676"/>
      <c r="G108" s="24">
        <f t="shared" si="26"/>
        <v>0.02</v>
      </c>
      <c r="H108" s="676"/>
      <c r="I108" s="24">
        <f t="shared" si="27"/>
        <v>0</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0</v>
      </c>
      <c r="F109" s="676"/>
      <c r="G109" s="24">
        <f t="shared" si="26"/>
        <v>0.02</v>
      </c>
      <c r="H109" s="676"/>
      <c r="I109" s="24">
        <f t="shared" si="27"/>
        <v>0</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0</v>
      </c>
      <c r="F110" s="676"/>
      <c r="G110" s="24">
        <f t="shared" si="26"/>
        <v>0.02</v>
      </c>
      <c r="H110" s="676"/>
      <c r="I110" s="24">
        <f t="shared" si="27"/>
        <v>0</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0</v>
      </c>
      <c r="F111" s="676"/>
      <c r="G111" s="24">
        <f t="shared" si="26"/>
        <v>0.02</v>
      </c>
      <c r="H111" s="676"/>
      <c r="I111" s="24">
        <f t="shared" si="27"/>
        <v>0</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0</v>
      </c>
      <c r="F112" s="676"/>
      <c r="G112" s="24">
        <f t="shared" si="26"/>
        <v>0.02</v>
      </c>
      <c r="H112" s="676"/>
      <c r="I112" s="24">
        <f t="shared" si="27"/>
        <v>0</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0</v>
      </c>
      <c r="F113" s="676"/>
      <c r="G113" s="24">
        <f t="shared" si="26"/>
        <v>0.02</v>
      </c>
      <c r="H113" s="676"/>
      <c r="I113" s="24">
        <f t="shared" si="27"/>
        <v>0</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0</v>
      </c>
      <c r="F114" s="676"/>
      <c r="G114" s="24">
        <f t="shared" si="26"/>
        <v>0.02</v>
      </c>
      <c r="H114" s="676"/>
      <c r="I114" s="24">
        <f t="shared" si="27"/>
        <v>0</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0</v>
      </c>
      <c r="F115" s="676"/>
      <c r="G115" s="24">
        <f t="shared" si="26"/>
        <v>0.02</v>
      </c>
      <c r="H115" s="676"/>
      <c r="I115" s="24">
        <f t="shared" si="27"/>
        <v>0</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0</v>
      </c>
      <c r="F116" s="676"/>
      <c r="G116" s="24">
        <f t="shared" si="26"/>
        <v>0.02</v>
      </c>
      <c r="H116" s="676"/>
      <c r="I116" s="24">
        <f t="shared" si="27"/>
        <v>0</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0</v>
      </c>
      <c r="F117" s="676"/>
      <c r="G117" s="24">
        <f t="shared" si="26"/>
        <v>0.02</v>
      </c>
      <c r="H117" s="676"/>
      <c r="I117" s="24">
        <f t="shared" si="27"/>
        <v>0</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0</v>
      </c>
      <c r="F118" s="676"/>
      <c r="G118" s="24">
        <f t="shared" si="26"/>
        <v>0.02</v>
      </c>
      <c r="H118" s="676"/>
      <c r="I118" s="24">
        <f t="shared" si="27"/>
        <v>0</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0</v>
      </c>
      <c r="F119" s="676"/>
      <c r="G119" s="24">
        <f t="shared" si="26"/>
        <v>0.02</v>
      </c>
      <c r="H119" s="676"/>
      <c r="I119" s="24">
        <f t="shared" si="27"/>
        <v>0</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0</v>
      </c>
      <c r="F120" s="676"/>
      <c r="G120" s="24">
        <f t="shared" si="26"/>
        <v>0.02</v>
      </c>
      <c r="H120" s="676"/>
      <c r="I120" s="24">
        <f t="shared" si="27"/>
        <v>0</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0</v>
      </c>
      <c r="F121" s="676"/>
      <c r="G121" s="24">
        <f t="shared" si="26"/>
        <v>0.02</v>
      </c>
      <c r="H121" s="676"/>
      <c r="I121" s="24">
        <f t="shared" si="27"/>
        <v>0</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0</v>
      </c>
      <c r="F122" s="676"/>
      <c r="G122" s="24">
        <f t="shared" si="26"/>
        <v>0.02</v>
      </c>
      <c r="H122" s="676"/>
      <c r="I122" s="24">
        <f t="shared" si="27"/>
        <v>0</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0</v>
      </c>
      <c r="F123" s="676"/>
      <c r="G123" s="24">
        <f t="shared" si="26"/>
        <v>0.02</v>
      </c>
      <c r="H123" s="676"/>
      <c r="I123" s="24">
        <f t="shared" si="27"/>
        <v>0</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0</v>
      </c>
      <c r="F124" s="676"/>
      <c r="G124" s="24">
        <f t="shared" si="26"/>
        <v>0.02</v>
      </c>
      <c r="H124" s="676"/>
      <c r="I124" s="24">
        <f t="shared" si="27"/>
        <v>0</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0</v>
      </c>
      <c r="F125" s="676"/>
      <c r="G125" s="24">
        <f t="shared" si="26"/>
        <v>0.02</v>
      </c>
      <c r="H125" s="676"/>
      <c r="I125" s="24">
        <f t="shared" si="27"/>
        <v>0</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0</v>
      </c>
      <c r="F126" s="676"/>
      <c r="G126" s="24">
        <f t="shared" si="26"/>
        <v>0.02</v>
      </c>
      <c r="H126" s="676"/>
      <c r="I126" s="24">
        <f t="shared" si="27"/>
        <v>0</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0</v>
      </c>
      <c r="F127" s="676"/>
      <c r="G127" s="24">
        <f t="shared" si="26"/>
        <v>0.02</v>
      </c>
      <c r="H127" s="676"/>
      <c r="I127" s="24">
        <f t="shared" si="27"/>
        <v>0</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0</v>
      </c>
      <c r="F128" s="676"/>
      <c r="G128" s="24">
        <f t="shared" si="26"/>
        <v>0.02</v>
      </c>
      <c r="H128" s="676"/>
      <c r="I128" s="24">
        <f t="shared" si="27"/>
        <v>0</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0</v>
      </c>
      <c r="F129" s="676"/>
      <c r="G129" s="24">
        <f t="shared" si="26"/>
        <v>0.02</v>
      </c>
      <c r="H129" s="676"/>
      <c r="I129" s="24">
        <f t="shared" si="27"/>
        <v>0</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0</v>
      </c>
      <c r="F130" s="676"/>
      <c r="G130" s="24">
        <f t="shared" si="26"/>
        <v>0.02</v>
      </c>
      <c r="H130" s="676"/>
      <c r="I130" s="24">
        <f t="shared" si="27"/>
        <v>0</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0</v>
      </c>
      <c r="F131" s="676"/>
      <c r="G131" s="24">
        <f t="shared" si="26"/>
        <v>0.02</v>
      </c>
      <c r="H131" s="676"/>
      <c r="I131" s="24">
        <f t="shared" si="27"/>
        <v>0</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0</v>
      </c>
      <c r="F132" s="676"/>
      <c r="G132" s="24">
        <f t="shared" si="26"/>
        <v>0.02</v>
      </c>
      <c r="H132" s="676"/>
      <c r="I132" s="24">
        <f t="shared" si="27"/>
        <v>0</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0</v>
      </c>
      <c r="F133" s="676"/>
      <c r="G133" s="24">
        <f t="shared" si="26"/>
        <v>0.02</v>
      </c>
      <c r="H133" s="676"/>
      <c r="I133" s="24">
        <f t="shared" si="27"/>
        <v>0</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0</v>
      </c>
      <c r="F134" s="676"/>
      <c r="G134" s="24">
        <f t="shared" si="26"/>
        <v>0.02</v>
      </c>
      <c r="H134" s="676"/>
      <c r="I134" s="24">
        <f t="shared" si="27"/>
        <v>0</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0</v>
      </c>
      <c r="F135" s="676"/>
      <c r="G135" s="24">
        <f t="shared" si="26"/>
        <v>0.02</v>
      </c>
      <c r="H135" s="676"/>
      <c r="I135" s="24">
        <f t="shared" si="27"/>
        <v>0</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0</v>
      </c>
      <c r="F136" s="676"/>
      <c r="G136" s="24">
        <f t="shared" si="26"/>
        <v>0.02</v>
      </c>
      <c r="H136" s="676"/>
      <c r="I136" s="24">
        <f t="shared" si="27"/>
        <v>0</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0</v>
      </c>
      <c r="F137" s="676"/>
      <c r="G137" s="24">
        <f t="shared" si="26"/>
        <v>0.02</v>
      </c>
      <c r="H137" s="676"/>
      <c r="I137" s="24">
        <f t="shared" si="27"/>
        <v>0</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0</v>
      </c>
      <c r="F138" s="676"/>
      <c r="G138" s="24">
        <f t="shared" si="26"/>
        <v>0.02</v>
      </c>
      <c r="H138" s="676"/>
      <c r="I138" s="24">
        <f t="shared" si="27"/>
        <v>0</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0</v>
      </c>
      <c r="F139" s="676"/>
      <c r="G139" s="24">
        <f t="shared" si="26"/>
        <v>0.02</v>
      </c>
      <c r="H139" s="676"/>
      <c r="I139" s="24">
        <f t="shared" si="27"/>
        <v>0</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0</v>
      </c>
      <c r="F140" s="676"/>
      <c r="G140" s="24">
        <f t="shared" si="26"/>
        <v>0.02</v>
      </c>
      <c r="H140" s="676"/>
      <c r="I140" s="24">
        <f t="shared" si="27"/>
        <v>0</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0</v>
      </c>
      <c r="F141" s="676"/>
      <c r="G141" s="24">
        <f t="shared" si="26"/>
        <v>0.02</v>
      </c>
      <c r="H141" s="676"/>
      <c r="I141" s="24">
        <f t="shared" si="27"/>
        <v>0</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0</v>
      </c>
      <c r="F142" s="676"/>
      <c r="G142" s="24">
        <f t="shared" si="26"/>
        <v>0.02</v>
      </c>
      <c r="H142" s="676"/>
      <c r="I142" s="24">
        <f t="shared" si="27"/>
        <v>0</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0</v>
      </c>
      <c r="F143" s="676"/>
      <c r="G143" s="24">
        <f t="shared" si="26"/>
        <v>0.02</v>
      </c>
      <c r="H143" s="676"/>
      <c r="I143" s="24">
        <f t="shared" si="27"/>
        <v>0</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0</v>
      </c>
      <c r="F144" s="676"/>
      <c r="G144" s="24">
        <f t="shared" si="26"/>
        <v>0.02</v>
      </c>
      <c r="H144" s="676"/>
      <c r="I144" s="24">
        <f t="shared" si="27"/>
        <v>0</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0</v>
      </c>
      <c r="F145" s="676"/>
      <c r="G145" s="24">
        <f t="shared" si="26"/>
        <v>0.02</v>
      </c>
      <c r="H145" s="676"/>
      <c r="I145" s="24">
        <f t="shared" si="27"/>
        <v>0</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0</v>
      </c>
      <c r="F146" s="676"/>
      <c r="G146" s="24">
        <f t="shared" si="26"/>
        <v>0.02</v>
      </c>
      <c r="H146" s="676"/>
      <c r="I146" s="24">
        <f t="shared" si="27"/>
        <v>0</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0</v>
      </c>
      <c r="F147" s="676"/>
      <c r="G147" s="24">
        <f t="shared" si="26"/>
        <v>0.02</v>
      </c>
      <c r="H147" s="676"/>
      <c r="I147" s="24">
        <f t="shared" si="27"/>
        <v>0</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0</v>
      </c>
      <c r="F148" s="676"/>
      <c r="G148" s="24">
        <f t="shared" si="26"/>
        <v>0.02</v>
      </c>
      <c r="H148" s="676"/>
      <c r="I148" s="24">
        <f t="shared" si="27"/>
        <v>0</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0</v>
      </c>
      <c r="F149" s="676"/>
      <c r="G149" s="24">
        <f t="shared" si="26"/>
        <v>0.02</v>
      </c>
      <c r="H149" s="676"/>
      <c r="I149" s="24">
        <f t="shared" si="27"/>
        <v>0</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0</v>
      </c>
      <c r="F150" s="676"/>
      <c r="G150" s="24">
        <f t="shared" si="26"/>
        <v>0.02</v>
      </c>
      <c r="H150" s="676"/>
      <c r="I150" s="24">
        <f t="shared" si="27"/>
        <v>0</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0</v>
      </c>
      <c r="F151" s="676"/>
      <c r="G151" s="24">
        <f t="shared" si="26"/>
        <v>0.02</v>
      </c>
      <c r="H151" s="676"/>
      <c r="I151" s="24">
        <f t="shared" si="27"/>
        <v>0</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0</v>
      </c>
      <c r="F152" s="676"/>
      <c r="G152" s="24">
        <f t="shared" si="26"/>
        <v>0.02</v>
      </c>
      <c r="H152" s="676"/>
      <c r="I152" s="24">
        <f t="shared" si="27"/>
        <v>0</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0</v>
      </c>
      <c r="F153" s="676"/>
      <c r="G153" s="24">
        <f t="shared" si="26"/>
        <v>0.02</v>
      </c>
      <c r="H153" s="676"/>
      <c r="I153" s="24">
        <f t="shared" si="27"/>
        <v>0</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0</v>
      </c>
      <c r="F154" s="676"/>
      <c r="G154" s="24">
        <f t="shared" ref="G154:G217" si="36">(SUMIF($7:$7,F154,$8:$8)-SUMIF($7:$7,$F$24,$8:$8)+100)/100</f>
        <v>0.02</v>
      </c>
      <c r="H154" s="676"/>
      <c r="I154" s="24">
        <f t="shared" ref="I154:I217" si="37">(SUMIF($9:$9,H154,$10:$10)-SUMIF($9:$9,$H$24,$10:$10)+100)/100</f>
        <v>0</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0</v>
      </c>
      <c r="F155" s="676"/>
      <c r="G155" s="24">
        <f t="shared" si="36"/>
        <v>0.02</v>
      </c>
      <c r="H155" s="676"/>
      <c r="I155" s="24">
        <f t="shared" si="37"/>
        <v>0</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0</v>
      </c>
      <c r="F156" s="676"/>
      <c r="G156" s="24">
        <f t="shared" si="36"/>
        <v>0.02</v>
      </c>
      <c r="H156" s="676"/>
      <c r="I156" s="24">
        <f t="shared" si="37"/>
        <v>0</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0</v>
      </c>
      <c r="F157" s="676"/>
      <c r="G157" s="24">
        <f t="shared" si="36"/>
        <v>0.02</v>
      </c>
      <c r="H157" s="676"/>
      <c r="I157" s="24">
        <f t="shared" si="37"/>
        <v>0</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0</v>
      </c>
      <c r="F158" s="676"/>
      <c r="G158" s="24">
        <f t="shared" si="36"/>
        <v>0.02</v>
      </c>
      <c r="H158" s="676"/>
      <c r="I158" s="24">
        <f t="shared" si="37"/>
        <v>0</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0</v>
      </c>
      <c r="F159" s="676"/>
      <c r="G159" s="24">
        <f t="shared" si="36"/>
        <v>0.02</v>
      </c>
      <c r="H159" s="676"/>
      <c r="I159" s="24">
        <f t="shared" si="37"/>
        <v>0</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0</v>
      </c>
      <c r="F160" s="676"/>
      <c r="G160" s="24">
        <f t="shared" si="36"/>
        <v>0.02</v>
      </c>
      <c r="H160" s="676"/>
      <c r="I160" s="24">
        <f t="shared" si="37"/>
        <v>0</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0</v>
      </c>
      <c r="F161" s="676"/>
      <c r="G161" s="24">
        <f t="shared" si="36"/>
        <v>0.02</v>
      </c>
      <c r="H161" s="676"/>
      <c r="I161" s="24">
        <f t="shared" si="37"/>
        <v>0</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0</v>
      </c>
      <c r="F162" s="676"/>
      <c r="G162" s="24">
        <f t="shared" si="36"/>
        <v>0.02</v>
      </c>
      <c r="H162" s="676"/>
      <c r="I162" s="24">
        <f t="shared" si="37"/>
        <v>0</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0</v>
      </c>
      <c r="F163" s="676"/>
      <c r="G163" s="24">
        <f t="shared" si="36"/>
        <v>0.02</v>
      </c>
      <c r="H163" s="676"/>
      <c r="I163" s="24">
        <f t="shared" si="37"/>
        <v>0</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0</v>
      </c>
      <c r="F164" s="676"/>
      <c r="G164" s="24">
        <f t="shared" si="36"/>
        <v>0.02</v>
      </c>
      <c r="H164" s="676"/>
      <c r="I164" s="24">
        <f t="shared" si="37"/>
        <v>0</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0</v>
      </c>
      <c r="F165" s="676"/>
      <c r="G165" s="24">
        <f t="shared" si="36"/>
        <v>0.02</v>
      </c>
      <c r="H165" s="676"/>
      <c r="I165" s="24">
        <f t="shared" si="37"/>
        <v>0</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0</v>
      </c>
      <c r="F166" s="676"/>
      <c r="G166" s="24">
        <f t="shared" si="36"/>
        <v>0.02</v>
      </c>
      <c r="H166" s="676"/>
      <c r="I166" s="24">
        <f t="shared" si="37"/>
        <v>0</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0</v>
      </c>
      <c r="F167" s="676"/>
      <c r="G167" s="24">
        <f t="shared" si="36"/>
        <v>0.02</v>
      </c>
      <c r="H167" s="676"/>
      <c r="I167" s="24">
        <f t="shared" si="37"/>
        <v>0</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0</v>
      </c>
      <c r="F168" s="676"/>
      <c r="G168" s="24">
        <f t="shared" si="36"/>
        <v>0.02</v>
      </c>
      <c r="H168" s="676"/>
      <c r="I168" s="24">
        <f t="shared" si="37"/>
        <v>0</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0</v>
      </c>
      <c r="F169" s="676"/>
      <c r="G169" s="24">
        <f t="shared" si="36"/>
        <v>0.02</v>
      </c>
      <c r="H169" s="676"/>
      <c r="I169" s="24">
        <f t="shared" si="37"/>
        <v>0</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0</v>
      </c>
      <c r="F170" s="676"/>
      <c r="G170" s="24">
        <f t="shared" si="36"/>
        <v>0.02</v>
      </c>
      <c r="H170" s="676"/>
      <c r="I170" s="24">
        <f t="shared" si="37"/>
        <v>0</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0</v>
      </c>
      <c r="F171" s="676"/>
      <c r="G171" s="24">
        <f t="shared" si="36"/>
        <v>0.02</v>
      </c>
      <c r="H171" s="676"/>
      <c r="I171" s="24">
        <f t="shared" si="37"/>
        <v>0</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0</v>
      </c>
      <c r="F172" s="676"/>
      <c r="G172" s="24">
        <f t="shared" si="36"/>
        <v>0.02</v>
      </c>
      <c r="H172" s="676"/>
      <c r="I172" s="24">
        <f t="shared" si="37"/>
        <v>0</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0</v>
      </c>
      <c r="F173" s="676"/>
      <c r="G173" s="24">
        <f t="shared" si="36"/>
        <v>0.02</v>
      </c>
      <c r="H173" s="676"/>
      <c r="I173" s="24">
        <f t="shared" si="37"/>
        <v>0</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0</v>
      </c>
      <c r="F174" s="676"/>
      <c r="G174" s="24">
        <f t="shared" si="36"/>
        <v>0.02</v>
      </c>
      <c r="H174" s="676"/>
      <c r="I174" s="24">
        <f t="shared" si="37"/>
        <v>0</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0</v>
      </c>
      <c r="F175" s="676"/>
      <c r="G175" s="24">
        <f t="shared" si="36"/>
        <v>0.02</v>
      </c>
      <c r="H175" s="676"/>
      <c r="I175" s="24">
        <f t="shared" si="37"/>
        <v>0</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0</v>
      </c>
      <c r="F176" s="676"/>
      <c r="G176" s="24">
        <f t="shared" si="36"/>
        <v>0.02</v>
      </c>
      <c r="H176" s="676"/>
      <c r="I176" s="24">
        <f t="shared" si="37"/>
        <v>0</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0</v>
      </c>
      <c r="F177" s="676"/>
      <c r="G177" s="24">
        <f t="shared" si="36"/>
        <v>0.02</v>
      </c>
      <c r="H177" s="676"/>
      <c r="I177" s="24">
        <f t="shared" si="37"/>
        <v>0</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0</v>
      </c>
      <c r="F178" s="676"/>
      <c r="G178" s="24">
        <f t="shared" si="36"/>
        <v>0.02</v>
      </c>
      <c r="H178" s="676"/>
      <c r="I178" s="24">
        <f t="shared" si="37"/>
        <v>0</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0</v>
      </c>
      <c r="F179" s="676"/>
      <c r="G179" s="24">
        <f t="shared" si="36"/>
        <v>0.02</v>
      </c>
      <c r="H179" s="676"/>
      <c r="I179" s="24">
        <f t="shared" si="37"/>
        <v>0</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0</v>
      </c>
      <c r="F180" s="676"/>
      <c r="G180" s="24">
        <f t="shared" si="36"/>
        <v>0.02</v>
      </c>
      <c r="H180" s="676"/>
      <c r="I180" s="24">
        <f t="shared" si="37"/>
        <v>0</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0</v>
      </c>
      <c r="F181" s="676"/>
      <c r="G181" s="24">
        <f t="shared" si="36"/>
        <v>0.02</v>
      </c>
      <c r="H181" s="676"/>
      <c r="I181" s="24">
        <f t="shared" si="37"/>
        <v>0</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0</v>
      </c>
      <c r="F182" s="676"/>
      <c r="G182" s="24">
        <f t="shared" si="36"/>
        <v>0.02</v>
      </c>
      <c r="H182" s="676"/>
      <c r="I182" s="24">
        <f t="shared" si="37"/>
        <v>0</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0</v>
      </c>
      <c r="F183" s="676"/>
      <c r="G183" s="24">
        <f t="shared" si="36"/>
        <v>0.02</v>
      </c>
      <c r="H183" s="676"/>
      <c r="I183" s="24">
        <f t="shared" si="37"/>
        <v>0</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0</v>
      </c>
      <c r="F184" s="676"/>
      <c r="G184" s="24">
        <f t="shared" si="36"/>
        <v>0.02</v>
      </c>
      <c r="H184" s="676"/>
      <c r="I184" s="24">
        <f t="shared" si="37"/>
        <v>0</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0</v>
      </c>
      <c r="F185" s="676"/>
      <c r="G185" s="24">
        <f t="shared" si="36"/>
        <v>0.02</v>
      </c>
      <c r="H185" s="676"/>
      <c r="I185" s="24">
        <f t="shared" si="37"/>
        <v>0</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0</v>
      </c>
      <c r="F186" s="676"/>
      <c r="G186" s="24">
        <f t="shared" si="36"/>
        <v>0.02</v>
      </c>
      <c r="H186" s="676"/>
      <c r="I186" s="24">
        <f t="shared" si="37"/>
        <v>0</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0</v>
      </c>
      <c r="F187" s="676"/>
      <c r="G187" s="24">
        <f t="shared" si="36"/>
        <v>0.02</v>
      </c>
      <c r="H187" s="676"/>
      <c r="I187" s="24">
        <f t="shared" si="37"/>
        <v>0</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0</v>
      </c>
      <c r="F188" s="676"/>
      <c r="G188" s="24">
        <f t="shared" si="36"/>
        <v>0.02</v>
      </c>
      <c r="H188" s="676"/>
      <c r="I188" s="24">
        <f t="shared" si="37"/>
        <v>0</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0</v>
      </c>
      <c r="F189" s="676"/>
      <c r="G189" s="24">
        <f t="shared" si="36"/>
        <v>0.02</v>
      </c>
      <c r="H189" s="676"/>
      <c r="I189" s="24">
        <f t="shared" si="37"/>
        <v>0</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0</v>
      </c>
      <c r="F190" s="676"/>
      <c r="G190" s="24">
        <f t="shared" si="36"/>
        <v>0.02</v>
      </c>
      <c r="H190" s="676"/>
      <c r="I190" s="24">
        <f t="shared" si="37"/>
        <v>0</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0</v>
      </c>
      <c r="F191" s="676"/>
      <c r="G191" s="24">
        <f t="shared" si="36"/>
        <v>0.02</v>
      </c>
      <c r="H191" s="676"/>
      <c r="I191" s="24">
        <f t="shared" si="37"/>
        <v>0</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0</v>
      </c>
      <c r="F192" s="676"/>
      <c r="G192" s="24">
        <f t="shared" si="36"/>
        <v>0.02</v>
      </c>
      <c r="H192" s="676"/>
      <c r="I192" s="24">
        <f t="shared" si="37"/>
        <v>0</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0</v>
      </c>
      <c r="F193" s="676"/>
      <c r="G193" s="24">
        <f t="shared" si="36"/>
        <v>0.02</v>
      </c>
      <c r="H193" s="676"/>
      <c r="I193" s="24">
        <f t="shared" si="37"/>
        <v>0</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0</v>
      </c>
      <c r="F194" s="676"/>
      <c r="G194" s="24">
        <f t="shared" si="36"/>
        <v>0.02</v>
      </c>
      <c r="H194" s="676"/>
      <c r="I194" s="24">
        <f t="shared" si="37"/>
        <v>0</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0</v>
      </c>
      <c r="F195" s="676"/>
      <c r="G195" s="24">
        <f t="shared" si="36"/>
        <v>0.02</v>
      </c>
      <c r="H195" s="676"/>
      <c r="I195" s="24">
        <f t="shared" si="37"/>
        <v>0</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0</v>
      </c>
      <c r="F196" s="676"/>
      <c r="G196" s="24">
        <f t="shared" si="36"/>
        <v>0.02</v>
      </c>
      <c r="H196" s="676"/>
      <c r="I196" s="24">
        <f t="shared" si="37"/>
        <v>0</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0</v>
      </c>
      <c r="F197" s="676"/>
      <c r="G197" s="24">
        <f t="shared" si="36"/>
        <v>0.02</v>
      </c>
      <c r="H197" s="676"/>
      <c r="I197" s="24">
        <f t="shared" si="37"/>
        <v>0</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0</v>
      </c>
      <c r="F198" s="676"/>
      <c r="G198" s="24">
        <f t="shared" si="36"/>
        <v>0.02</v>
      </c>
      <c r="H198" s="676"/>
      <c r="I198" s="24">
        <f t="shared" si="37"/>
        <v>0</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0</v>
      </c>
      <c r="F199" s="676"/>
      <c r="G199" s="24">
        <f t="shared" si="36"/>
        <v>0.02</v>
      </c>
      <c r="H199" s="676"/>
      <c r="I199" s="24">
        <f t="shared" si="37"/>
        <v>0</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0</v>
      </c>
      <c r="F200" s="676"/>
      <c r="G200" s="24">
        <f t="shared" si="36"/>
        <v>0.02</v>
      </c>
      <c r="H200" s="676"/>
      <c r="I200" s="24">
        <f t="shared" si="37"/>
        <v>0</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0</v>
      </c>
      <c r="F201" s="676"/>
      <c r="G201" s="24">
        <f t="shared" si="36"/>
        <v>0.02</v>
      </c>
      <c r="H201" s="676"/>
      <c r="I201" s="24">
        <f t="shared" si="37"/>
        <v>0</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0</v>
      </c>
      <c r="F202" s="676"/>
      <c r="G202" s="24">
        <f t="shared" si="36"/>
        <v>0.02</v>
      </c>
      <c r="H202" s="676"/>
      <c r="I202" s="24">
        <f t="shared" si="37"/>
        <v>0</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0</v>
      </c>
      <c r="F203" s="676"/>
      <c r="G203" s="24">
        <f t="shared" si="36"/>
        <v>0.02</v>
      </c>
      <c r="H203" s="676"/>
      <c r="I203" s="24">
        <f t="shared" si="37"/>
        <v>0</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0</v>
      </c>
      <c r="F204" s="676"/>
      <c r="G204" s="24">
        <f t="shared" si="36"/>
        <v>0.02</v>
      </c>
      <c r="H204" s="676"/>
      <c r="I204" s="24">
        <f t="shared" si="37"/>
        <v>0</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0</v>
      </c>
      <c r="F205" s="676"/>
      <c r="G205" s="24">
        <f t="shared" si="36"/>
        <v>0.02</v>
      </c>
      <c r="H205" s="676"/>
      <c r="I205" s="24">
        <f t="shared" si="37"/>
        <v>0</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0</v>
      </c>
      <c r="F206" s="676"/>
      <c r="G206" s="24">
        <f t="shared" si="36"/>
        <v>0.02</v>
      </c>
      <c r="H206" s="676"/>
      <c r="I206" s="24">
        <f t="shared" si="37"/>
        <v>0</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0</v>
      </c>
      <c r="F207" s="676"/>
      <c r="G207" s="24">
        <f t="shared" si="36"/>
        <v>0.02</v>
      </c>
      <c r="H207" s="676"/>
      <c r="I207" s="24">
        <f t="shared" si="37"/>
        <v>0</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0</v>
      </c>
      <c r="F208" s="676"/>
      <c r="G208" s="24">
        <f t="shared" si="36"/>
        <v>0.02</v>
      </c>
      <c r="H208" s="676"/>
      <c r="I208" s="24">
        <f t="shared" si="37"/>
        <v>0</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0</v>
      </c>
      <c r="F209" s="676"/>
      <c r="G209" s="24">
        <f t="shared" si="36"/>
        <v>0.02</v>
      </c>
      <c r="H209" s="676"/>
      <c r="I209" s="24">
        <f t="shared" si="37"/>
        <v>0</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0</v>
      </c>
      <c r="F210" s="676"/>
      <c r="G210" s="24">
        <f t="shared" si="36"/>
        <v>0.02</v>
      </c>
      <c r="H210" s="676"/>
      <c r="I210" s="24">
        <f t="shared" si="37"/>
        <v>0</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0</v>
      </c>
      <c r="F211" s="676"/>
      <c r="G211" s="24">
        <f t="shared" si="36"/>
        <v>0.02</v>
      </c>
      <c r="H211" s="676"/>
      <c r="I211" s="24">
        <f t="shared" si="37"/>
        <v>0</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0</v>
      </c>
      <c r="F212" s="676"/>
      <c r="G212" s="24">
        <f t="shared" si="36"/>
        <v>0.02</v>
      </c>
      <c r="H212" s="676"/>
      <c r="I212" s="24">
        <f t="shared" si="37"/>
        <v>0</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0</v>
      </c>
      <c r="F213" s="676"/>
      <c r="G213" s="24">
        <f t="shared" si="36"/>
        <v>0.02</v>
      </c>
      <c r="H213" s="676"/>
      <c r="I213" s="24">
        <f t="shared" si="37"/>
        <v>0</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0</v>
      </c>
      <c r="F214" s="676"/>
      <c r="G214" s="24">
        <f t="shared" si="36"/>
        <v>0.02</v>
      </c>
      <c r="H214" s="676"/>
      <c r="I214" s="24">
        <f t="shared" si="37"/>
        <v>0</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0</v>
      </c>
      <c r="F215" s="676"/>
      <c r="G215" s="24">
        <f t="shared" si="36"/>
        <v>0.02</v>
      </c>
      <c r="H215" s="676"/>
      <c r="I215" s="24">
        <f t="shared" si="37"/>
        <v>0</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0</v>
      </c>
      <c r="F216" s="676"/>
      <c r="G216" s="24">
        <f t="shared" si="36"/>
        <v>0.02</v>
      </c>
      <c r="H216" s="676"/>
      <c r="I216" s="24">
        <f t="shared" si="37"/>
        <v>0</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0</v>
      </c>
      <c r="F217" s="676"/>
      <c r="G217" s="24">
        <f t="shared" si="36"/>
        <v>0.02</v>
      </c>
      <c r="H217" s="676"/>
      <c r="I217" s="24">
        <f t="shared" si="37"/>
        <v>0</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0</v>
      </c>
      <c r="F218" s="676"/>
      <c r="G218" s="24">
        <f t="shared" ref="G218:G281" si="46">(SUMIF($7:$7,F218,$8:$8)-SUMIF($7:$7,$F$24,$8:$8)+100)/100</f>
        <v>0.02</v>
      </c>
      <c r="H218" s="676"/>
      <c r="I218" s="24">
        <f t="shared" ref="I218:I281" si="47">(SUMIF($9:$9,H218,$10:$10)-SUMIF($9:$9,$H$24,$10:$10)+100)/100</f>
        <v>0</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0</v>
      </c>
      <c r="F219" s="676"/>
      <c r="G219" s="24">
        <f t="shared" si="46"/>
        <v>0.02</v>
      </c>
      <c r="H219" s="676"/>
      <c r="I219" s="24">
        <f t="shared" si="47"/>
        <v>0</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0</v>
      </c>
      <c r="F220" s="676"/>
      <c r="G220" s="24">
        <f t="shared" si="46"/>
        <v>0.02</v>
      </c>
      <c r="H220" s="676"/>
      <c r="I220" s="24">
        <f t="shared" si="47"/>
        <v>0</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0</v>
      </c>
      <c r="F221" s="676"/>
      <c r="G221" s="24">
        <f t="shared" si="46"/>
        <v>0.02</v>
      </c>
      <c r="H221" s="676"/>
      <c r="I221" s="24">
        <f t="shared" si="47"/>
        <v>0</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0</v>
      </c>
      <c r="F222" s="676"/>
      <c r="G222" s="24">
        <f t="shared" si="46"/>
        <v>0.02</v>
      </c>
      <c r="H222" s="676"/>
      <c r="I222" s="24">
        <f t="shared" si="47"/>
        <v>0</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0</v>
      </c>
      <c r="F223" s="676"/>
      <c r="G223" s="24">
        <f t="shared" si="46"/>
        <v>0.02</v>
      </c>
      <c r="H223" s="676"/>
      <c r="I223" s="24">
        <f t="shared" si="47"/>
        <v>0</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0</v>
      </c>
      <c r="F224" s="676"/>
      <c r="G224" s="24">
        <f t="shared" si="46"/>
        <v>0.02</v>
      </c>
      <c r="H224" s="676"/>
      <c r="I224" s="24">
        <f t="shared" si="47"/>
        <v>0</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0</v>
      </c>
      <c r="F225" s="676"/>
      <c r="G225" s="24">
        <f t="shared" si="46"/>
        <v>0.02</v>
      </c>
      <c r="H225" s="676"/>
      <c r="I225" s="24">
        <f t="shared" si="47"/>
        <v>0</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0</v>
      </c>
      <c r="F226" s="676"/>
      <c r="G226" s="24">
        <f t="shared" si="46"/>
        <v>0.02</v>
      </c>
      <c r="H226" s="676"/>
      <c r="I226" s="24">
        <f t="shared" si="47"/>
        <v>0</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0</v>
      </c>
      <c r="F227" s="676"/>
      <c r="G227" s="24">
        <f t="shared" si="46"/>
        <v>0.02</v>
      </c>
      <c r="H227" s="676"/>
      <c r="I227" s="24">
        <f t="shared" si="47"/>
        <v>0</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0</v>
      </c>
      <c r="F228" s="676"/>
      <c r="G228" s="24">
        <f t="shared" si="46"/>
        <v>0.02</v>
      </c>
      <c r="H228" s="676"/>
      <c r="I228" s="24">
        <f t="shared" si="47"/>
        <v>0</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0</v>
      </c>
      <c r="F229" s="676"/>
      <c r="G229" s="24">
        <f t="shared" si="46"/>
        <v>0.02</v>
      </c>
      <c r="H229" s="676"/>
      <c r="I229" s="24">
        <f t="shared" si="47"/>
        <v>0</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0</v>
      </c>
      <c r="F230" s="676"/>
      <c r="G230" s="24">
        <f t="shared" si="46"/>
        <v>0.02</v>
      </c>
      <c r="H230" s="676"/>
      <c r="I230" s="24">
        <f t="shared" si="47"/>
        <v>0</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0</v>
      </c>
      <c r="F231" s="676"/>
      <c r="G231" s="24">
        <f t="shared" si="46"/>
        <v>0.02</v>
      </c>
      <c r="H231" s="676"/>
      <c r="I231" s="24">
        <f t="shared" si="47"/>
        <v>0</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0</v>
      </c>
      <c r="F232" s="676"/>
      <c r="G232" s="24">
        <f t="shared" si="46"/>
        <v>0.02</v>
      </c>
      <c r="H232" s="676"/>
      <c r="I232" s="24">
        <f t="shared" si="47"/>
        <v>0</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0</v>
      </c>
      <c r="F233" s="676"/>
      <c r="G233" s="24">
        <f t="shared" si="46"/>
        <v>0.02</v>
      </c>
      <c r="H233" s="676"/>
      <c r="I233" s="24">
        <f t="shared" si="47"/>
        <v>0</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0</v>
      </c>
      <c r="F234" s="676"/>
      <c r="G234" s="24">
        <f t="shared" si="46"/>
        <v>0.02</v>
      </c>
      <c r="H234" s="676"/>
      <c r="I234" s="24">
        <f t="shared" si="47"/>
        <v>0</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0</v>
      </c>
      <c r="F235" s="676"/>
      <c r="G235" s="24">
        <f t="shared" si="46"/>
        <v>0.02</v>
      </c>
      <c r="H235" s="676"/>
      <c r="I235" s="24">
        <f t="shared" si="47"/>
        <v>0</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0</v>
      </c>
      <c r="F236" s="676"/>
      <c r="G236" s="24">
        <f t="shared" si="46"/>
        <v>0.02</v>
      </c>
      <c r="H236" s="676"/>
      <c r="I236" s="24">
        <f t="shared" si="47"/>
        <v>0</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0</v>
      </c>
      <c r="F237" s="676"/>
      <c r="G237" s="24">
        <f t="shared" si="46"/>
        <v>0.02</v>
      </c>
      <c r="H237" s="676"/>
      <c r="I237" s="24">
        <f t="shared" si="47"/>
        <v>0</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0</v>
      </c>
      <c r="F238" s="676"/>
      <c r="G238" s="24">
        <f t="shared" si="46"/>
        <v>0.02</v>
      </c>
      <c r="H238" s="676"/>
      <c r="I238" s="24">
        <f t="shared" si="47"/>
        <v>0</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0</v>
      </c>
      <c r="F239" s="676"/>
      <c r="G239" s="24">
        <f t="shared" si="46"/>
        <v>0.02</v>
      </c>
      <c r="H239" s="676"/>
      <c r="I239" s="24">
        <f t="shared" si="47"/>
        <v>0</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0</v>
      </c>
      <c r="F240" s="676"/>
      <c r="G240" s="24">
        <f t="shared" si="46"/>
        <v>0.02</v>
      </c>
      <c r="H240" s="676"/>
      <c r="I240" s="24">
        <f t="shared" si="47"/>
        <v>0</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0</v>
      </c>
      <c r="F241" s="676"/>
      <c r="G241" s="24">
        <f t="shared" si="46"/>
        <v>0.02</v>
      </c>
      <c r="H241" s="676"/>
      <c r="I241" s="24">
        <f t="shared" si="47"/>
        <v>0</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0</v>
      </c>
      <c r="F242" s="676"/>
      <c r="G242" s="24">
        <f t="shared" si="46"/>
        <v>0.02</v>
      </c>
      <c r="H242" s="676"/>
      <c r="I242" s="24">
        <f t="shared" si="47"/>
        <v>0</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0</v>
      </c>
      <c r="F243" s="676"/>
      <c r="G243" s="24">
        <f t="shared" si="46"/>
        <v>0.02</v>
      </c>
      <c r="H243" s="676"/>
      <c r="I243" s="24">
        <f t="shared" si="47"/>
        <v>0</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0</v>
      </c>
      <c r="F244" s="676"/>
      <c r="G244" s="24">
        <f t="shared" si="46"/>
        <v>0.02</v>
      </c>
      <c r="H244" s="676"/>
      <c r="I244" s="24">
        <f t="shared" si="47"/>
        <v>0</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0</v>
      </c>
      <c r="F245" s="676"/>
      <c r="G245" s="24">
        <f t="shared" si="46"/>
        <v>0.02</v>
      </c>
      <c r="H245" s="676"/>
      <c r="I245" s="24">
        <f t="shared" si="47"/>
        <v>0</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0</v>
      </c>
      <c r="F246" s="676"/>
      <c r="G246" s="24">
        <f t="shared" si="46"/>
        <v>0.02</v>
      </c>
      <c r="H246" s="676"/>
      <c r="I246" s="24">
        <f t="shared" si="47"/>
        <v>0</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0</v>
      </c>
      <c r="F247" s="676"/>
      <c r="G247" s="24">
        <f t="shared" si="46"/>
        <v>0.02</v>
      </c>
      <c r="H247" s="676"/>
      <c r="I247" s="24">
        <f t="shared" si="47"/>
        <v>0</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0</v>
      </c>
      <c r="F248" s="676"/>
      <c r="G248" s="24">
        <f t="shared" si="46"/>
        <v>0.02</v>
      </c>
      <c r="H248" s="676"/>
      <c r="I248" s="24">
        <f t="shared" si="47"/>
        <v>0</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0</v>
      </c>
      <c r="F249" s="676"/>
      <c r="G249" s="24">
        <f t="shared" si="46"/>
        <v>0.02</v>
      </c>
      <c r="H249" s="676"/>
      <c r="I249" s="24">
        <f t="shared" si="47"/>
        <v>0</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0</v>
      </c>
      <c r="F250" s="676"/>
      <c r="G250" s="24">
        <f t="shared" si="46"/>
        <v>0.02</v>
      </c>
      <c r="H250" s="676"/>
      <c r="I250" s="24">
        <f t="shared" si="47"/>
        <v>0</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0</v>
      </c>
      <c r="F251" s="676"/>
      <c r="G251" s="24">
        <f t="shared" si="46"/>
        <v>0.02</v>
      </c>
      <c r="H251" s="676"/>
      <c r="I251" s="24">
        <f t="shared" si="47"/>
        <v>0</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0</v>
      </c>
      <c r="F252" s="676"/>
      <c r="G252" s="24">
        <f t="shared" si="46"/>
        <v>0.02</v>
      </c>
      <c r="H252" s="676"/>
      <c r="I252" s="24">
        <f t="shared" si="47"/>
        <v>0</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0</v>
      </c>
      <c r="F253" s="676"/>
      <c r="G253" s="24">
        <f t="shared" si="46"/>
        <v>0.02</v>
      </c>
      <c r="H253" s="676"/>
      <c r="I253" s="24">
        <f t="shared" si="47"/>
        <v>0</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0</v>
      </c>
      <c r="F254" s="676"/>
      <c r="G254" s="24">
        <f t="shared" si="46"/>
        <v>0.02</v>
      </c>
      <c r="H254" s="676"/>
      <c r="I254" s="24">
        <f t="shared" si="47"/>
        <v>0</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0</v>
      </c>
      <c r="F255" s="676"/>
      <c r="G255" s="24">
        <f t="shared" si="46"/>
        <v>0.02</v>
      </c>
      <c r="H255" s="676"/>
      <c r="I255" s="24">
        <f t="shared" si="47"/>
        <v>0</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0</v>
      </c>
      <c r="F256" s="676"/>
      <c r="G256" s="24">
        <f t="shared" si="46"/>
        <v>0.02</v>
      </c>
      <c r="H256" s="676"/>
      <c r="I256" s="24">
        <f t="shared" si="47"/>
        <v>0</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0</v>
      </c>
      <c r="F257" s="676"/>
      <c r="G257" s="24">
        <f t="shared" si="46"/>
        <v>0.02</v>
      </c>
      <c r="H257" s="676"/>
      <c r="I257" s="24">
        <f t="shared" si="47"/>
        <v>0</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0</v>
      </c>
      <c r="F258" s="676"/>
      <c r="G258" s="24">
        <f t="shared" si="46"/>
        <v>0.02</v>
      </c>
      <c r="H258" s="676"/>
      <c r="I258" s="24">
        <f t="shared" si="47"/>
        <v>0</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0</v>
      </c>
      <c r="F259" s="676"/>
      <c r="G259" s="24">
        <f t="shared" si="46"/>
        <v>0.02</v>
      </c>
      <c r="H259" s="676"/>
      <c r="I259" s="24">
        <f t="shared" si="47"/>
        <v>0</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0</v>
      </c>
      <c r="F260" s="676"/>
      <c r="G260" s="24">
        <f t="shared" si="46"/>
        <v>0.02</v>
      </c>
      <c r="H260" s="676"/>
      <c r="I260" s="24">
        <f t="shared" si="47"/>
        <v>0</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0</v>
      </c>
      <c r="F261" s="676"/>
      <c r="G261" s="24">
        <f t="shared" si="46"/>
        <v>0.02</v>
      </c>
      <c r="H261" s="676"/>
      <c r="I261" s="24">
        <f t="shared" si="47"/>
        <v>0</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0</v>
      </c>
      <c r="F262" s="676"/>
      <c r="G262" s="24">
        <f t="shared" si="46"/>
        <v>0.02</v>
      </c>
      <c r="H262" s="676"/>
      <c r="I262" s="24">
        <f t="shared" si="47"/>
        <v>0</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0</v>
      </c>
      <c r="F263" s="676"/>
      <c r="G263" s="24">
        <f t="shared" si="46"/>
        <v>0.02</v>
      </c>
      <c r="H263" s="676"/>
      <c r="I263" s="24">
        <f t="shared" si="47"/>
        <v>0</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0</v>
      </c>
      <c r="F264" s="676"/>
      <c r="G264" s="24">
        <f t="shared" si="46"/>
        <v>0.02</v>
      </c>
      <c r="H264" s="676"/>
      <c r="I264" s="24">
        <f t="shared" si="47"/>
        <v>0</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0</v>
      </c>
      <c r="F265" s="676"/>
      <c r="G265" s="24">
        <f t="shared" si="46"/>
        <v>0.02</v>
      </c>
      <c r="H265" s="676"/>
      <c r="I265" s="24">
        <f t="shared" si="47"/>
        <v>0</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0</v>
      </c>
      <c r="F266" s="676"/>
      <c r="G266" s="24">
        <f t="shared" si="46"/>
        <v>0.02</v>
      </c>
      <c r="H266" s="676"/>
      <c r="I266" s="24">
        <f t="shared" si="47"/>
        <v>0</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0</v>
      </c>
      <c r="F267" s="676"/>
      <c r="G267" s="24">
        <f t="shared" si="46"/>
        <v>0.02</v>
      </c>
      <c r="H267" s="676"/>
      <c r="I267" s="24">
        <f t="shared" si="47"/>
        <v>0</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0</v>
      </c>
      <c r="F268" s="676"/>
      <c r="G268" s="24">
        <f t="shared" si="46"/>
        <v>0.02</v>
      </c>
      <c r="H268" s="676"/>
      <c r="I268" s="24">
        <f t="shared" si="47"/>
        <v>0</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0</v>
      </c>
      <c r="F269" s="676"/>
      <c r="G269" s="24">
        <f t="shared" si="46"/>
        <v>0.02</v>
      </c>
      <c r="H269" s="676"/>
      <c r="I269" s="24">
        <f t="shared" si="47"/>
        <v>0</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0</v>
      </c>
      <c r="F270" s="676"/>
      <c r="G270" s="24">
        <f t="shared" si="46"/>
        <v>0.02</v>
      </c>
      <c r="H270" s="676"/>
      <c r="I270" s="24">
        <f t="shared" si="47"/>
        <v>0</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0</v>
      </c>
      <c r="F271" s="676"/>
      <c r="G271" s="24">
        <f t="shared" si="46"/>
        <v>0.02</v>
      </c>
      <c r="H271" s="676"/>
      <c r="I271" s="24">
        <f t="shared" si="47"/>
        <v>0</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0</v>
      </c>
      <c r="F272" s="676"/>
      <c r="G272" s="24">
        <f t="shared" si="46"/>
        <v>0.02</v>
      </c>
      <c r="H272" s="676"/>
      <c r="I272" s="24">
        <f t="shared" si="47"/>
        <v>0</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0</v>
      </c>
      <c r="F273" s="676"/>
      <c r="G273" s="24">
        <f t="shared" si="46"/>
        <v>0.02</v>
      </c>
      <c r="H273" s="676"/>
      <c r="I273" s="24">
        <f t="shared" si="47"/>
        <v>0</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0</v>
      </c>
      <c r="F274" s="676"/>
      <c r="G274" s="24">
        <f t="shared" si="46"/>
        <v>0.02</v>
      </c>
      <c r="H274" s="676"/>
      <c r="I274" s="24">
        <f t="shared" si="47"/>
        <v>0</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0</v>
      </c>
      <c r="F275" s="676"/>
      <c r="G275" s="24">
        <f t="shared" si="46"/>
        <v>0.02</v>
      </c>
      <c r="H275" s="676"/>
      <c r="I275" s="24">
        <f t="shared" si="47"/>
        <v>0</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0</v>
      </c>
      <c r="F276" s="676"/>
      <c r="G276" s="24">
        <f t="shared" si="46"/>
        <v>0.02</v>
      </c>
      <c r="H276" s="676"/>
      <c r="I276" s="24">
        <f t="shared" si="47"/>
        <v>0</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0</v>
      </c>
      <c r="F277" s="676"/>
      <c r="G277" s="24">
        <f t="shared" si="46"/>
        <v>0.02</v>
      </c>
      <c r="H277" s="676"/>
      <c r="I277" s="24">
        <f t="shared" si="47"/>
        <v>0</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0</v>
      </c>
      <c r="F278" s="676"/>
      <c r="G278" s="24">
        <f t="shared" si="46"/>
        <v>0.02</v>
      </c>
      <c r="H278" s="676"/>
      <c r="I278" s="24">
        <f t="shared" si="47"/>
        <v>0</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0</v>
      </c>
      <c r="F279" s="676"/>
      <c r="G279" s="24">
        <f t="shared" si="46"/>
        <v>0.02</v>
      </c>
      <c r="H279" s="676"/>
      <c r="I279" s="24">
        <f t="shared" si="47"/>
        <v>0</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0</v>
      </c>
      <c r="F280" s="676"/>
      <c r="G280" s="24">
        <f t="shared" si="46"/>
        <v>0.02</v>
      </c>
      <c r="H280" s="676"/>
      <c r="I280" s="24">
        <f t="shared" si="47"/>
        <v>0</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0</v>
      </c>
      <c r="F281" s="676"/>
      <c r="G281" s="24">
        <f t="shared" si="46"/>
        <v>0.02</v>
      </c>
      <c r="H281" s="676"/>
      <c r="I281" s="24">
        <f t="shared" si="47"/>
        <v>0</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0</v>
      </c>
      <c r="F282" s="676"/>
      <c r="G282" s="24">
        <f t="shared" ref="G282:G345" si="56">(SUMIF($7:$7,F282,$8:$8)-SUMIF($7:$7,$F$24,$8:$8)+100)/100</f>
        <v>0.02</v>
      </c>
      <c r="H282" s="676"/>
      <c r="I282" s="24">
        <f t="shared" ref="I282:I345" si="57">(SUMIF($9:$9,H282,$10:$10)-SUMIF($9:$9,$H$24,$10:$10)+100)/100</f>
        <v>0</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0</v>
      </c>
      <c r="F283" s="676"/>
      <c r="G283" s="24">
        <f t="shared" si="56"/>
        <v>0.02</v>
      </c>
      <c r="H283" s="676"/>
      <c r="I283" s="24">
        <f t="shared" si="57"/>
        <v>0</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0</v>
      </c>
      <c r="F284" s="676"/>
      <c r="G284" s="24">
        <f t="shared" si="56"/>
        <v>0.02</v>
      </c>
      <c r="H284" s="676"/>
      <c r="I284" s="24">
        <f t="shared" si="57"/>
        <v>0</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0</v>
      </c>
      <c r="F285" s="676"/>
      <c r="G285" s="24">
        <f t="shared" si="56"/>
        <v>0.02</v>
      </c>
      <c r="H285" s="676"/>
      <c r="I285" s="24">
        <f t="shared" si="57"/>
        <v>0</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0</v>
      </c>
      <c r="F286" s="676"/>
      <c r="G286" s="24">
        <f t="shared" si="56"/>
        <v>0.02</v>
      </c>
      <c r="H286" s="676"/>
      <c r="I286" s="24">
        <f t="shared" si="57"/>
        <v>0</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0</v>
      </c>
      <c r="F287" s="676"/>
      <c r="G287" s="24">
        <f t="shared" si="56"/>
        <v>0.02</v>
      </c>
      <c r="H287" s="676"/>
      <c r="I287" s="24">
        <f t="shared" si="57"/>
        <v>0</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0</v>
      </c>
      <c r="F288" s="676"/>
      <c r="G288" s="24">
        <f t="shared" si="56"/>
        <v>0.02</v>
      </c>
      <c r="H288" s="676"/>
      <c r="I288" s="24">
        <f t="shared" si="57"/>
        <v>0</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0</v>
      </c>
      <c r="F289" s="676"/>
      <c r="G289" s="24">
        <f t="shared" si="56"/>
        <v>0.02</v>
      </c>
      <c r="H289" s="676"/>
      <c r="I289" s="24">
        <f t="shared" si="57"/>
        <v>0</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0</v>
      </c>
      <c r="F290" s="676"/>
      <c r="G290" s="24">
        <f t="shared" si="56"/>
        <v>0.02</v>
      </c>
      <c r="H290" s="676"/>
      <c r="I290" s="24">
        <f t="shared" si="57"/>
        <v>0</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0</v>
      </c>
      <c r="F291" s="676"/>
      <c r="G291" s="24">
        <f t="shared" si="56"/>
        <v>0.02</v>
      </c>
      <c r="H291" s="676"/>
      <c r="I291" s="24">
        <f t="shared" si="57"/>
        <v>0</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0</v>
      </c>
      <c r="F292" s="676"/>
      <c r="G292" s="24">
        <f t="shared" si="56"/>
        <v>0.02</v>
      </c>
      <c r="H292" s="676"/>
      <c r="I292" s="24">
        <f t="shared" si="57"/>
        <v>0</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0</v>
      </c>
      <c r="F293" s="676"/>
      <c r="G293" s="24">
        <f t="shared" si="56"/>
        <v>0.02</v>
      </c>
      <c r="H293" s="676"/>
      <c r="I293" s="24">
        <f t="shared" si="57"/>
        <v>0</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0</v>
      </c>
      <c r="F294" s="676"/>
      <c r="G294" s="24">
        <f t="shared" si="56"/>
        <v>0.02</v>
      </c>
      <c r="H294" s="676"/>
      <c r="I294" s="24">
        <f t="shared" si="57"/>
        <v>0</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0</v>
      </c>
      <c r="F295" s="676"/>
      <c r="G295" s="24">
        <f t="shared" si="56"/>
        <v>0.02</v>
      </c>
      <c r="H295" s="676"/>
      <c r="I295" s="24">
        <f t="shared" si="57"/>
        <v>0</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0</v>
      </c>
      <c r="F296" s="676"/>
      <c r="G296" s="24">
        <f t="shared" si="56"/>
        <v>0.02</v>
      </c>
      <c r="H296" s="676"/>
      <c r="I296" s="24">
        <f t="shared" si="57"/>
        <v>0</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0</v>
      </c>
      <c r="F297" s="676"/>
      <c r="G297" s="24">
        <f t="shared" si="56"/>
        <v>0.02</v>
      </c>
      <c r="H297" s="676"/>
      <c r="I297" s="24">
        <f t="shared" si="57"/>
        <v>0</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0</v>
      </c>
      <c r="F298" s="676"/>
      <c r="G298" s="24">
        <f t="shared" si="56"/>
        <v>0.02</v>
      </c>
      <c r="H298" s="676"/>
      <c r="I298" s="24">
        <f t="shared" si="57"/>
        <v>0</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0</v>
      </c>
      <c r="F299" s="676"/>
      <c r="G299" s="24">
        <f t="shared" si="56"/>
        <v>0.02</v>
      </c>
      <c r="H299" s="676"/>
      <c r="I299" s="24">
        <f t="shared" si="57"/>
        <v>0</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0</v>
      </c>
      <c r="F300" s="676"/>
      <c r="G300" s="24">
        <f t="shared" si="56"/>
        <v>0.02</v>
      </c>
      <c r="H300" s="676"/>
      <c r="I300" s="24">
        <f t="shared" si="57"/>
        <v>0</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0</v>
      </c>
      <c r="F301" s="676"/>
      <c r="G301" s="24">
        <f t="shared" si="56"/>
        <v>0.02</v>
      </c>
      <c r="H301" s="676"/>
      <c r="I301" s="24">
        <f t="shared" si="57"/>
        <v>0</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0</v>
      </c>
      <c r="F302" s="676"/>
      <c r="G302" s="24">
        <f t="shared" si="56"/>
        <v>0.02</v>
      </c>
      <c r="H302" s="676"/>
      <c r="I302" s="24">
        <f t="shared" si="57"/>
        <v>0</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0</v>
      </c>
      <c r="F303" s="676"/>
      <c r="G303" s="24">
        <f t="shared" si="56"/>
        <v>0.02</v>
      </c>
      <c r="H303" s="676"/>
      <c r="I303" s="24">
        <f t="shared" si="57"/>
        <v>0</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0</v>
      </c>
      <c r="F304" s="676"/>
      <c r="G304" s="24">
        <f t="shared" si="56"/>
        <v>0.02</v>
      </c>
      <c r="H304" s="676"/>
      <c r="I304" s="24">
        <f t="shared" si="57"/>
        <v>0</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0</v>
      </c>
      <c r="F305" s="676"/>
      <c r="G305" s="24">
        <f t="shared" si="56"/>
        <v>0.02</v>
      </c>
      <c r="H305" s="676"/>
      <c r="I305" s="24">
        <f t="shared" si="57"/>
        <v>0</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0</v>
      </c>
      <c r="F306" s="676"/>
      <c r="G306" s="24">
        <f t="shared" si="56"/>
        <v>0.02</v>
      </c>
      <c r="H306" s="676"/>
      <c r="I306" s="24">
        <f t="shared" si="57"/>
        <v>0</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0</v>
      </c>
      <c r="F307" s="676"/>
      <c r="G307" s="24">
        <f t="shared" si="56"/>
        <v>0.02</v>
      </c>
      <c r="H307" s="676"/>
      <c r="I307" s="24">
        <f t="shared" si="57"/>
        <v>0</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0</v>
      </c>
      <c r="F308" s="676"/>
      <c r="G308" s="24">
        <f t="shared" si="56"/>
        <v>0.02</v>
      </c>
      <c r="H308" s="676"/>
      <c r="I308" s="24">
        <f t="shared" si="57"/>
        <v>0</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0</v>
      </c>
      <c r="F309" s="676"/>
      <c r="G309" s="24">
        <f t="shared" si="56"/>
        <v>0.02</v>
      </c>
      <c r="H309" s="676"/>
      <c r="I309" s="24">
        <f t="shared" si="57"/>
        <v>0</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0</v>
      </c>
      <c r="F310" s="676"/>
      <c r="G310" s="24">
        <f t="shared" si="56"/>
        <v>0.02</v>
      </c>
      <c r="H310" s="676"/>
      <c r="I310" s="24">
        <f t="shared" si="57"/>
        <v>0</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0</v>
      </c>
      <c r="F311" s="676"/>
      <c r="G311" s="24">
        <f t="shared" si="56"/>
        <v>0.02</v>
      </c>
      <c r="H311" s="676"/>
      <c r="I311" s="24">
        <f t="shared" si="57"/>
        <v>0</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0</v>
      </c>
      <c r="F312" s="676"/>
      <c r="G312" s="24">
        <f t="shared" si="56"/>
        <v>0.02</v>
      </c>
      <c r="H312" s="676"/>
      <c r="I312" s="24">
        <f t="shared" si="57"/>
        <v>0</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0</v>
      </c>
      <c r="F313" s="676"/>
      <c r="G313" s="24">
        <f t="shared" si="56"/>
        <v>0.02</v>
      </c>
      <c r="H313" s="676"/>
      <c r="I313" s="24">
        <f t="shared" si="57"/>
        <v>0</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0</v>
      </c>
      <c r="F314" s="676"/>
      <c r="G314" s="24">
        <f t="shared" si="56"/>
        <v>0.02</v>
      </c>
      <c r="H314" s="676"/>
      <c r="I314" s="24">
        <f t="shared" si="57"/>
        <v>0</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0</v>
      </c>
      <c r="F315" s="676"/>
      <c r="G315" s="24">
        <f t="shared" si="56"/>
        <v>0.02</v>
      </c>
      <c r="H315" s="676"/>
      <c r="I315" s="24">
        <f t="shared" si="57"/>
        <v>0</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0</v>
      </c>
      <c r="F316" s="676"/>
      <c r="G316" s="24">
        <f t="shared" si="56"/>
        <v>0.02</v>
      </c>
      <c r="H316" s="676"/>
      <c r="I316" s="24">
        <f t="shared" si="57"/>
        <v>0</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0</v>
      </c>
      <c r="F317" s="676"/>
      <c r="G317" s="24">
        <f t="shared" si="56"/>
        <v>0.02</v>
      </c>
      <c r="H317" s="676"/>
      <c r="I317" s="24">
        <f t="shared" si="57"/>
        <v>0</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0</v>
      </c>
      <c r="F318" s="676"/>
      <c r="G318" s="24">
        <f t="shared" si="56"/>
        <v>0.02</v>
      </c>
      <c r="H318" s="676"/>
      <c r="I318" s="24">
        <f t="shared" si="57"/>
        <v>0</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0</v>
      </c>
      <c r="F319" s="676"/>
      <c r="G319" s="24">
        <f t="shared" si="56"/>
        <v>0.02</v>
      </c>
      <c r="H319" s="676"/>
      <c r="I319" s="24">
        <f t="shared" si="57"/>
        <v>0</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0</v>
      </c>
      <c r="F320" s="676"/>
      <c r="G320" s="24">
        <f t="shared" si="56"/>
        <v>0.02</v>
      </c>
      <c r="H320" s="676"/>
      <c r="I320" s="24">
        <f t="shared" si="57"/>
        <v>0</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0</v>
      </c>
      <c r="F321" s="676"/>
      <c r="G321" s="24">
        <f t="shared" si="56"/>
        <v>0.02</v>
      </c>
      <c r="H321" s="676"/>
      <c r="I321" s="24">
        <f t="shared" si="57"/>
        <v>0</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0</v>
      </c>
      <c r="F322" s="676"/>
      <c r="G322" s="24">
        <f t="shared" si="56"/>
        <v>0.02</v>
      </c>
      <c r="H322" s="676"/>
      <c r="I322" s="24">
        <f t="shared" si="57"/>
        <v>0</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0</v>
      </c>
      <c r="F323" s="676"/>
      <c r="G323" s="24">
        <f t="shared" si="56"/>
        <v>0.02</v>
      </c>
      <c r="H323" s="676"/>
      <c r="I323" s="24">
        <f t="shared" si="57"/>
        <v>0</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0</v>
      </c>
      <c r="F324" s="676"/>
      <c r="G324" s="24">
        <f t="shared" si="56"/>
        <v>0.02</v>
      </c>
      <c r="H324" s="676"/>
      <c r="I324" s="24">
        <f t="shared" si="57"/>
        <v>0</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0</v>
      </c>
      <c r="F325" s="676"/>
      <c r="G325" s="24">
        <f t="shared" si="56"/>
        <v>0.02</v>
      </c>
      <c r="H325" s="676"/>
      <c r="I325" s="24">
        <f t="shared" si="57"/>
        <v>0</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0</v>
      </c>
      <c r="F326" s="676"/>
      <c r="G326" s="24">
        <f t="shared" si="56"/>
        <v>0.02</v>
      </c>
      <c r="H326" s="676"/>
      <c r="I326" s="24">
        <f t="shared" si="57"/>
        <v>0</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0</v>
      </c>
      <c r="F327" s="676"/>
      <c r="G327" s="24">
        <f t="shared" si="56"/>
        <v>0.02</v>
      </c>
      <c r="H327" s="676"/>
      <c r="I327" s="24">
        <f t="shared" si="57"/>
        <v>0</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0</v>
      </c>
      <c r="F328" s="676"/>
      <c r="G328" s="24">
        <f t="shared" si="56"/>
        <v>0.02</v>
      </c>
      <c r="H328" s="676"/>
      <c r="I328" s="24">
        <f t="shared" si="57"/>
        <v>0</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0</v>
      </c>
      <c r="F329" s="676"/>
      <c r="G329" s="24">
        <f t="shared" si="56"/>
        <v>0.02</v>
      </c>
      <c r="H329" s="676"/>
      <c r="I329" s="24">
        <f t="shared" si="57"/>
        <v>0</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0</v>
      </c>
      <c r="F330" s="676"/>
      <c r="G330" s="24">
        <f t="shared" si="56"/>
        <v>0.02</v>
      </c>
      <c r="H330" s="676"/>
      <c r="I330" s="24">
        <f t="shared" si="57"/>
        <v>0</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0</v>
      </c>
      <c r="F331" s="676"/>
      <c r="G331" s="24">
        <f t="shared" si="56"/>
        <v>0.02</v>
      </c>
      <c r="H331" s="676"/>
      <c r="I331" s="24">
        <f t="shared" si="57"/>
        <v>0</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0</v>
      </c>
      <c r="F332" s="676"/>
      <c r="G332" s="24">
        <f t="shared" si="56"/>
        <v>0.02</v>
      </c>
      <c r="H332" s="676"/>
      <c r="I332" s="24">
        <f t="shared" si="57"/>
        <v>0</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0</v>
      </c>
      <c r="F333" s="676"/>
      <c r="G333" s="24">
        <f t="shared" si="56"/>
        <v>0.02</v>
      </c>
      <c r="H333" s="676"/>
      <c r="I333" s="24">
        <f t="shared" si="57"/>
        <v>0</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0</v>
      </c>
      <c r="F334" s="676"/>
      <c r="G334" s="24">
        <f t="shared" si="56"/>
        <v>0.02</v>
      </c>
      <c r="H334" s="676"/>
      <c r="I334" s="24">
        <f t="shared" si="57"/>
        <v>0</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0</v>
      </c>
      <c r="F335" s="676"/>
      <c r="G335" s="24">
        <f t="shared" si="56"/>
        <v>0.02</v>
      </c>
      <c r="H335" s="676"/>
      <c r="I335" s="24">
        <f t="shared" si="57"/>
        <v>0</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0</v>
      </c>
      <c r="F336" s="676"/>
      <c r="G336" s="24">
        <f t="shared" si="56"/>
        <v>0.02</v>
      </c>
      <c r="H336" s="676"/>
      <c r="I336" s="24">
        <f t="shared" si="57"/>
        <v>0</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0</v>
      </c>
      <c r="F337" s="676"/>
      <c r="G337" s="24">
        <f t="shared" si="56"/>
        <v>0.02</v>
      </c>
      <c r="H337" s="676"/>
      <c r="I337" s="24">
        <f t="shared" si="57"/>
        <v>0</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0</v>
      </c>
      <c r="F338" s="676"/>
      <c r="G338" s="24">
        <f t="shared" si="56"/>
        <v>0.02</v>
      </c>
      <c r="H338" s="676"/>
      <c r="I338" s="24">
        <f t="shared" si="57"/>
        <v>0</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0</v>
      </c>
      <c r="F339" s="676"/>
      <c r="G339" s="24">
        <f t="shared" si="56"/>
        <v>0.02</v>
      </c>
      <c r="H339" s="676"/>
      <c r="I339" s="24">
        <f t="shared" si="57"/>
        <v>0</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0</v>
      </c>
      <c r="F340" s="676"/>
      <c r="G340" s="24">
        <f t="shared" si="56"/>
        <v>0.02</v>
      </c>
      <c r="H340" s="676"/>
      <c r="I340" s="24">
        <f t="shared" si="57"/>
        <v>0</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0</v>
      </c>
      <c r="F341" s="676"/>
      <c r="G341" s="24">
        <f t="shared" si="56"/>
        <v>0.02</v>
      </c>
      <c r="H341" s="676"/>
      <c r="I341" s="24">
        <f t="shared" si="57"/>
        <v>0</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0</v>
      </c>
      <c r="F342" s="676"/>
      <c r="G342" s="24">
        <f t="shared" si="56"/>
        <v>0.02</v>
      </c>
      <c r="H342" s="676"/>
      <c r="I342" s="24">
        <f t="shared" si="57"/>
        <v>0</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0</v>
      </c>
      <c r="F343" s="676"/>
      <c r="G343" s="24">
        <f t="shared" si="56"/>
        <v>0.02</v>
      </c>
      <c r="H343" s="676"/>
      <c r="I343" s="24">
        <f t="shared" si="57"/>
        <v>0</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0</v>
      </c>
      <c r="F344" s="676"/>
      <c r="G344" s="24">
        <f t="shared" si="56"/>
        <v>0.02</v>
      </c>
      <c r="H344" s="676"/>
      <c r="I344" s="24">
        <f t="shared" si="57"/>
        <v>0</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0</v>
      </c>
      <c r="F345" s="676"/>
      <c r="G345" s="24">
        <f t="shared" si="56"/>
        <v>0.02</v>
      </c>
      <c r="H345" s="676"/>
      <c r="I345" s="24">
        <f t="shared" si="57"/>
        <v>0</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0</v>
      </c>
      <c r="F346" s="676"/>
      <c r="G346" s="24">
        <f t="shared" ref="G346:G409" si="67">(SUMIF($7:$7,F346,$8:$8)-SUMIF($7:$7,$F$24,$8:$8)+100)/100</f>
        <v>0.02</v>
      </c>
      <c r="H346" s="676"/>
      <c r="I346" s="24">
        <f t="shared" ref="I346:I409" si="68">(SUMIF($9:$9,H346,$10:$10)-SUMIF($9:$9,$H$24,$10:$10)+100)/100</f>
        <v>0</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0</v>
      </c>
      <c r="F347" s="676"/>
      <c r="G347" s="24">
        <f t="shared" si="67"/>
        <v>0.02</v>
      </c>
      <c r="H347" s="676"/>
      <c r="I347" s="24">
        <f t="shared" si="68"/>
        <v>0</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0</v>
      </c>
      <c r="F348" s="676"/>
      <c r="G348" s="24">
        <f t="shared" si="67"/>
        <v>0.02</v>
      </c>
      <c r="H348" s="676"/>
      <c r="I348" s="24">
        <f t="shared" si="68"/>
        <v>0</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0</v>
      </c>
      <c r="F349" s="676"/>
      <c r="G349" s="24">
        <f t="shared" si="67"/>
        <v>0.02</v>
      </c>
      <c r="H349" s="676"/>
      <c r="I349" s="24">
        <f t="shared" si="68"/>
        <v>0</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0</v>
      </c>
      <c r="F350" s="676"/>
      <c r="G350" s="24">
        <f t="shared" si="67"/>
        <v>0.02</v>
      </c>
      <c r="H350" s="676"/>
      <c r="I350" s="24">
        <f t="shared" si="68"/>
        <v>0</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0</v>
      </c>
      <c r="F351" s="676"/>
      <c r="G351" s="24">
        <f t="shared" si="67"/>
        <v>0.02</v>
      </c>
      <c r="H351" s="676"/>
      <c r="I351" s="24">
        <f t="shared" si="68"/>
        <v>0</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0</v>
      </c>
      <c r="F352" s="676"/>
      <c r="G352" s="24">
        <f t="shared" si="67"/>
        <v>0.02</v>
      </c>
      <c r="H352" s="676"/>
      <c r="I352" s="24">
        <f t="shared" si="68"/>
        <v>0</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0</v>
      </c>
      <c r="F353" s="676"/>
      <c r="G353" s="24">
        <f t="shared" si="67"/>
        <v>0.02</v>
      </c>
      <c r="H353" s="676"/>
      <c r="I353" s="24">
        <f t="shared" si="68"/>
        <v>0</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0</v>
      </c>
      <c r="F354" s="676"/>
      <c r="G354" s="24">
        <f t="shared" si="67"/>
        <v>0.02</v>
      </c>
      <c r="H354" s="676"/>
      <c r="I354" s="24">
        <f t="shared" si="68"/>
        <v>0</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0</v>
      </c>
      <c r="F355" s="676"/>
      <c r="G355" s="24">
        <f t="shared" si="67"/>
        <v>0.02</v>
      </c>
      <c r="H355" s="676"/>
      <c r="I355" s="24">
        <f t="shared" si="68"/>
        <v>0</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0</v>
      </c>
      <c r="F356" s="676"/>
      <c r="G356" s="24">
        <f t="shared" si="67"/>
        <v>0.02</v>
      </c>
      <c r="H356" s="676"/>
      <c r="I356" s="24">
        <f t="shared" si="68"/>
        <v>0</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0</v>
      </c>
      <c r="F357" s="676"/>
      <c r="G357" s="24">
        <f t="shared" si="67"/>
        <v>0.02</v>
      </c>
      <c r="H357" s="676"/>
      <c r="I357" s="24">
        <f t="shared" si="68"/>
        <v>0</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0</v>
      </c>
      <c r="F358" s="676"/>
      <c r="G358" s="24">
        <f t="shared" si="67"/>
        <v>0.02</v>
      </c>
      <c r="H358" s="676"/>
      <c r="I358" s="24">
        <f t="shared" si="68"/>
        <v>0</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0</v>
      </c>
      <c r="F359" s="676"/>
      <c r="G359" s="24">
        <f t="shared" si="67"/>
        <v>0.02</v>
      </c>
      <c r="H359" s="676"/>
      <c r="I359" s="24">
        <f t="shared" si="68"/>
        <v>0</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0</v>
      </c>
      <c r="F360" s="676"/>
      <c r="G360" s="24">
        <f t="shared" si="67"/>
        <v>0.02</v>
      </c>
      <c r="H360" s="676"/>
      <c r="I360" s="24">
        <f t="shared" si="68"/>
        <v>0</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0</v>
      </c>
      <c r="F361" s="676"/>
      <c r="G361" s="24">
        <f t="shared" si="67"/>
        <v>0.02</v>
      </c>
      <c r="H361" s="676"/>
      <c r="I361" s="24">
        <f t="shared" si="68"/>
        <v>0</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0</v>
      </c>
      <c r="F362" s="676"/>
      <c r="G362" s="24">
        <f t="shared" si="67"/>
        <v>0.02</v>
      </c>
      <c r="H362" s="676"/>
      <c r="I362" s="24">
        <f t="shared" si="68"/>
        <v>0</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0</v>
      </c>
      <c r="F363" s="676"/>
      <c r="G363" s="24">
        <f t="shared" si="67"/>
        <v>0.02</v>
      </c>
      <c r="H363" s="676"/>
      <c r="I363" s="24">
        <f t="shared" si="68"/>
        <v>0</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0</v>
      </c>
      <c r="F364" s="676"/>
      <c r="G364" s="24">
        <f t="shared" si="67"/>
        <v>0.02</v>
      </c>
      <c r="H364" s="676"/>
      <c r="I364" s="24">
        <f t="shared" si="68"/>
        <v>0</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0</v>
      </c>
      <c r="F365" s="676"/>
      <c r="G365" s="24">
        <f t="shared" si="67"/>
        <v>0.02</v>
      </c>
      <c r="H365" s="676"/>
      <c r="I365" s="24">
        <f t="shared" si="68"/>
        <v>0</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0</v>
      </c>
      <c r="F366" s="676"/>
      <c r="G366" s="24">
        <f t="shared" si="67"/>
        <v>0.02</v>
      </c>
      <c r="H366" s="676"/>
      <c r="I366" s="24">
        <f t="shared" si="68"/>
        <v>0</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0</v>
      </c>
      <c r="F367" s="676"/>
      <c r="G367" s="24">
        <f t="shared" si="67"/>
        <v>0.02</v>
      </c>
      <c r="H367" s="676"/>
      <c r="I367" s="24">
        <f t="shared" si="68"/>
        <v>0</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0</v>
      </c>
      <c r="F368" s="676"/>
      <c r="G368" s="24">
        <f t="shared" si="67"/>
        <v>0.02</v>
      </c>
      <c r="H368" s="676"/>
      <c r="I368" s="24">
        <f t="shared" si="68"/>
        <v>0</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0</v>
      </c>
      <c r="F369" s="676"/>
      <c r="G369" s="24">
        <f t="shared" si="67"/>
        <v>0.02</v>
      </c>
      <c r="H369" s="676"/>
      <c r="I369" s="24">
        <f t="shared" si="68"/>
        <v>0</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0</v>
      </c>
      <c r="F370" s="676"/>
      <c r="G370" s="24">
        <f t="shared" si="67"/>
        <v>0.02</v>
      </c>
      <c r="H370" s="676"/>
      <c r="I370" s="24">
        <f t="shared" si="68"/>
        <v>0</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0</v>
      </c>
      <c r="F371" s="676"/>
      <c r="G371" s="24">
        <f t="shared" si="67"/>
        <v>0.02</v>
      </c>
      <c r="H371" s="676"/>
      <c r="I371" s="24">
        <f t="shared" si="68"/>
        <v>0</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0</v>
      </c>
      <c r="F372" s="676"/>
      <c r="G372" s="24">
        <f t="shared" si="67"/>
        <v>0.02</v>
      </c>
      <c r="H372" s="676"/>
      <c r="I372" s="24">
        <f t="shared" si="68"/>
        <v>0</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0</v>
      </c>
      <c r="F373" s="676"/>
      <c r="G373" s="24">
        <f t="shared" si="67"/>
        <v>0.02</v>
      </c>
      <c r="H373" s="676"/>
      <c r="I373" s="24">
        <f t="shared" si="68"/>
        <v>0</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0</v>
      </c>
      <c r="F374" s="676"/>
      <c r="G374" s="24">
        <f t="shared" si="67"/>
        <v>0.02</v>
      </c>
      <c r="H374" s="676"/>
      <c r="I374" s="24">
        <f t="shared" si="68"/>
        <v>0</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0</v>
      </c>
      <c r="F375" s="676"/>
      <c r="G375" s="24">
        <f t="shared" si="67"/>
        <v>0.02</v>
      </c>
      <c r="H375" s="676"/>
      <c r="I375" s="24">
        <f t="shared" si="68"/>
        <v>0</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0</v>
      </c>
      <c r="F376" s="676"/>
      <c r="G376" s="24">
        <f t="shared" si="67"/>
        <v>0.02</v>
      </c>
      <c r="H376" s="676"/>
      <c r="I376" s="24">
        <f t="shared" si="68"/>
        <v>0</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0</v>
      </c>
      <c r="F377" s="676"/>
      <c r="G377" s="24">
        <f t="shared" si="67"/>
        <v>0.02</v>
      </c>
      <c r="H377" s="676"/>
      <c r="I377" s="24">
        <f t="shared" si="68"/>
        <v>0</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0</v>
      </c>
      <c r="F378" s="676"/>
      <c r="G378" s="24">
        <f t="shared" si="67"/>
        <v>0.02</v>
      </c>
      <c r="H378" s="676"/>
      <c r="I378" s="24">
        <f t="shared" si="68"/>
        <v>0</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0</v>
      </c>
      <c r="F379" s="676"/>
      <c r="G379" s="24">
        <f t="shared" si="67"/>
        <v>0.02</v>
      </c>
      <c r="H379" s="676"/>
      <c r="I379" s="24">
        <f t="shared" si="68"/>
        <v>0</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0</v>
      </c>
      <c r="F380" s="676"/>
      <c r="G380" s="24">
        <f t="shared" si="67"/>
        <v>0.02</v>
      </c>
      <c r="H380" s="676"/>
      <c r="I380" s="24">
        <f t="shared" si="68"/>
        <v>0</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0</v>
      </c>
      <c r="F381" s="676"/>
      <c r="G381" s="24">
        <f t="shared" si="67"/>
        <v>0.02</v>
      </c>
      <c r="H381" s="676"/>
      <c r="I381" s="24">
        <f t="shared" si="68"/>
        <v>0</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0</v>
      </c>
      <c r="F382" s="676"/>
      <c r="G382" s="24">
        <f t="shared" si="67"/>
        <v>0.02</v>
      </c>
      <c r="H382" s="676"/>
      <c r="I382" s="24">
        <f t="shared" si="68"/>
        <v>0</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0</v>
      </c>
      <c r="F383" s="676"/>
      <c r="G383" s="24">
        <f t="shared" si="67"/>
        <v>0.02</v>
      </c>
      <c r="H383" s="676"/>
      <c r="I383" s="24">
        <f t="shared" si="68"/>
        <v>0</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0</v>
      </c>
      <c r="F384" s="676"/>
      <c r="G384" s="24">
        <f t="shared" si="67"/>
        <v>0.02</v>
      </c>
      <c r="H384" s="676"/>
      <c r="I384" s="24">
        <f t="shared" si="68"/>
        <v>0</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0</v>
      </c>
      <c r="F385" s="676"/>
      <c r="G385" s="24">
        <f t="shared" si="67"/>
        <v>0.02</v>
      </c>
      <c r="H385" s="676"/>
      <c r="I385" s="24">
        <f t="shared" si="68"/>
        <v>0</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0</v>
      </c>
      <c r="F386" s="676"/>
      <c r="G386" s="24">
        <f t="shared" si="67"/>
        <v>0.02</v>
      </c>
      <c r="H386" s="676"/>
      <c r="I386" s="24">
        <f t="shared" si="68"/>
        <v>0</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0</v>
      </c>
      <c r="F387" s="676"/>
      <c r="G387" s="24">
        <f t="shared" si="67"/>
        <v>0.02</v>
      </c>
      <c r="H387" s="676"/>
      <c r="I387" s="24">
        <f t="shared" si="68"/>
        <v>0</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0</v>
      </c>
      <c r="F388" s="676"/>
      <c r="G388" s="24">
        <f t="shared" si="67"/>
        <v>0.02</v>
      </c>
      <c r="H388" s="676"/>
      <c r="I388" s="24">
        <f t="shared" si="68"/>
        <v>0</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0</v>
      </c>
      <c r="F389" s="676"/>
      <c r="G389" s="24">
        <f t="shared" si="67"/>
        <v>0.02</v>
      </c>
      <c r="H389" s="676"/>
      <c r="I389" s="24">
        <f t="shared" si="68"/>
        <v>0</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0</v>
      </c>
      <c r="F390" s="676"/>
      <c r="G390" s="24">
        <f t="shared" si="67"/>
        <v>0.02</v>
      </c>
      <c r="H390" s="676"/>
      <c r="I390" s="24">
        <f t="shared" si="68"/>
        <v>0</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0</v>
      </c>
      <c r="F391" s="676"/>
      <c r="G391" s="24">
        <f t="shared" si="67"/>
        <v>0.02</v>
      </c>
      <c r="H391" s="676"/>
      <c r="I391" s="24">
        <f t="shared" si="68"/>
        <v>0</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0</v>
      </c>
      <c r="F392" s="676"/>
      <c r="G392" s="24">
        <f t="shared" si="67"/>
        <v>0.02</v>
      </c>
      <c r="H392" s="676"/>
      <c r="I392" s="24">
        <f t="shared" si="68"/>
        <v>0</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0</v>
      </c>
      <c r="F393" s="676"/>
      <c r="G393" s="24">
        <f t="shared" si="67"/>
        <v>0.02</v>
      </c>
      <c r="H393" s="676"/>
      <c r="I393" s="24">
        <f t="shared" si="68"/>
        <v>0</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0</v>
      </c>
      <c r="F394" s="676"/>
      <c r="G394" s="24">
        <f t="shared" si="67"/>
        <v>0.02</v>
      </c>
      <c r="H394" s="676"/>
      <c r="I394" s="24">
        <f t="shared" si="68"/>
        <v>0</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0</v>
      </c>
      <c r="F395" s="676"/>
      <c r="G395" s="24">
        <f t="shared" si="67"/>
        <v>0.02</v>
      </c>
      <c r="H395" s="676"/>
      <c r="I395" s="24">
        <f t="shared" si="68"/>
        <v>0</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0</v>
      </c>
      <c r="F396" s="676"/>
      <c r="G396" s="24">
        <f t="shared" si="67"/>
        <v>0.02</v>
      </c>
      <c r="H396" s="676"/>
      <c r="I396" s="24">
        <f t="shared" si="68"/>
        <v>0</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0</v>
      </c>
      <c r="F397" s="676"/>
      <c r="G397" s="24">
        <f t="shared" si="67"/>
        <v>0.02</v>
      </c>
      <c r="H397" s="676"/>
      <c r="I397" s="24">
        <f t="shared" si="68"/>
        <v>0</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0</v>
      </c>
      <c r="F398" s="676"/>
      <c r="G398" s="24">
        <f t="shared" si="67"/>
        <v>0.02</v>
      </c>
      <c r="H398" s="676"/>
      <c r="I398" s="24">
        <f t="shared" si="68"/>
        <v>0</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0</v>
      </c>
      <c r="F399" s="676"/>
      <c r="G399" s="24">
        <f t="shared" si="67"/>
        <v>0.02</v>
      </c>
      <c r="H399" s="676"/>
      <c r="I399" s="24">
        <f t="shared" si="68"/>
        <v>0</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0</v>
      </c>
      <c r="F400" s="676"/>
      <c r="G400" s="24">
        <f t="shared" si="67"/>
        <v>0.02</v>
      </c>
      <c r="H400" s="676"/>
      <c r="I400" s="24">
        <f t="shared" si="68"/>
        <v>0</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0</v>
      </c>
      <c r="F401" s="676"/>
      <c r="G401" s="24">
        <f t="shared" si="67"/>
        <v>0.02</v>
      </c>
      <c r="H401" s="676"/>
      <c r="I401" s="24">
        <f t="shared" si="68"/>
        <v>0</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0</v>
      </c>
      <c r="F402" s="676"/>
      <c r="G402" s="24">
        <f t="shared" si="67"/>
        <v>0.02</v>
      </c>
      <c r="H402" s="676"/>
      <c r="I402" s="24">
        <f t="shared" si="68"/>
        <v>0</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0</v>
      </c>
      <c r="F403" s="676"/>
      <c r="G403" s="24">
        <f t="shared" si="67"/>
        <v>0.02</v>
      </c>
      <c r="H403" s="676"/>
      <c r="I403" s="24">
        <f t="shared" si="68"/>
        <v>0</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0</v>
      </c>
      <c r="F404" s="676"/>
      <c r="G404" s="24">
        <f t="shared" si="67"/>
        <v>0.02</v>
      </c>
      <c r="H404" s="676"/>
      <c r="I404" s="24">
        <f t="shared" si="68"/>
        <v>0</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0</v>
      </c>
      <c r="F405" s="676"/>
      <c r="G405" s="24">
        <f t="shared" si="67"/>
        <v>0.02</v>
      </c>
      <c r="H405" s="676"/>
      <c r="I405" s="24">
        <f t="shared" si="68"/>
        <v>0</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0</v>
      </c>
      <c r="F406" s="676"/>
      <c r="G406" s="24">
        <f t="shared" si="67"/>
        <v>0.02</v>
      </c>
      <c r="H406" s="676"/>
      <c r="I406" s="24">
        <f t="shared" si="68"/>
        <v>0</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0</v>
      </c>
      <c r="F407" s="676"/>
      <c r="G407" s="24">
        <f t="shared" si="67"/>
        <v>0.02</v>
      </c>
      <c r="H407" s="676"/>
      <c r="I407" s="24">
        <f t="shared" si="68"/>
        <v>0</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0</v>
      </c>
      <c r="F408" s="676"/>
      <c r="G408" s="24">
        <f t="shared" si="67"/>
        <v>0.02</v>
      </c>
      <c r="H408" s="676"/>
      <c r="I408" s="24">
        <f t="shared" si="68"/>
        <v>0</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0</v>
      </c>
      <c r="F409" s="676"/>
      <c r="G409" s="24">
        <f t="shared" si="67"/>
        <v>0.02</v>
      </c>
      <c r="H409" s="676"/>
      <c r="I409" s="24">
        <f t="shared" si="68"/>
        <v>0</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0</v>
      </c>
      <c r="F410" s="676"/>
      <c r="G410" s="24">
        <f t="shared" ref="G410:G473" si="77">(SUMIF($7:$7,F410,$8:$8)-SUMIF($7:$7,$F$24,$8:$8)+100)/100</f>
        <v>0.02</v>
      </c>
      <c r="H410" s="676"/>
      <c r="I410" s="24">
        <f t="shared" ref="I410:I473" si="78">(SUMIF($9:$9,H410,$10:$10)-SUMIF($9:$9,$H$24,$10:$10)+100)/100</f>
        <v>0</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0</v>
      </c>
      <c r="F411" s="676"/>
      <c r="G411" s="24">
        <f t="shared" si="77"/>
        <v>0.02</v>
      </c>
      <c r="H411" s="676"/>
      <c r="I411" s="24">
        <f t="shared" si="78"/>
        <v>0</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0</v>
      </c>
      <c r="F412" s="676"/>
      <c r="G412" s="24">
        <f t="shared" si="77"/>
        <v>0.02</v>
      </c>
      <c r="H412" s="676"/>
      <c r="I412" s="24">
        <f t="shared" si="78"/>
        <v>0</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0</v>
      </c>
      <c r="F413" s="676"/>
      <c r="G413" s="24">
        <f t="shared" si="77"/>
        <v>0.02</v>
      </c>
      <c r="H413" s="676"/>
      <c r="I413" s="24">
        <f t="shared" si="78"/>
        <v>0</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0</v>
      </c>
      <c r="F414" s="676"/>
      <c r="G414" s="24">
        <f t="shared" si="77"/>
        <v>0.02</v>
      </c>
      <c r="H414" s="676"/>
      <c r="I414" s="24">
        <f t="shared" si="78"/>
        <v>0</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0</v>
      </c>
      <c r="F415" s="676"/>
      <c r="G415" s="24">
        <f t="shared" si="77"/>
        <v>0.02</v>
      </c>
      <c r="H415" s="676"/>
      <c r="I415" s="24">
        <f t="shared" si="78"/>
        <v>0</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0</v>
      </c>
      <c r="F416" s="676"/>
      <c r="G416" s="24">
        <f t="shared" si="77"/>
        <v>0.02</v>
      </c>
      <c r="H416" s="676"/>
      <c r="I416" s="24">
        <f t="shared" si="78"/>
        <v>0</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0</v>
      </c>
      <c r="F417" s="676"/>
      <c r="G417" s="24">
        <f t="shared" si="77"/>
        <v>0.02</v>
      </c>
      <c r="H417" s="676"/>
      <c r="I417" s="24">
        <f t="shared" si="78"/>
        <v>0</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0</v>
      </c>
      <c r="F418" s="676"/>
      <c r="G418" s="24">
        <f t="shared" si="77"/>
        <v>0.02</v>
      </c>
      <c r="H418" s="676"/>
      <c r="I418" s="24">
        <f t="shared" si="78"/>
        <v>0</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0</v>
      </c>
      <c r="F419" s="676"/>
      <c r="G419" s="24">
        <f t="shared" si="77"/>
        <v>0.02</v>
      </c>
      <c r="H419" s="676"/>
      <c r="I419" s="24">
        <f t="shared" si="78"/>
        <v>0</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0</v>
      </c>
      <c r="F420" s="676"/>
      <c r="G420" s="24">
        <f t="shared" si="77"/>
        <v>0.02</v>
      </c>
      <c r="H420" s="676"/>
      <c r="I420" s="24">
        <f t="shared" si="78"/>
        <v>0</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0</v>
      </c>
      <c r="F421" s="676"/>
      <c r="G421" s="24">
        <f t="shared" si="77"/>
        <v>0.02</v>
      </c>
      <c r="H421" s="676"/>
      <c r="I421" s="24">
        <f t="shared" si="78"/>
        <v>0</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0</v>
      </c>
      <c r="F422" s="676"/>
      <c r="G422" s="24">
        <f t="shared" si="77"/>
        <v>0.02</v>
      </c>
      <c r="H422" s="676"/>
      <c r="I422" s="24">
        <f t="shared" si="78"/>
        <v>0</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0</v>
      </c>
      <c r="F423" s="676"/>
      <c r="G423" s="24">
        <f t="shared" si="77"/>
        <v>0.02</v>
      </c>
      <c r="H423" s="676"/>
      <c r="I423" s="24">
        <f t="shared" si="78"/>
        <v>0</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0</v>
      </c>
      <c r="F424" s="676"/>
      <c r="G424" s="24">
        <f t="shared" si="77"/>
        <v>0.02</v>
      </c>
      <c r="H424" s="676"/>
      <c r="I424" s="24">
        <f t="shared" si="78"/>
        <v>0</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0</v>
      </c>
      <c r="F425" s="676"/>
      <c r="G425" s="24">
        <f t="shared" si="77"/>
        <v>0.02</v>
      </c>
      <c r="H425" s="676"/>
      <c r="I425" s="24">
        <f t="shared" si="78"/>
        <v>0</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0</v>
      </c>
      <c r="F426" s="676"/>
      <c r="G426" s="24">
        <f t="shared" si="77"/>
        <v>0.02</v>
      </c>
      <c r="H426" s="676"/>
      <c r="I426" s="24">
        <f t="shared" si="78"/>
        <v>0</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0</v>
      </c>
      <c r="F427" s="676"/>
      <c r="G427" s="24">
        <f t="shared" si="77"/>
        <v>0.02</v>
      </c>
      <c r="H427" s="676"/>
      <c r="I427" s="24">
        <f t="shared" si="78"/>
        <v>0</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0</v>
      </c>
      <c r="F428" s="676"/>
      <c r="G428" s="24">
        <f t="shared" si="77"/>
        <v>0.02</v>
      </c>
      <c r="H428" s="676"/>
      <c r="I428" s="24">
        <f t="shared" si="78"/>
        <v>0</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0</v>
      </c>
      <c r="F429" s="676"/>
      <c r="G429" s="24">
        <f t="shared" si="77"/>
        <v>0.02</v>
      </c>
      <c r="H429" s="676"/>
      <c r="I429" s="24">
        <f t="shared" si="78"/>
        <v>0</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0</v>
      </c>
      <c r="F430" s="676"/>
      <c r="G430" s="24">
        <f t="shared" si="77"/>
        <v>0.02</v>
      </c>
      <c r="H430" s="676"/>
      <c r="I430" s="24">
        <f t="shared" si="78"/>
        <v>0</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0</v>
      </c>
      <c r="F431" s="676"/>
      <c r="G431" s="24">
        <f t="shared" si="77"/>
        <v>0.02</v>
      </c>
      <c r="H431" s="676"/>
      <c r="I431" s="24">
        <f t="shared" si="78"/>
        <v>0</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0</v>
      </c>
      <c r="F432" s="676"/>
      <c r="G432" s="24">
        <f t="shared" si="77"/>
        <v>0.02</v>
      </c>
      <c r="H432" s="676"/>
      <c r="I432" s="24">
        <f t="shared" si="78"/>
        <v>0</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0</v>
      </c>
      <c r="F433" s="676"/>
      <c r="G433" s="24">
        <f t="shared" si="77"/>
        <v>0.02</v>
      </c>
      <c r="H433" s="676"/>
      <c r="I433" s="24">
        <f t="shared" si="78"/>
        <v>0</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0</v>
      </c>
      <c r="F434" s="676"/>
      <c r="G434" s="24">
        <f t="shared" si="77"/>
        <v>0.02</v>
      </c>
      <c r="H434" s="676"/>
      <c r="I434" s="24">
        <f t="shared" si="78"/>
        <v>0</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0</v>
      </c>
      <c r="F435" s="676"/>
      <c r="G435" s="24">
        <f t="shared" si="77"/>
        <v>0.02</v>
      </c>
      <c r="H435" s="676"/>
      <c r="I435" s="24">
        <f t="shared" si="78"/>
        <v>0</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0</v>
      </c>
      <c r="F436" s="676"/>
      <c r="G436" s="24">
        <f t="shared" si="77"/>
        <v>0.02</v>
      </c>
      <c r="H436" s="676"/>
      <c r="I436" s="24">
        <f t="shared" si="78"/>
        <v>0</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0</v>
      </c>
      <c r="F437" s="676"/>
      <c r="G437" s="24">
        <f t="shared" si="77"/>
        <v>0.02</v>
      </c>
      <c r="H437" s="676"/>
      <c r="I437" s="24">
        <f t="shared" si="78"/>
        <v>0</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0</v>
      </c>
      <c r="F438" s="676"/>
      <c r="G438" s="24">
        <f t="shared" si="77"/>
        <v>0.02</v>
      </c>
      <c r="H438" s="676"/>
      <c r="I438" s="24">
        <f t="shared" si="78"/>
        <v>0</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0</v>
      </c>
      <c r="F439" s="676"/>
      <c r="G439" s="24">
        <f t="shared" si="77"/>
        <v>0.02</v>
      </c>
      <c r="H439" s="676"/>
      <c r="I439" s="24">
        <f t="shared" si="78"/>
        <v>0</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0</v>
      </c>
      <c r="F440" s="676"/>
      <c r="G440" s="24">
        <f t="shared" si="77"/>
        <v>0.02</v>
      </c>
      <c r="H440" s="676"/>
      <c r="I440" s="24">
        <f t="shared" si="78"/>
        <v>0</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0</v>
      </c>
      <c r="F441" s="676"/>
      <c r="G441" s="24">
        <f t="shared" si="77"/>
        <v>0.02</v>
      </c>
      <c r="H441" s="676"/>
      <c r="I441" s="24">
        <f t="shared" si="78"/>
        <v>0</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0</v>
      </c>
      <c r="F442" s="676"/>
      <c r="G442" s="24">
        <f t="shared" si="77"/>
        <v>0.02</v>
      </c>
      <c r="H442" s="676"/>
      <c r="I442" s="24">
        <f t="shared" si="78"/>
        <v>0</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0</v>
      </c>
      <c r="F443" s="676"/>
      <c r="G443" s="24">
        <f t="shared" si="77"/>
        <v>0.02</v>
      </c>
      <c r="H443" s="676"/>
      <c r="I443" s="24">
        <f t="shared" si="78"/>
        <v>0</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0</v>
      </c>
      <c r="F444" s="676"/>
      <c r="G444" s="24">
        <f t="shared" si="77"/>
        <v>0.02</v>
      </c>
      <c r="H444" s="676"/>
      <c r="I444" s="24">
        <f t="shared" si="78"/>
        <v>0</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0</v>
      </c>
      <c r="F445" s="676"/>
      <c r="G445" s="24">
        <f t="shared" si="77"/>
        <v>0.02</v>
      </c>
      <c r="H445" s="676"/>
      <c r="I445" s="24">
        <f t="shared" si="78"/>
        <v>0</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0</v>
      </c>
      <c r="F446" s="676"/>
      <c r="G446" s="24">
        <f t="shared" si="77"/>
        <v>0.02</v>
      </c>
      <c r="H446" s="676"/>
      <c r="I446" s="24">
        <f t="shared" si="78"/>
        <v>0</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0</v>
      </c>
      <c r="F447" s="676"/>
      <c r="G447" s="24">
        <f t="shared" si="77"/>
        <v>0.02</v>
      </c>
      <c r="H447" s="676"/>
      <c r="I447" s="24">
        <f t="shared" si="78"/>
        <v>0</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0</v>
      </c>
      <c r="F448" s="676"/>
      <c r="G448" s="24">
        <f t="shared" si="77"/>
        <v>0.02</v>
      </c>
      <c r="H448" s="676"/>
      <c r="I448" s="24">
        <f t="shared" si="78"/>
        <v>0</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0</v>
      </c>
      <c r="F449" s="676"/>
      <c r="G449" s="24">
        <f t="shared" si="77"/>
        <v>0.02</v>
      </c>
      <c r="H449" s="676"/>
      <c r="I449" s="24">
        <f t="shared" si="78"/>
        <v>0</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0</v>
      </c>
      <c r="F450" s="676"/>
      <c r="G450" s="24">
        <f t="shared" si="77"/>
        <v>0.02</v>
      </c>
      <c r="H450" s="676"/>
      <c r="I450" s="24">
        <f t="shared" si="78"/>
        <v>0</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0</v>
      </c>
      <c r="F451" s="676"/>
      <c r="G451" s="24">
        <f t="shared" si="77"/>
        <v>0.02</v>
      </c>
      <c r="H451" s="676"/>
      <c r="I451" s="24">
        <f t="shared" si="78"/>
        <v>0</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0</v>
      </c>
      <c r="F452" s="676"/>
      <c r="G452" s="24">
        <f t="shared" si="77"/>
        <v>0.02</v>
      </c>
      <c r="H452" s="676"/>
      <c r="I452" s="24">
        <f t="shared" si="78"/>
        <v>0</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0</v>
      </c>
      <c r="F453" s="676"/>
      <c r="G453" s="24">
        <f t="shared" si="77"/>
        <v>0.02</v>
      </c>
      <c r="H453" s="676"/>
      <c r="I453" s="24">
        <f t="shared" si="78"/>
        <v>0</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0</v>
      </c>
      <c r="F454" s="676"/>
      <c r="G454" s="24">
        <f t="shared" si="77"/>
        <v>0.02</v>
      </c>
      <c r="H454" s="676"/>
      <c r="I454" s="24">
        <f t="shared" si="78"/>
        <v>0</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0</v>
      </c>
      <c r="F455" s="676"/>
      <c r="G455" s="24">
        <f t="shared" si="77"/>
        <v>0.02</v>
      </c>
      <c r="H455" s="676"/>
      <c r="I455" s="24">
        <f t="shared" si="78"/>
        <v>0</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0</v>
      </c>
      <c r="F456" s="676"/>
      <c r="G456" s="24">
        <f t="shared" si="77"/>
        <v>0.02</v>
      </c>
      <c r="H456" s="676"/>
      <c r="I456" s="24">
        <f t="shared" si="78"/>
        <v>0</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0</v>
      </c>
      <c r="F457" s="676"/>
      <c r="G457" s="24">
        <f t="shared" si="77"/>
        <v>0.02</v>
      </c>
      <c r="H457" s="676"/>
      <c r="I457" s="24">
        <f t="shared" si="78"/>
        <v>0</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0</v>
      </c>
      <c r="F458" s="676"/>
      <c r="G458" s="24">
        <f t="shared" si="77"/>
        <v>0.02</v>
      </c>
      <c r="H458" s="676"/>
      <c r="I458" s="24">
        <f t="shared" si="78"/>
        <v>0</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0</v>
      </c>
      <c r="F459" s="676"/>
      <c r="G459" s="24">
        <f t="shared" si="77"/>
        <v>0.02</v>
      </c>
      <c r="H459" s="676"/>
      <c r="I459" s="24">
        <f t="shared" si="78"/>
        <v>0</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0</v>
      </c>
      <c r="F460" s="676"/>
      <c r="G460" s="24">
        <f t="shared" si="77"/>
        <v>0.02</v>
      </c>
      <c r="H460" s="676"/>
      <c r="I460" s="24">
        <f t="shared" si="78"/>
        <v>0</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0</v>
      </c>
      <c r="F461" s="676"/>
      <c r="G461" s="24">
        <f t="shared" si="77"/>
        <v>0.02</v>
      </c>
      <c r="H461" s="676"/>
      <c r="I461" s="24">
        <f t="shared" si="78"/>
        <v>0</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0</v>
      </c>
      <c r="F462" s="676"/>
      <c r="G462" s="24">
        <f t="shared" si="77"/>
        <v>0.02</v>
      </c>
      <c r="H462" s="676"/>
      <c r="I462" s="24">
        <f t="shared" si="78"/>
        <v>0</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0</v>
      </c>
      <c r="F463" s="676"/>
      <c r="G463" s="24">
        <f t="shared" si="77"/>
        <v>0.02</v>
      </c>
      <c r="H463" s="676"/>
      <c r="I463" s="24">
        <f t="shared" si="78"/>
        <v>0</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0</v>
      </c>
      <c r="F464" s="676"/>
      <c r="G464" s="24">
        <f t="shared" si="77"/>
        <v>0.02</v>
      </c>
      <c r="H464" s="676"/>
      <c r="I464" s="24">
        <f t="shared" si="78"/>
        <v>0</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0</v>
      </c>
      <c r="F465" s="676"/>
      <c r="G465" s="24">
        <f t="shared" si="77"/>
        <v>0.02</v>
      </c>
      <c r="H465" s="676"/>
      <c r="I465" s="24">
        <f t="shared" si="78"/>
        <v>0</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0</v>
      </c>
      <c r="F466" s="676"/>
      <c r="G466" s="24">
        <f t="shared" si="77"/>
        <v>0.02</v>
      </c>
      <c r="H466" s="676"/>
      <c r="I466" s="24">
        <f t="shared" si="78"/>
        <v>0</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0</v>
      </c>
      <c r="F467" s="676"/>
      <c r="G467" s="24">
        <f t="shared" si="77"/>
        <v>0.02</v>
      </c>
      <c r="H467" s="676"/>
      <c r="I467" s="24">
        <f t="shared" si="78"/>
        <v>0</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0</v>
      </c>
      <c r="F468" s="676"/>
      <c r="G468" s="24">
        <f t="shared" si="77"/>
        <v>0.02</v>
      </c>
      <c r="H468" s="676"/>
      <c r="I468" s="24">
        <f t="shared" si="78"/>
        <v>0</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0</v>
      </c>
      <c r="F469" s="676"/>
      <c r="G469" s="24">
        <f t="shared" si="77"/>
        <v>0.02</v>
      </c>
      <c r="H469" s="676"/>
      <c r="I469" s="24">
        <f t="shared" si="78"/>
        <v>0</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0</v>
      </c>
      <c r="F470" s="676"/>
      <c r="G470" s="24">
        <f t="shared" si="77"/>
        <v>0.02</v>
      </c>
      <c r="H470" s="676"/>
      <c r="I470" s="24">
        <f t="shared" si="78"/>
        <v>0</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0</v>
      </c>
      <c r="F471" s="676"/>
      <c r="G471" s="24">
        <f t="shared" si="77"/>
        <v>0.02</v>
      </c>
      <c r="H471" s="676"/>
      <c r="I471" s="24">
        <f t="shared" si="78"/>
        <v>0</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0</v>
      </c>
      <c r="F472" s="676"/>
      <c r="G472" s="24">
        <f t="shared" si="77"/>
        <v>0.02</v>
      </c>
      <c r="H472" s="676"/>
      <c r="I472" s="24">
        <f t="shared" si="78"/>
        <v>0</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0</v>
      </c>
      <c r="F473" s="676"/>
      <c r="G473" s="24">
        <f t="shared" si="77"/>
        <v>0.02</v>
      </c>
      <c r="H473" s="676"/>
      <c r="I473" s="24">
        <f t="shared" si="78"/>
        <v>0</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0</v>
      </c>
      <c r="F474" s="676"/>
      <c r="G474" s="24">
        <f t="shared" ref="G474:G524" si="88">(SUMIF($7:$7,F474,$8:$8)-SUMIF($7:$7,$F$24,$8:$8)+100)/100</f>
        <v>0.02</v>
      </c>
      <c r="H474" s="676"/>
      <c r="I474" s="24">
        <f t="shared" ref="I474:I524" si="89">(SUMIF($9:$9,H474,$10:$10)-SUMIF($9:$9,$H$24,$10:$10)+100)/100</f>
        <v>0</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0</v>
      </c>
      <c r="F475" s="676"/>
      <c r="G475" s="24">
        <f t="shared" si="88"/>
        <v>0.02</v>
      </c>
      <c r="H475" s="676"/>
      <c r="I475" s="24">
        <f t="shared" si="89"/>
        <v>0</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0</v>
      </c>
      <c r="F476" s="676"/>
      <c r="G476" s="24">
        <f t="shared" si="88"/>
        <v>0.02</v>
      </c>
      <c r="H476" s="676"/>
      <c r="I476" s="24">
        <f t="shared" si="89"/>
        <v>0</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0</v>
      </c>
      <c r="F477" s="676"/>
      <c r="G477" s="24">
        <f t="shared" si="88"/>
        <v>0.02</v>
      </c>
      <c r="H477" s="676"/>
      <c r="I477" s="24">
        <f t="shared" si="89"/>
        <v>0</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0</v>
      </c>
      <c r="F478" s="676"/>
      <c r="G478" s="24">
        <f t="shared" si="88"/>
        <v>0.02</v>
      </c>
      <c r="H478" s="676"/>
      <c r="I478" s="24">
        <f t="shared" si="89"/>
        <v>0</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0</v>
      </c>
      <c r="F479" s="676"/>
      <c r="G479" s="24">
        <f t="shared" si="88"/>
        <v>0.02</v>
      </c>
      <c r="H479" s="676"/>
      <c r="I479" s="24">
        <f t="shared" si="89"/>
        <v>0</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0</v>
      </c>
      <c r="F480" s="676"/>
      <c r="G480" s="24">
        <f t="shared" si="88"/>
        <v>0.02</v>
      </c>
      <c r="H480" s="676"/>
      <c r="I480" s="24">
        <f t="shared" si="89"/>
        <v>0</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0</v>
      </c>
      <c r="F481" s="676"/>
      <c r="G481" s="24">
        <f t="shared" si="88"/>
        <v>0.02</v>
      </c>
      <c r="H481" s="676"/>
      <c r="I481" s="24">
        <f t="shared" si="89"/>
        <v>0</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0</v>
      </c>
      <c r="F482" s="676"/>
      <c r="G482" s="24">
        <f t="shared" si="88"/>
        <v>0.02</v>
      </c>
      <c r="H482" s="676"/>
      <c r="I482" s="24">
        <f t="shared" si="89"/>
        <v>0</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0</v>
      </c>
      <c r="F483" s="676"/>
      <c r="G483" s="24">
        <f t="shared" si="88"/>
        <v>0.02</v>
      </c>
      <c r="H483" s="676"/>
      <c r="I483" s="24">
        <f t="shared" si="89"/>
        <v>0</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0</v>
      </c>
      <c r="F484" s="676"/>
      <c r="G484" s="24">
        <f t="shared" si="88"/>
        <v>0.02</v>
      </c>
      <c r="H484" s="676"/>
      <c r="I484" s="24">
        <f t="shared" si="89"/>
        <v>0</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0</v>
      </c>
      <c r="F485" s="676"/>
      <c r="G485" s="24">
        <f t="shared" si="88"/>
        <v>0.02</v>
      </c>
      <c r="H485" s="676"/>
      <c r="I485" s="24">
        <f t="shared" si="89"/>
        <v>0</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0</v>
      </c>
      <c r="F486" s="676"/>
      <c r="G486" s="24">
        <f t="shared" si="88"/>
        <v>0.02</v>
      </c>
      <c r="H486" s="676"/>
      <c r="I486" s="24">
        <f t="shared" si="89"/>
        <v>0</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0</v>
      </c>
      <c r="F487" s="676"/>
      <c r="G487" s="24">
        <f t="shared" si="88"/>
        <v>0.02</v>
      </c>
      <c r="H487" s="676"/>
      <c r="I487" s="24">
        <f t="shared" si="89"/>
        <v>0</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0</v>
      </c>
      <c r="F488" s="676"/>
      <c r="G488" s="24">
        <f t="shared" si="88"/>
        <v>0.02</v>
      </c>
      <c r="H488" s="676"/>
      <c r="I488" s="24">
        <f t="shared" si="89"/>
        <v>0</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0</v>
      </c>
      <c r="F489" s="676"/>
      <c r="G489" s="24">
        <f t="shared" si="88"/>
        <v>0.02</v>
      </c>
      <c r="H489" s="676"/>
      <c r="I489" s="24">
        <f t="shared" si="89"/>
        <v>0</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0</v>
      </c>
      <c r="F490" s="676"/>
      <c r="G490" s="24">
        <f t="shared" si="88"/>
        <v>0.02</v>
      </c>
      <c r="H490" s="676"/>
      <c r="I490" s="24">
        <f t="shared" si="89"/>
        <v>0</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0</v>
      </c>
      <c r="F491" s="676"/>
      <c r="G491" s="24">
        <f t="shared" si="88"/>
        <v>0.02</v>
      </c>
      <c r="H491" s="676"/>
      <c r="I491" s="24">
        <f t="shared" si="89"/>
        <v>0</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0</v>
      </c>
      <c r="F492" s="676"/>
      <c r="G492" s="24">
        <f t="shared" si="88"/>
        <v>0.02</v>
      </c>
      <c r="H492" s="676"/>
      <c r="I492" s="24">
        <f t="shared" si="89"/>
        <v>0</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0</v>
      </c>
      <c r="F493" s="676"/>
      <c r="G493" s="24">
        <f t="shared" si="88"/>
        <v>0.02</v>
      </c>
      <c r="H493" s="676"/>
      <c r="I493" s="24">
        <f t="shared" si="89"/>
        <v>0</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0</v>
      </c>
      <c r="F494" s="676"/>
      <c r="G494" s="24">
        <f t="shared" si="88"/>
        <v>0.02</v>
      </c>
      <c r="H494" s="676"/>
      <c r="I494" s="24">
        <f t="shared" si="89"/>
        <v>0</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0</v>
      </c>
      <c r="F495" s="676"/>
      <c r="G495" s="24">
        <f t="shared" si="88"/>
        <v>0.02</v>
      </c>
      <c r="H495" s="676"/>
      <c r="I495" s="24">
        <f t="shared" si="89"/>
        <v>0</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0</v>
      </c>
      <c r="F496" s="676"/>
      <c r="G496" s="24">
        <f t="shared" si="88"/>
        <v>0.02</v>
      </c>
      <c r="H496" s="676"/>
      <c r="I496" s="24">
        <f t="shared" si="89"/>
        <v>0</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0</v>
      </c>
      <c r="F497" s="676"/>
      <c r="G497" s="24">
        <f t="shared" si="88"/>
        <v>0.02</v>
      </c>
      <c r="H497" s="676"/>
      <c r="I497" s="24">
        <f t="shared" si="89"/>
        <v>0</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0</v>
      </c>
      <c r="F498" s="676"/>
      <c r="G498" s="24">
        <f t="shared" si="88"/>
        <v>0.02</v>
      </c>
      <c r="H498" s="676"/>
      <c r="I498" s="24">
        <f t="shared" si="89"/>
        <v>0</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0</v>
      </c>
      <c r="F499" s="676"/>
      <c r="G499" s="24">
        <f t="shared" si="88"/>
        <v>0.02</v>
      </c>
      <c r="H499" s="676"/>
      <c r="I499" s="24">
        <f t="shared" si="89"/>
        <v>0</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0</v>
      </c>
      <c r="F500" s="676"/>
      <c r="G500" s="24">
        <f t="shared" si="88"/>
        <v>0.02</v>
      </c>
      <c r="H500" s="676"/>
      <c r="I500" s="24">
        <f t="shared" si="89"/>
        <v>0</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0</v>
      </c>
      <c r="F501" s="676"/>
      <c r="G501" s="24">
        <f t="shared" si="88"/>
        <v>0.02</v>
      </c>
      <c r="H501" s="676"/>
      <c r="I501" s="24">
        <f t="shared" si="89"/>
        <v>0</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0</v>
      </c>
      <c r="F502" s="676"/>
      <c r="G502" s="24">
        <f t="shared" si="88"/>
        <v>0.02</v>
      </c>
      <c r="H502" s="676"/>
      <c r="I502" s="24">
        <f t="shared" si="89"/>
        <v>0</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0</v>
      </c>
      <c r="F503" s="676"/>
      <c r="G503" s="24">
        <f t="shared" si="88"/>
        <v>0.02</v>
      </c>
      <c r="H503" s="676"/>
      <c r="I503" s="24">
        <f t="shared" si="89"/>
        <v>0</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0</v>
      </c>
      <c r="F504" s="676"/>
      <c r="G504" s="24">
        <f t="shared" si="88"/>
        <v>0.02</v>
      </c>
      <c r="H504" s="676"/>
      <c r="I504" s="24">
        <f t="shared" si="89"/>
        <v>0</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0</v>
      </c>
      <c r="F505" s="676"/>
      <c r="G505" s="24">
        <f t="shared" si="88"/>
        <v>0.02</v>
      </c>
      <c r="H505" s="676"/>
      <c r="I505" s="24">
        <f t="shared" si="89"/>
        <v>0</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0</v>
      </c>
      <c r="F506" s="676"/>
      <c r="G506" s="24">
        <f t="shared" si="88"/>
        <v>0.02</v>
      </c>
      <c r="H506" s="676"/>
      <c r="I506" s="24">
        <f t="shared" si="89"/>
        <v>0</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0</v>
      </c>
      <c r="F507" s="676"/>
      <c r="G507" s="24">
        <f t="shared" si="88"/>
        <v>0.02</v>
      </c>
      <c r="H507" s="676"/>
      <c r="I507" s="24">
        <f t="shared" si="89"/>
        <v>0</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0</v>
      </c>
      <c r="F508" s="676"/>
      <c r="G508" s="24">
        <f t="shared" si="88"/>
        <v>0.02</v>
      </c>
      <c r="H508" s="676"/>
      <c r="I508" s="24">
        <f t="shared" si="89"/>
        <v>0</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0</v>
      </c>
      <c r="F509" s="676"/>
      <c r="G509" s="24">
        <f t="shared" si="88"/>
        <v>0.02</v>
      </c>
      <c r="H509" s="676"/>
      <c r="I509" s="24">
        <f t="shared" si="89"/>
        <v>0</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0</v>
      </c>
      <c r="F510" s="676"/>
      <c r="G510" s="24">
        <f t="shared" si="88"/>
        <v>0.02</v>
      </c>
      <c r="H510" s="676"/>
      <c r="I510" s="24">
        <f t="shared" si="89"/>
        <v>0</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0</v>
      </c>
      <c r="F511" s="676"/>
      <c r="G511" s="24">
        <f t="shared" si="88"/>
        <v>0.02</v>
      </c>
      <c r="H511" s="676"/>
      <c r="I511" s="24">
        <f t="shared" si="89"/>
        <v>0</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0</v>
      </c>
      <c r="F512" s="676"/>
      <c r="G512" s="24">
        <f t="shared" si="88"/>
        <v>0.02</v>
      </c>
      <c r="H512" s="676"/>
      <c r="I512" s="24">
        <f t="shared" si="89"/>
        <v>0</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0</v>
      </c>
      <c r="F513" s="676"/>
      <c r="G513" s="24">
        <f t="shared" si="88"/>
        <v>0.02</v>
      </c>
      <c r="H513" s="676"/>
      <c r="I513" s="24">
        <f t="shared" si="89"/>
        <v>0</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0</v>
      </c>
      <c r="F514" s="676"/>
      <c r="G514" s="24">
        <f t="shared" si="88"/>
        <v>0.02</v>
      </c>
      <c r="H514" s="676"/>
      <c r="I514" s="24">
        <f t="shared" si="89"/>
        <v>0</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0</v>
      </c>
      <c r="F515" s="676"/>
      <c r="G515" s="24">
        <f t="shared" si="88"/>
        <v>0.02</v>
      </c>
      <c r="H515" s="676"/>
      <c r="I515" s="24">
        <f t="shared" si="89"/>
        <v>0</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0</v>
      </c>
      <c r="F516" s="676"/>
      <c r="G516" s="24">
        <f t="shared" si="88"/>
        <v>0.02</v>
      </c>
      <c r="H516" s="676"/>
      <c r="I516" s="24">
        <f t="shared" si="89"/>
        <v>0</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0</v>
      </c>
      <c r="F517" s="676"/>
      <c r="G517" s="24">
        <f t="shared" si="88"/>
        <v>0.02</v>
      </c>
      <c r="H517" s="676"/>
      <c r="I517" s="24">
        <f t="shared" si="89"/>
        <v>0</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0</v>
      </c>
      <c r="F518" s="676"/>
      <c r="G518" s="24">
        <f t="shared" si="88"/>
        <v>0.02</v>
      </c>
      <c r="H518" s="676"/>
      <c r="I518" s="24">
        <f t="shared" si="89"/>
        <v>0</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0</v>
      </c>
      <c r="F519" s="676"/>
      <c r="G519" s="24">
        <f t="shared" si="88"/>
        <v>0.02</v>
      </c>
      <c r="H519" s="676"/>
      <c r="I519" s="24">
        <f t="shared" si="89"/>
        <v>0</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0</v>
      </c>
      <c r="F520" s="676"/>
      <c r="G520" s="24">
        <f t="shared" si="88"/>
        <v>0.02</v>
      </c>
      <c r="H520" s="676"/>
      <c r="I520" s="24">
        <f t="shared" si="89"/>
        <v>0</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0</v>
      </c>
      <c r="F521" s="676"/>
      <c r="G521" s="24">
        <f t="shared" si="88"/>
        <v>0.02</v>
      </c>
      <c r="H521" s="676"/>
      <c r="I521" s="24">
        <f t="shared" si="89"/>
        <v>0</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0</v>
      </c>
      <c r="F522" s="676"/>
      <c r="G522" s="24">
        <f t="shared" si="88"/>
        <v>0.02</v>
      </c>
      <c r="H522" s="676"/>
      <c r="I522" s="24">
        <f t="shared" si="89"/>
        <v>0</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0</v>
      </c>
      <c r="F523" s="676"/>
      <c r="G523" s="24">
        <f t="shared" si="88"/>
        <v>0.02</v>
      </c>
      <c r="H523" s="676"/>
      <c r="I523" s="24">
        <f t="shared" si="89"/>
        <v>0</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0</v>
      </c>
      <c r="F524" s="676"/>
      <c r="G524" s="24">
        <f t="shared" si="88"/>
        <v>0.02</v>
      </c>
      <c r="H524" s="676"/>
      <c r="I524" s="24">
        <f t="shared" si="89"/>
        <v>0</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J22" sqref="J22"/>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2" t="s">
        <v>2345</v>
      </c>
      <c r="B1" s="2043"/>
      <c r="C1" s="2043"/>
      <c r="D1" s="2043"/>
      <c r="E1" s="2044"/>
      <c r="F1" s="2923"/>
      <c r="G1" s="1664"/>
      <c r="H1" s="1664"/>
      <c r="I1" s="1664"/>
      <c r="J1" s="1664"/>
      <c r="K1" s="1664"/>
      <c r="L1" s="1664"/>
      <c r="M1" s="1664"/>
      <c r="N1" s="1664"/>
      <c r="O1" s="1664"/>
      <c r="P1" s="1664"/>
      <c r="Q1" s="1664"/>
      <c r="R1" s="1664"/>
      <c r="S1" s="1664"/>
    </row>
    <row r="2" spans="1:22" ht="15.75">
      <c r="A2" s="2045" t="s">
        <v>2146</v>
      </c>
      <c r="B2" s="2046">
        <f ca="1">SUMIF(B6:B13,"&lt;&gt;#ref!",B6:B13)</f>
        <v>1296</v>
      </c>
      <c r="C2" s="2047" t="s">
        <v>2338</v>
      </c>
      <c r="D2" s="2048" t="s">
        <v>2339</v>
      </c>
      <c r="E2" s="2821">
        <f>SUM(E6:E13)</f>
        <v>998.81000000000006</v>
      </c>
      <c r="F2" s="2923"/>
      <c r="G2" s="1664"/>
      <c r="H2" s="1664"/>
      <c r="I2" s="1664"/>
      <c r="J2" s="1664"/>
      <c r="K2" s="1664"/>
      <c r="L2" s="1664"/>
      <c r="M2" s="1664"/>
      <c r="N2" s="1664"/>
      <c r="O2" s="1664"/>
      <c r="P2" s="1664"/>
      <c r="Q2" s="1664"/>
      <c r="R2" s="1664"/>
      <c r="S2" s="1664"/>
    </row>
    <row r="3" spans="1:22" ht="15.75">
      <c r="A3" s="2045" t="s">
        <v>1360</v>
      </c>
      <c r="B3" s="2815">
        <f ca="1">ROUND(B2*10000/E2,0)</f>
        <v>12975</v>
      </c>
      <c r="C3" s="2047" t="s">
        <v>2346</v>
      </c>
      <c r="D3" s="2925"/>
      <c r="E3" s="2927"/>
      <c r="F3" s="2923"/>
      <c r="G3" s="1664"/>
      <c r="H3" s="1664"/>
      <c r="I3" s="1664"/>
      <c r="J3" s="1664"/>
      <c r="K3" s="1664"/>
      <c r="L3" s="1664"/>
      <c r="M3" s="1664"/>
      <c r="N3" s="1664"/>
      <c r="O3" s="1664"/>
      <c r="P3" s="1664"/>
      <c r="Q3" s="1664"/>
      <c r="R3" s="1664"/>
      <c r="S3" s="1664"/>
    </row>
    <row r="4" spans="1:22" ht="15.75">
      <c r="A4" s="2928"/>
      <c r="B4" s="2925"/>
      <c r="C4" s="2925"/>
      <c r="D4" s="2925"/>
      <c r="E4" s="2927"/>
      <c r="F4" s="2923"/>
      <c r="G4" s="1664"/>
      <c r="H4" s="1664"/>
      <c r="I4" s="1664"/>
      <c r="J4" s="1664"/>
      <c r="K4" s="1664"/>
      <c r="L4" s="1664"/>
      <c r="M4" s="1664"/>
      <c r="N4" s="1664"/>
      <c r="O4" s="1664"/>
      <c r="P4" s="1664"/>
      <c r="Q4" s="1664"/>
      <c r="R4" s="1664"/>
      <c r="S4" s="1664"/>
    </row>
    <row r="5" spans="1:22" ht="15">
      <c r="A5" s="2817" t="s">
        <v>2340</v>
      </c>
      <c r="B5" s="3473" t="s">
        <v>2341</v>
      </c>
      <c r="C5" s="3474"/>
      <c r="D5" s="2924"/>
      <c r="E5" s="2049" t="s">
        <v>2342</v>
      </c>
      <c r="F5" s="2050" t="s">
        <v>2343</v>
      </c>
      <c r="G5" s="1664"/>
      <c r="H5" s="1664"/>
      <c r="I5" s="1664"/>
      <c r="J5" s="1664"/>
      <c r="K5" s="1664"/>
      <c r="L5" s="1664"/>
      <c r="M5" s="1664"/>
      <c r="N5" s="1664"/>
      <c r="O5" s="1664"/>
      <c r="P5" s="1664"/>
      <c r="Q5" s="1664"/>
      <c r="R5" s="1664"/>
      <c r="S5" s="1664"/>
    </row>
    <row r="6" spans="1:22">
      <c r="A6" s="2818" t="str">
        <f>'数据-取费表'!AN6</f>
        <v>收益法-有租约</v>
      </c>
      <c r="B6" s="2816">
        <f ca="1">IF(F6="是",'数据-取费表'!AO6,0)</f>
        <v>713</v>
      </c>
      <c r="C6" s="2047" t="s">
        <v>2338</v>
      </c>
      <c r="D6" s="2925"/>
      <c r="E6" s="2820">
        <f>IF(OR(A6=0,F6="否"),0,'数据-取费表'!K6+'数据-取费表'!S6)</f>
        <v>641.44000000000005</v>
      </c>
      <c r="F6" s="2051" t="s">
        <v>2344</v>
      </c>
      <c r="G6" s="1664"/>
      <c r="H6" s="1664"/>
      <c r="I6" s="1664"/>
      <c r="J6" s="1664"/>
      <c r="K6" s="1664"/>
      <c r="L6" s="1664"/>
      <c r="M6" s="1664"/>
      <c r="N6" s="1664"/>
      <c r="O6" s="1664"/>
      <c r="P6" s="1664"/>
      <c r="Q6" s="1664"/>
      <c r="R6" s="1664"/>
      <c r="S6" s="1664"/>
    </row>
    <row r="7" spans="1:22">
      <c r="A7" s="2818" t="str">
        <f>'数据-取费表'!AN7</f>
        <v>收益法-无租约</v>
      </c>
      <c r="B7" s="2816">
        <f ca="1">IF(F7="是",'数据-取费表'!AO7,0)</f>
        <v>583</v>
      </c>
      <c r="C7" s="2047" t="s">
        <v>2338</v>
      </c>
      <c r="D7" s="2925"/>
      <c r="E7" s="2820">
        <f>IF(OR(A7=0,F7="否"),0,'数据-取费表'!K7+'数据-取费表'!S7)</f>
        <v>357.37</v>
      </c>
      <c r="F7" s="2051" t="s">
        <v>2344</v>
      </c>
      <c r="G7" s="1664"/>
      <c r="H7" s="1664"/>
      <c r="I7" s="1664"/>
      <c r="J7" s="1664"/>
      <c r="K7" s="1664"/>
      <c r="L7" s="1664"/>
      <c r="M7" s="1664"/>
      <c r="N7" s="1664"/>
      <c r="O7" s="1664"/>
      <c r="P7" s="1664"/>
      <c r="Q7" s="1664"/>
      <c r="R7" s="1664"/>
      <c r="S7" s="1664"/>
    </row>
    <row r="8" spans="1:22">
      <c r="A8" s="2818">
        <f>'数据-取费表'!AN8</f>
        <v>0</v>
      </c>
      <c r="B8" s="2816">
        <f>IF(F8="是",'数据-取费表'!AO8,0)</f>
        <v>0</v>
      </c>
      <c r="C8" s="2047" t="s">
        <v>2338</v>
      </c>
      <c r="D8" s="2925"/>
      <c r="E8" s="2820">
        <f>IF(OR(A8=0,F8="否"),0,'数据-取费表'!K8+'数据-取费表'!S8)</f>
        <v>0</v>
      </c>
      <c r="F8" s="2051"/>
      <c r="G8" s="1664"/>
      <c r="H8" s="1664"/>
      <c r="I8" s="1664"/>
      <c r="J8" s="1664"/>
      <c r="K8" s="1664"/>
      <c r="L8" s="1664"/>
      <c r="M8" s="1664"/>
      <c r="N8" s="1664"/>
      <c r="O8" s="1664"/>
      <c r="P8" s="1664"/>
      <c r="Q8" s="1664"/>
      <c r="R8" s="1664"/>
      <c r="S8" s="1664"/>
    </row>
    <row r="9" spans="1:22">
      <c r="A9" s="2818">
        <f>'数据-取费表'!AN9</f>
        <v>0</v>
      </c>
      <c r="B9" s="2816">
        <f>IF(F9="是",'数据-取费表'!AO9,0)</f>
        <v>0</v>
      </c>
      <c r="C9" s="2047" t="s">
        <v>2338</v>
      </c>
      <c r="D9" s="2925"/>
      <c r="E9" s="2820">
        <f>IF(OR(A9=0,F9="否"),0,'数据-取费表'!K9+'数据-取费表'!S9)</f>
        <v>0</v>
      </c>
      <c r="F9" s="2051"/>
      <c r="G9" s="1664"/>
      <c r="H9" s="1664"/>
      <c r="I9" s="1664"/>
      <c r="J9" s="1664"/>
      <c r="K9" s="1664"/>
      <c r="L9" s="1664"/>
      <c r="M9" s="1664"/>
      <c r="N9" s="1664"/>
      <c r="O9" s="1664"/>
      <c r="P9" s="1664"/>
      <c r="Q9" s="1664"/>
      <c r="R9" s="1664"/>
      <c r="S9" s="1664"/>
    </row>
    <row r="10" spans="1:22">
      <c r="A10" s="2818">
        <f>'数据-取费表'!AN10</f>
        <v>0</v>
      </c>
      <c r="B10" s="2816">
        <f>IF(F10="是",'数据-取费表'!AO10,0)</f>
        <v>0</v>
      </c>
      <c r="C10" s="2047" t="s">
        <v>2338</v>
      </c>
      <c r="D10" s="2925"/>
      <c r="E10" s="2820">
        <f>IF(OR(A10=0,F10="否"),0,'数据-取费表'!K10+'数据-取费表'!S10)</f>
        <v>0</v>
      </c>
      <c r="F10" s="2051"/>
      <c r="G10" s="1664"/>
      <c r="H10" s="1664"/>
      <c r="I10" s="1664"/>
      <c r="J10" s="1664"/>
      <c r="K10" s="1664"/>
      <c r="L10" s="1664"/>
      <c r="M10" s="1664"/>
      <c r="N10" s="1664"/>
      <c r="O10" s="1664"/>
      <c r="P10" s="1664"/>
      <c r="Q10" s="1664"/>
      <c r="R10" s="1664"/>
      <c r="S10" s="1664"/>
    </row>
    <row r="11" spans="1:22">
      <c r="A11" s="2818">
        <f>'数据-取费表'!AN11</f>
        <v>0</v>
      </c>
      <c r="B11" s="2816">
        <f>IF(F11="是",'数据-取费表'!AO11,0)</f>
        <v>0</v>
      </c>
      <c r="C11" s="2047" t="s">
        <v>2338</v>
      </c>
      <c r="D11" s="2925"/>
      <c r="E11" s="2820">
        <f>IF(OR(A11=0,F11="否"),0,'数据-取费表'!K11+'数据-取费表'!S11)</f>
        <v>0</v>
      </c>
      <c r="F11" s="2051"/>
      <c r="G11" s="1664"/>
      <c r="H11" s="1664"/>
      <c r="I11" s="1664"/>
      <c r="J11" s="1664"/>
      <c r="K11" s="1664"/>
      <c r="L11" s="1664"/>
      <c r="M11" s="1664"/>
      <c r="N11" s="1664"/>
      <c r="O11" s="1664"/>
      <c r="P11" s="1664"/>
      <c r="Q11" s="1664"/>
      <c r="R11" s="1664"/>
      <c r="S11" s="1664"/>
    </row>
    <row r="12" spans="1:22">
      <c r="A12" s="2818">
        <f>'数据-取费表'!AN12</f>
        <v>0</v>
      </c>
      <c r="B12" s="2816">
        <f>IF(F12="是",'数据-取费表'!AO12,0)</f>
        <v>0</v>
      </c>
      <c r="C12" s="2047" t="s">
        <v>2338</v>
      </c>
      <c r="D12" s="2925"/>
      <c r="E12" s="2820">
        <f>IF(OR(A12=0,F12="否"),0,'数据-取费表'!K12+'数据-取费表'!S12)</f>
        <v>0</v>
      </c>
      <c r="F12" s="2051"/>
      <c r="G12" s="1664"/>
      <c r="H12" s="1664"/>
      <c r="I12" s="1664"/>
      <c r="J12" s="1664"/>
      <c r="K12" s="1664"/>
      <c r="L12" s="1664"/>
      <c r="M12" s="1664"/>
      <c r="N12" s="1664"/>
      <c r="O12" s="1664"/>
      <c r="P12" s="1664"/>
      <c r="Q12" s="1664"/>
      <c r="R12" s="1664"/>
      <c r="S12" s="1664"/>
    </row>
    <row r="13" spans="1:22" ht="15" thickBot="1">
      <c r="A13" s="2819">
        <f>'数据-取费表'!AN13</f>
        <v>0</v>
      </c>
      <c r="B13" s="2816">
        <f>IF(F13="是",'数据-取费表'!AO13,0)</f>
        <v>0</v>
      </c>
      <c r="C13" s="2052" t="s">
        <v>2338</v>
      </c>
      <c r="D13" s="2926"/>
      <c r="E13" s="2820">
        <f>IF(OR(A13=0,F13="否"),0,'数据-取费表'!K13+'数据-取费表'!S13)</f>
        <v>0</v>
      </c>
      <c r="F13" s="2051"/>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3445</v>
      </c>
      <c r="D1" s="1536" t="s">
        <v>70</v>
      </c>
      <c r="E1" s="1537" t="s">
        <v>1352</v>
      </c>
      <c r="F1" s="1185">
        <f ca="1">J53</f>
        <v>32</v>
      </c>
      <c r="G1" s="1552">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f ca="1">C40+J29+L46</f>
        <v>713</v>
      </c>
      <c r="C2" s="1561" t="s">
        <v>1481</v>
      </c>
      <c r="D2" s="1561"/>
      <c r="E2" s="1562"/>
      <c r="F2" s="1563"/>
      <c r="G2" s="2922"/>
      <c r="H2" s="2911"/>
      <c r="I2" s="2911"/>
      <c r="J2" s="2911"/>
      <c r="K2" s="2912"/>
      <c r="L2" s="2911"/>
      <c r="M2" s="2911"/>
    </row>
    <row r="3" spans="1:37" ht="18" customHeight="1" thickBot="1">
      <c r="A3" s="1564" t="s">
        <v>1482</v>
      </c>
      <c r="B3" s="1565">
        <f ca="1">IF(ISERROR(B2*10000/F43),0,ROUND(B2*10000/F43,0))</f>
        <v>11116</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f ca="1">C6+C10+C12</f>
        <v>49</v>
      </c>
      <c r="D5" s="1538" t="s">
        <v>1367</v>
      </c>
      <c r="E5" s="1195"/>
      <c r="F5" s="1196"/>
      <c r="G5" s="1558"/>
      <c r="H5" s="305">
        <v>1</v>
      </c>
      <c r="I5" s="306" t="s">
        <v>1366</v>
      </c>
      <c r="J5" s="1194">
        <f ca="1">J6+J10+J12</f>
        <v>67</v>
      </c>
      <c r="K5" s="1538" t="s">
        <v>1367</v>
      </c>
      <c r="L5" s="1195"/>
      <c r="M5" s="1196"/>
    </row>
    <row r="6" spans="1:37" ht="18" customHeight="1">
      <c r="A6" s="1193" t="s">
        <v>1003</v>
      </c>
      <c r="B6" s="3475" t="s">
        <v>1368</v>
      </c>
      <c r="C6" s="1198">
        <f ca="1">ROUND(F6*F8*F7*(1-F9)/10000,0)</f>
        <v>49</v>
      </c>
      <c r="D6" s="160" t="s">
        <v>2842</v>
      </c>
      <c r="E6" s="308" t="s">
        <v>1370</v>
      </c>
      <c r="F6" s="309">
        <f ca="1">INDIRECT("'数据-取费表'!u"&amp;$G$1)</f>
        <v>2.1</v>
      </c>
      <c r="G6" s="1558"/>
      <c r="H6" s="1193" t="s">
        <v>1003</v>
      </c>
      <c r="I6" s="3475" t="s">
        <v>1368</v>
      </c>
      <c r="J6" s="307">
        <f ca="1">ROUND(M6*M8*M7*(1-M9)/10000,0)</f>
        <v>67</v>
      </c>
      <c r="K6" s="160" t="s">
        <v>2841</v>
      </c>
      <c r="L6" s="308" t="s">
        <v>1370</v>
      </c>
      <c r="M6" s="309">
        <f ca="1">INDIRECT("'数据-取费表'!z"&amp;$G$1)</f>
        <v>3.2</v>
      </c>
    </row>
    <row r="7" spans="1:37" ht="18" customHeight="1">
      <c r="A7" s="1197"/>
      <c r="B7" s="3476"/>
      <c r="C7" s="1199"/>
      <c r="D7" s="313"/>
      <c r="E7" s="3062" t="s">
        <v>1371</v>
      </c>
      <c r="F7" s="309">
        <f ca="1">IF(INDIRECT("'数据-取费表'!ah"&amp;$G$1)="",INDIRECT("'数据-取费表'!k"&amp;$G$1),INDIRECT("'数据-取费表'!ah"&amp;$G$1))</f>
        <v>641.44000000000005</v>
      </c>
      <c r="G7" s="1558"/>
      <c r="H7" s="310"/>
      <c r="I7" s="3476"/>
      <c r="J7" s="312"/>
      <c r="K7" s="313"/>
      <c r="L7" s="308" t="s">
        <v>1371</v>
      </c>
      <c r="M7" s="309">
        <f ca="1">F7</f>
        <v>641.44000000000005</v>
      </c>
    </row>
    <row r="8" spans="1:37" ht="18" customHeight="1">
      <c r="A8" s="310"/>
      <c r="B8" s="3476"/>
      <c r="C8" s="312"/>
      <c r="D8" s="313"/>
      <c r="E8" s="308" t="s">
        <v>1372</v>
      </c>
      <c r="F8" s="309">
        <f ca="1">INDIRECT("'数据-取费表'!ai"&amp;$G$1)</f>
        <v>365</v>
      </c>
      <c r="G8" s="1558"/>
      <c r="H8" s="310"/>
      <c r="I8" s="3476"/>
      <c r="J8" s="312"/>
      <c r="K8" s="313"/>
      <c r="L8" s="308" t="s">
        <v>1372</v>
      </c>
      <c r="M8" s="309">
        <f ca="1">INDIRECT("'数据-取费表'!ai"&amp;$G$1)</f>
        <v>365</v>
      </c>
    </row>
    <row r="9" spans="1:37" ht="18" customHeight="1">
      <c r="A9" s="310"/>
      <c r="B9" s="3477"/>
      <c r="C9" s="312"/>
      <c r="D9" s="313"/>
      <c r="E9" s="308" t="s">
        <v>1373</v>
      </c>
      <c r="F9" s="318">
        <f ca="1">INDIRECT("'数据-取费表'!w"&amp;$G$1)</f>
        <v>0</v>
      </c>
      <c r="G9" s="1558"/>
      <c r="H9" s="310"/>
      <c r="I9" s="3477"/>
      <c r="J9" s="312"/>
      <c r="K9" s="313"/>
      <c r="L9" s="319" t="s">
        <v>1373</v>
      </c>
      <c r="M9" s="320">
        <f ca="1">INDIRECT("'数据-取费表'!ab"&amp;$G$1)</f>
        <v>0.1</v>
      </c>
    </row>
    <row r="10" spans="1:37" ht="18" customHeight="1">
      <c r="A10" s="1193" t="s">
        <v>1007</v>
      </c>
      <c r="B10" s="1539" t="s">
        <v>1374</v>
      </c>
      <c r="C10" s="322">
        <f ca="1">ROUND(IF(F10="押一",C6/12*F11,IF(F10="押二",C6/12*2*F11,IF(F10="押三",C6/12*3*F11,C11*F11))),0)</f>
        <v>0</v>
      </c>
      <c r="D10" s="1540" t="s">
        <v>2849</v>
      </c>
      <c r="E10" s="319" t="s">
        <v>1375</v>
      </c>
      <c r="F10" s="1268" t="s">
        <v>3275</v>
      </c>
      <c r="G10" s="1558"/>
      <c r="H10" s="1193" t="s">
        <v>1007</v>
      </c>
      <c r="I10" s="1539" t="s">
        <v>1374</v>
      </c>
      <c r="J10" s="307">
        <f ca="1">ROUND(IF(M10="押一",J6/12*M11,IF(M10="押二",J6/12*2*M11,IF(M10="押三",J6/12*3*M11,J11*M11))),0)</f>
        <v>0</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300</v>
      </c>
      <c r="D13" s="3054" t="s">
        <v>1380</v>
      </c>
      <c r="E13" s="3054" t="s">
        <v>1381</v>
      </c>
      <c r="F13" s="1234">
        <f ca="1">INDIRECT("'数据-取费表'!y"&amp;$G$1)</f>
        <v>0.9</v>
      </c>
      <c r="G13" s="1558"/>
      <c r="H13" s="1231">
        <v>2</v>
      </c>
      <c r="I13" s="1232" t="s">
        <v>1379</v>
      </c>
      <c r="J13" s="1192">
        <f ca="1">ROUND(J14*J15,0)</f>
        <v>243</v>
      </c>
      <c r="K13" s="1239" t="s">
        <v>1380</v>
      </c>
      <c r="L13" s="1566"/>
      <c r="M13" s="1567"/>
    </row>
    <row r="14" spans="1:37" ht="18" customHeight="1">
      <c r="A14" s="1106" t="s">
        <v>1002</v>
      </c>
      <c r="B14" s="308" t="s">
        <v>1382</v>
      </c>
      <c r="C14" s="324">
        <f ca="1">INDIRECT("'数据-取费表'!m"&amp;$G$1)+INDIRECT("'数据-取费表'!t"&amp;$G$1)</f>
        <v>225</v>
      </c>
      <c r="D14" s="3058" t="s">
        <v>1383</v>
      </c>
      <c r="E14" s="3056"/>
      <c r="F14" s="325"/>
      <c r="G14" s="1558"/>
      <c r="H14" s="1106" t="s">
        <v>1003</v>
      </c>
      <c r="I14" s="308" t="s">
        <v>1384</v>
      </c>
      <c r="J14" s="24">
        <f ca="1">C29</f>
        <v>333</v>
      </c>
      <c r="K14" s="3061"/>
      <c r="L14" s="910"/>
      <c r="M14" s="911"/>
    </row>
    <row r="15" spans="1:37" s="1571" customFormat="1" ht="18" customHeight="1" thickBot="1">
      <c r="A15" s="1106" t="s">
        <v>1004</v>
      </c>
      <c r="B15" s="308" t="s">
        <v>1385</v>
      </c>
      <c r="C15" s="24">
        <f ca="1">ROUND(C14*F15,0)</f>
        <v>11</v>
      </c>
      <c r="D15" s="3055" t="s">
        <v>1386</v>
      </c>
      <c r="E15" s="3055" t="s">
        <v>1387</v>
      </c>
      <c r="F15" s="327">
        <f>'数据-取费表'!B33</f>
        <v>0.05</v>
      </c>
      <c r="G15" s="1570"/>
      <c r="H15" s="1241" t="s">
        <v>1007</v>
      </c>
      <c r="I15" s="1242" t="s">
        <v>1381</v>
      </c>
      <c r="J15" s="1251">
        <f ca="1">INDIRECT("'数据-取费表'!ad"&amp;$G$1)</f>
        <v>0.73</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58"/>
      <c r="H16" s="1231" t="s">
        <v>998</v>
      </c>
      <c r="I16" s="1232" t="s">
        <v>1389</v>
      </c>
      <c r="J16" s="316">
        <f ca="1">ROUND(J17+J22+J23+J24,0)</f>
        <v>15</v>
      </c>
      <c r="K16" s="1239" t="s">
        <v>1390</v>
      </c>
      <c r="L16" s="3059"/>
      <c r="M16" s="1196"/>
    </row>
    <row r="17" spans="1:37" s="1571" customFormat="1" ht="18" customHeight="1">
      <c r="A17" s="1106" t="s">
        <v>1355</v>
      </c>
      <c r="B17" s="308" t="s">
        <v>1391</v>
      </c>
      <c r="C17" s="24">
        <f ca="1">ROUND(F17*(F43+INDIRECT("'数据-取费表'!S"&amp;$G$1))/10000,0)</f>
        <v>13</v>
      </c>
      <c r="D17" s="308" t="s">
        <v>1392</v>
      </c>
      <c r="E17" s="308" t="s">
        <v>1393</v>
      </c>
      <c r="F17" s="26">
        <f>'数据-取费表'!B35</f>
        <v>200</v>
      </c>
      <c r="G17" s="1570"/>
      <c r="H17" s="1106" t="s">
        <v>1003</v>
      </c>
      <c r="I17" s="308" t="s">
        <v>1394</v>
      </c>
      <c r="J17" s="2523">
        <f ca="1">ROUND(IF(AND(项目基本情况!B11="自然人",项目基本情况!B10="北京市"),J6*M17/(1+'数据-取费表'!C42),J18+J19+J20),0)</f>
        <v>11</v>
      </c>
      <c r="K17" s="3058" t="s">
        <v>1395</v>
      </c>
      <c r="L17" s="3057"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3</v>
      </c>
      <c r="D18" s="308" t="s">
        <v>1386</v>
      </c>
      <c r="E18" s="308" t="s">
        <v>1387</v>
      </c>
      <c r="F18" s="328">
        <f>'数据-取费表'!B36</f>
        <v>1.4999999999999999E-2</v>
      </c>
      <c r="G18" s="1570"/>
      <c r="H18" s="1106" t="s">
        <v>1002</v>
      </c>
      <c r="I18" s="308" t="s">
        <v>1398</v>
      </c>
      <c r="J18" s="24">
        <f ca="1">ROUND(J6*M18/(1+'数据-取费表'!C42),2)</f>
        <v>3.57</v>
      </c>
      <c r="K18" s="3057"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252</v>
      </c>
      <c r="D19" s="136" t="s">
        <v>1401</v>
      </c>
      <c r="E19" s="3064"/>
      <c r="F19" s="26"/>
      <c r="G19" s="1558"/>
      <c r="H19" s="1106" t="s">
        <v>1004</v>
      </c>
      <c r="I19" s="308" t="s">
        <v>1402</v>
      </c>
      <c r="J19" s="24">
        <f ca="1">IF(K19="按租金收入计税",ROUND(J6*M19/(1+'数据-取费表'!C42),2),ROUND(C29*M19*0.7,2))</f>
        <v>7.66</v>
      </c>
      <c r="K19" s="1544" t="s">
        <v>3276</v>
      </c>
      <c r="L19" s="308" t="s">
        <v>1387</v>
      </c>
      <c r="M19" s="328">
        <f>IF(K19="按租金收入计税",'数据-取费表'!B51,'数据-取费表'!B50)</f>
        <v>0.12</v>
      </c>
    </row>
    <row r="20" spans="1:37" s="1571" customFormat="1" ht="18" customHeight="1">
      <c r="A20" s="1106" t="s">
        <v>1007</v>
      </c>
      <c r="B20" s="308" t="s">
        <v>1404</v>
      </c>
      <c r="C20" s="24">
        <f ca="1">ROUND(C19*F20,0)</f>
        <v>5</v>
      </c>
      <c r="D20" s="329" t="s">
        <v>1405</v>
      </c>
      <c r="E20" s="308" t="s">
        <v>1387</v>
      </c>
      <c r="F20" s="328">
        <f>'数据-取费表'!B37</f>
        <v>0.02</v>
      </c>
      <c r="G20" s="1570"/>
      <c r="H20" s="1106" t="s">
        <v>1354</v>
      </c>
      <c r="I20" s="160" t="s">
        <v>1406</v>
      </c>
      <c r="J20" s="25">
        <f ca="1">ROUND(M20*M21/10000,2)</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4"/>
      <c r="F22" s="26"/>
      <c r="G22" s="1558"/>
      <c r="H22" s="1106" t="s">
        <v>1007</v>
      </c>
      <c r="I22" s="308" t="s">
        <v>1414</v>
      </c>
      <c r="J22" s="24">
        <f ca="1">ROUND(J14*M22,1)</f>
        <v>3.3</v>
      </c>
      <c r="K22" s="3057" t="s">
        <v>1415</v>
      </c>
      <c r="L22" s="308" t="s">
        <v>1387</v>
      </c>
      <c r="M22" s="334">
        <f ca="1">INDIRECT("'数据-取费表'!Ak"&amp;$G$1)</f>
        <v>0.01</v>
      </c>
    </row>
    <row r="23" spans="1:37" s="1571" customFormat="1" ht="18" customHeight="1">
      <c r="A23" s="1106"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ROUND(J13*M23,1)</f>
        <v>0.4</v>
      </c>
      <c r="K23" s="3057" t="s">
        <v>1419</v>
      </c>
      <c r="L23" s="308" t="s">
        <v>1387</v>
      </c>
      <c r="M23" s="336">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f ca="1">ROUND(J5*M24,1)</f>
        <v>0.7</v>
      </c>
      <c r="K24" s="1244" t="s">
        <v>1424</v>
      </c>
      <c r="L24" s="1242" t="s">
        <v>1387</v>
      </c>
      <c r="M24" s="1238">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064"/>
      <c r="F25" s="26"/>
      <c r="G25" s="1558"/>
      <c r="H25" s="1231" t="s">
        <v>999</v>
      </c>
      <c r="I25" s="1246" t="s">
        <v>1428</v>
      </c>
      <c r="J25" s="316">
        <f ca="1">J5-J16</f>
        <v>52</v>
      </c>
      <c r="K25" s="1247" t="s">
        <v>1429</v>
      </c>
      <c r="L25" s="1248"/>
      <c r="M25" s="1249"/>
    </row>
    <row r="26" spans="1:37">
      <c r="A26" s="1106" t="s">
        <v>1002</v>
      </c>
      <c r="B26" s="308" t="s">
        <v>1430</v>
      </c>
      <c r="C26" s="24">
        <f ca="1">ROUND((C19+C20)*F26,0)</f>
        <v>39</v>
      </c>
      <c r="D26" s="329" t="s">
        <v>1431</v>
      </c>
      <c r="E26" s="319" t="s">
        <v>1432</v>
      </c>
      <c r="F26" s="318">
        <f ca="1">INDIRECT("'数据-取费表'!q"&amp;$G$1)</f>
        <v>0.15</v>
      </c>
      <c r="G26" s="1558"/>
      <c r="H26" s="305" t="s">
        <v>1000</v>
      </c>
      <c r="I26" s="306" t="s">
        <v>1433</v>
      </c>
      <c r="J26" s="307">
        <f ca="1">IF(J5&lt;&gt;0,ROUND(J25*(1-((1+M28)/(1+M26))^M27)/(M26-M28),0),0)</f>
        <v>785</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055"/>
      <c r="F27" s="327"/>
      <c r="G27" s="1558"/>
      <c r="H27" s="310"/>
      <c r="I27" s="311"/>
      <c r="J27" s="312"/>
      <c r="K27" s="338" t="s">
        <v>1438</v>
      </c>
      <c r="L27" s="308" t="s">
        <v>1439</v>
      </c>
      <c r="M27" s="339">
        <f ca="1">INDIRECT("'数据-取费表'!ag"&amp;$G$1)</f>
        <v>22.4</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2.5000000000000001E-2</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333</v>
      </c>
      <c r="D29" s="1244"/>
      <c r="E29" s="1242"/>
      <c r="F29" s="1245"/>
      <c r="G29" s="1570"/>
      <c r="H29" s="340" t="s">
        <v>1001</v>
      </c>
      <c r="I29" s="341" t="s">
        <v>1444</v>
      </c>
      <c r="J29" s="342">
        <f ca="1">ROUND(J26/(1+F40)^F41,0)</f>
        <v>449</v>
      </c>
      <c r="K29" s="343" t="s">
        <v>1445</v>
      </c>
      <c r="L29" s="344"/>
      <c r="M29" s="345">
        <f ca="1">INDIRECT("'数据-取费表'!k"&amp;$G$1)</f>
        <v>641.44000000000005</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12</v>
      </c>
      <c r="D30" s="1239" t="s">
        <v>1390</v>
      </c>
      <c r="E30" s="3059"/>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8</v>
      </c>
      <c r="D31" s="3058" t="s">
        <v>1395</v>
      </c>
      <c r="E31" s="3057"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IF(项目基本情况!B11="自然人","——",ROUND(C6*F32/(1+'数据-取费表'!C42),2))</f>
        <v>2.61</v>
      </c>
      <c r="D32" s="3057"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IF(项目基本情况!B11="自然人","——",IF(D33="按租金收入计税",ROUND(C6*F33/(1+'数据-取费表'!C42),2),IF(D33="按房产原值计税",ROUND(C29*F33*0.7,2),INDIRECT("'数据-取费表'!Aj"&amp;$G$1))))</f>
        <v>5.6</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f ca="1">IF(项目基本情况!B11="自然人","——",ROUND(F34*F35/10000,2))</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ROUND(C29*F36,1)</f>
        <v>3.3</v>
      </c>
      <c r="D36" s="3057" t="s">
        <v>1447</v>
      </c>
      <c r="E36" s="308" t="s">
        <v>1387</v>
      </c>
      <c r="F36" s="334">
        <f ca="1">INDIRECT("'数据-取费表'!Ak"&amp;$G$1)</f>
        <v>0.01</v>
      </c>
      <c r="G36" s="1558"/>
      <c r="H36" s="2916"/>
      <c r="I36" s="1572"/>
      <c r="J36" s="1573"/>
      <c r="K36" s="2758"/>
      <c r="L36" s="2916"/>
      <c r="M36" s="2916"/>
    </row>
    <row r="37" spans="1:18" ht="18" customHeight="1">
      <c r="A37" s="1106" t="s">
        <v>1043</v>
      </c>
      <c r="B37" s="308" t="s">
        <v>1418</v>
      </c>
      <c r="C37" s="24">
        <f ca="1">ROUND(C13*F37,1)</f>
        <v>0.5</v>
      </c>
      <c r="D37" s="3057" t="s">
        <v>1419</v>
      </c>
      <c r="E37" s="308" t="s">
        <v>1387</v>
      </c>
      <c r="F37" s="336">
        <f ca="1">INDIRECT("'数据-取费表'!Al"&amp;$G$1)</f>
        <v>1.5E-3</v>
      </c>
      <c r="G37" s="1558"/>
      <c r="H37" s="2916"/>
      <c r="I37" s="1572"/>
      <c r="J37" s="1573"/>
      <c r="K37" s="2758"/>
      <c r="L37" s="2916"/>
      <c r="M37" s="2916"/>
    </row>
    <row r="38" spans="1:18" ht="18" customHeight="1" thickBot="1">
      <c r="A38" s="1241" t="s">
        <v>1357</v>
      </c>
      <c r="B38" s="1242" t="s">
        <v>1404</v>
      </c>
      <c r="C38" s="1243">
        <f ca="1">ROUND(C5*F38,1)</f>
        <v>0.5</v>
      </c>
      <c r="D38" s="1244" t="s">
        <v>1424</v>
      </c>
      <c r="E38" s="1242" t="s">
        <v>1387</v>
      </c>
      <c r="F38" s="1238">
        <f ca="1">INDIRECT("'数据-取费表'!Am"&amp;$G$1)</f>
        <v>0.01</v>
      </c>
      <c r="G38" s="1558"/>
      <c r="H38" s="2916"/>
      <c r="I38" s="1572"/>
      <c r="J38" s="1573"/>
      <c r="K38" s="2920"/>
      <c r="L38" s="2916"/>
      <c r="M38" s="2916"/>
    </row>
    <row r="39" spans="1:18" ht="24.6" customHeight="1" thickTop="1">
      <c r="A39" s="1231" t="s">
        <v>999</v>
      </c>
      <c r="B39" s="1246" t="s">
        <v>1428</v>
      </c>
      <c r="C39" s="316">
        <f ca="1">C5-C30</f>
        <v>37</v>
      </c>
      <c r="D39" s="1247" t="s">
        <v>1429</v>
      </c>
      <c r="E39" s="1248"/>
      <c r="F39" s="1249"/>
      <c r="G39" s="1558"/>
      <c r="H39" s="2916"/>
      <c r="I39" s="1572"/>
      <c r="J39" s="1573"/>
      <c r="K39" s="2920"/>
      <c r="L39" s="2916"/>
      <c r="M39" s="2916"/>
    </row>
    <row r="40" spans="1:18" ht="18" customHeight="1">
      <c r="A40" s="305" t="s">
        <v>1000</v>
      </c>
      <c r="B40" s="306" t="s">
        <v>1450</v>
      </c>
      <c r="C40" s="307">
        <f ca="1">ROUND(C39*(1-((1+F42)/(1+F40))^F41)/(F40-F42),0)</f>
        <v>264</v>
      </c>
      <c r="D40" s="330" t="s">
        <v>1434</v>
      </c>
      <c r="E40" s="308" t="s">
        <v>1435</v>
      </c>
      <c r="F40" s="318">
        <f ca="1">INDIRECT("'数据-取费表'!I"&amp;$G$1)</f>
        <v>0.06</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9.6</v>
      </c>
      <c r="G41" s="1558"/>
      <c r="H41" s="1344"/>
      <c r="I41" s="1572"/>
      <c r="J41" s="1573"/>
      <c r="K41" s="2758"/>
      <c r="L41" s="1344"/>
      <c r="M41" s="1344"/>
    </row>
    <row r="42" spans="1:18" ht="18" customHeight="1">
      <c r="A42" s="314"/>
      <c r="B42" s="315"/>
      <c r="C42" s="316"/>
      <c r="D42" s="333"/>
      <c r="E42" s="308" t="s">
        <v>1442</v>
      </c>
      <c r="F42" s="318">
        <f ca="1">INDIRECT("'数据-取费表'!v"&amp;$G$1)</f>
        <v>0</v>
      </c>
      <c r="G42" s="1558"/>
      <c r="H42" s="1344"/>
      <c r="I42" s="1572"/>
      <c r="J42" s="1573"/>
      <c r="K42" s="2758"/>
      <c r="L42" s="1344"/>
      <c r="M42" s="1344"/>
    </row>
    <row r="43" spans="1:18" ht="18" customHeight="1" thickBot="1">
      <c r="A43" s="340" t="s">
        <v>1001</v>
      </c>
      <c r="B43" s="341" t="s">
        <v>1452</v>
      </c>
      <c r="C43" s="342">
        <f ca="1">ROUND(C40*10000/F43,0)</f>
        <v>4116</v>
      </c>
      <c r="D43" s="343" t="s">
        <v>1453</v>
      </c>
      <c r="E43" s="344" t="s">
        <v>1454</v>
      </c>
      <c r="F43" s="345">
        <f ca="1">INDIRECT("'数据-取费表'!k"&amp;$G$1)</f>
        <v>641.44000000000005</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f ca="1">C68-C40</f>
        <v>51</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f ca="1">INDIRECT("'数据-取费表'!d"&amp;$G$1)</f>
        <v>40</v>
      </c>
      <c r="M47" s="1554" t="str">
        <f>IF(ISNUMBER(FIND("住宅",C1)),"住宅","非住宅")</f>
        <v>非住宅</v>
      </c>
      <c r="O47" s="1592" t="s">
        <v>1008</v>
      </c>
      <c r="P47" s="1593" t="s">
        <v>1493</v>
      </c>
      <c r="Q47" s="1594">
        <f ca="1">C40+J29</f>
        <v>713</v>
      </c>
      <c r="R47" s="1594" t="s">
        <v>1494</v>
      </c>
    </row>
    <row r="48" spans="1:18" s="1558" customFormat="1" ht="28.5" thickBot="1">
      <c r="A48" s="1262" t="s">
        <v>1103</v>
      </c>
      <c r="B48" s="306" t="s">
        <v>1366</v>
      </c>
      <c r="C48" s="3063">
        <f ca="1">C49+C53+C55</f>
        <v>53</v>
      </c>
      <c r="D48" s="1264"/>
      <c r="E48" s="1265"/>
      <c r="F48" s="1086"/>
      <c r="G48" s="731"/>
      <c r="H48" s="732"/>
      <c r="I48" s="1595" t="s">
        <v>1495</v>
      </c>
      <c r="J48" s="1596" t="s">
        <v>3274</v>
      </c>
      <c r="K48" s="1597" t="s">
        <v>1496</v>
      </c>
      <c r="L48" s="1598">
        <f ca="1">INDIRECT("'数据-取费表'!f"&amp;$G$1)</f>
        <v>32</v>
      </c>
      <c r="O48" s="1592" t="s">
        <v>1009</v>
      </c>
      <c r="P48" s="1593" t="s">
        <v>1497</v>
      </c>
      <c r="Q48" s="1594" t="str">
        <f ca="1">J60</f>
        <v>0</v>
      </c>
      <c r="R48" s="1594" t="s">
        <v>1498</v>
      </c>
    </row>
    <row r="49" spans="1:18" s="1558" customFormat="1" ht="13.5" thickBot="1">
      <c r="A49" s="1099" t="s">
        <v>1104</v>
      </c>
      <c r="B49" s="1545" t="s">
        <v>1455</v>
      </c>
      <c r="C49" s="1266">
        <f ca="1">ROUND(F49*F51*F50*(1-F52)/10000,0)</f>
        <v>53</v>
      </c>
      <c r="D49" s="1178" t="s">
        <v>2841</v>
      </c>
      <c r="E49" s="1546" t="s">
        <v>1456</v>
      </c>
      <c r="F49" s="1183">
        <v>2.5</v>
      </c>
      <c r="G49" s="1599"/>
      <c r="H49" s="732"/>
      <c r="I49" s="1595" t="s">
        <v>1499</v>
      </c>
      <c r="J49" s="1600"/>
      <c r="K49" s="1597" t="s">
        <v>1500</v>
      </c>
      <c r="L49" s="1601"/>
      <c r="O49" s="1602" t="s">
        <v>1010</v>
      </c>
      <c r="P49" s="1593" t="s">
        <v>1501</v>
      </c>
      <c r="Q49" s="1594">
        <f ca="1">C29</f>
        <v>333</v>
      </c>
      <c r="R49" s="1594" t="s">
        <v>1494</v>
      </c>
    </row>
    <row r="50" spans="1:18" s="1558" customFormat="1" ht="13.5" thickBot="1">
      <c r="A50" s="1100"/>
      <c r="B50" s="1103"/>
      <c r="C50" s="1270"/>
      <c r="D50" s="1077"/>
      <c r="E50" s="1179" t="s">
        <v>1371</v>
      </c>
      <c r="F50" s="1180">
        <f ca="1">F7</f>
        <v>641.44000000000005</v>
      </c>
      <c r="H50" s="732"/>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101"/>
      <c r="B51" s="1103"/>
      <c r="C51" s="1104"/>
      <c r="D51" s="1077"/>
      <c r="E51" s="1105" t="s">
        <v>1372</v>
      </c>
      <c r="F51" s="309">
        <f ca="1">F8</f>
        <v>365</v>
      </c>
      <c r="I51" s="1606" t="s">
        <v>1505</v>
      </c>
      <c r="J51" s="1607">
        <f>IF(J49="",J50,J49+J50-YEAR('数据-取费表'!B2))</f>
        <v>60</v>
      </c>
      <c r="K51" s="1608" t="s">
        <v>1506</v>
      </c>
      <c r="L51" s="1609">
        <f ca="1">ROUND(-PV(INDIRECT("'数据-取费表'!h"&amp;$G$1),J51,(C39-C13*C76),0),0)</f>
        <v>201</v>
      </c>
      <c r="M51" s="1610"/>
      <c r="O51" s="1602" t="s">
        <v>1012</v>
      </c>
      <c r="P51" s="1593" t="s">
        <v>1507</v>
      </c>
      <c r="Q51" s="1605">
        <f>J52</f>
        <v>0</v>
      </c>
      <c r="R51" s="1594"/>
    </row>
    <row r="52" spans="1:18" s="1558" customFormat="1" ht="13.5" thickBot="1">
      <c r="A52" s="1101"/>
      <c r="B52" s="1103"/>
      <c r="C52" s="1104"/>
      <c r="D52" s="1077"/>
      <c r="E52" s="1105" t="s">
        <v>1373</v>
      </c>
      <c r="F52" s="1177">
        <v>0.1</v>
      </c>
      <c r="I52" s="1611" t="s">
        <v>1508</v>
      </c>
      <c r="J52" s="1612"/>
      <c r="K52" s="1611" t="s">
        <v>1509</v>
      </c>
      <c r="L52" s="1612"/>
      <c r="O52" s="1602" t="s">
        <v>1013</v>
      </c>
      <c r="P52" s="1593" t="s">
        <v>1510</v>
      </c>
      <c r="Q52" s="1594">
        <f ca="1">J53</f>
        <v>32</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t="s">
        <v>3275</v>
      </c>
      <c r="I53" s="1613" t="s">
        <v>1512</v>
      </c>
      <c r="J53" s="2375">
        <f ca="1">IF(M47="住宅",IF(D1="——",MAX(J51,L48),MAX(J51,L48-'数据-取费表'!B24)),IF(D1="——",MIN(J51,L48),MIN(J51,L48-'数据-取费表'!B24)))</f>
        <v>32</v>
      </c>
      <c r="K53" s="3478" t="s">
        <v>1513</v>
      </c>
      <c r="L53" s="3479"/>
      <c r="O53" s="1592" t="s">
        <v>1014</v>
      </c>
      <c r="P53" s="1593" t="s">
        <v>1514</v>
      </c>
      <c r="Q53" s="1594">
        <f ca="1">Q47+Q48</f>
        <v>713</v>
      </c>
      <c r="R53" s="1594" t="s">
        <v>1015</v>
      </c>
    </row>
    <row r="54" spans="1:18" s="1558" customFormat="1" ht="13.5" thickBot="1">
      <c r="A54" s="1307"/>
      <c r="B54" s="1541" t="s">
        <v>1353</v>
      </c>
      <c r="C54" s="1083"/>
      <c r="D54" s="1540"/>
      <c r="E54" s="3060"/>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5" t="s">
        <v>1043</v>
      </c>
      <c r="B55" s="1543" t="s">
        <v>1378</v>
      </c>
      <c r="C55" s="1236"/>
      <c r="D55" s="1540"/>
      <c r="E55" s="3060"/>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81">
        <v>2</v>
      </c>
      <c r="B56" s="1082" t="s">
        <v>1379</v>
      </c>
      <c r="C56" s="238">
        <f ca="1">C13</f>
        <v>300</v>
      </c>
      <c r="D56" s="1621"/>
      <c r="E56" s="1622"/>
      <c r="F56" s="1614"/>
      <c r="I56" s="1623" t="s">
        <v>1519</v>
      </c>
      <c r="J56" s="1624" t="s">
        <v>3179</v>
      </c>
      <c r="K56" s="1595" t="s">
        <v>1520</v>
      </c>
      <c r="L56" s="1598" t="str">
        <f ca="1">IF(L48&lt;J51,"——",L48-J53)</f>
        <v>——</v>
      </c>
      <c r="O56" s="1592" t="s">
        <v>1008</v>
      </c>
      <c r="P56" s="1593" t="s">
        <v>1493</v>
      </c>
      <c r="Q56" s="1594">
        <f ca="1">C40+J29</f>
        <v>713</v>
      </c>
      <c r="R56" s="1594" t="s">
        <v>1494</v>
      </c>
    </row>
    <row r="57" spans="1:18" s="1558" customFormat="1" ht="24.75" thickBot="1">
      <c r="A57" s="1625"/>
      <c r="B57" s="1074" t="s">
        <v>1443</v>
      </c>
      <c r="C57" s="244">
        <f ca="1">C29</f>
        <v>333</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21" t="s">
        <v>998</v>
      </c>
      <c r="B58" s="1082" t="s">
        <v>1389</v>
      </c>
      <c r="C58" s="322">
        <f ca="1">ROUND(C59+C64+C65+C66,0)</f>
        <v>13</v>
      </c>
      <c r="D58" s="1084" t="s">
        <v>1390</v>
      </c>
      <c r="E58" s="1085"/>
      <c r="F58" s="1086"/>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9</v>
      </c>
      <c r="D59" s="1087" t="s">
        <v>1395</v>
      </c>
      <c r="E59" s="1088"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IF(项目基本情况!B11="自然人","——",ROUND(C48*F60/(1+'数据-取费表'!C42),2))</f>
        <v>2.83</v>
      </c>
      <c r="D60" s="1088" t="s">
        <v>1399</v>
      </c>
      <c r="E60" s="1074" t="s">
        <v>1387</v>
      </c>
      <c r="F60" s="337">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6" t="s">
        <v>1457</v>
      </c>
      <c r="B61" s="1074" t="s">
        <v>1402</v>
      </c>
      <c r="C61" s="24">
        <f ca="1">IF(项目基本情况!B11="自然人","——",IF(D61="按租金收入计税",ROUND(C49*F61/(1+'数据-取费表'!C42),2),IF(D61="按房产原值计税",ROUND(C57*F61*0.7,2),INDIRECT("'数据-取费表'!Aj"&amp;$G$1))))</f>
        <v>6.06</v>
      </c>
      <c r="D61" s="1544" t="s">
        <v>3276</v>
      </c>
      <c r="E61" s="1074" t="s">
        <v>1387</v>
      </c>
      <c r="F61" s="328">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6" t="s">
        <v>1460</v>
      </c>
      <c r="B62" s="1073" t="s">
        <v>1406</v>
      </c>
      <c r="C62" s="25">
        <f ca="1">IF(项目基本情况!B11="自然人","——",ROUND(F62*F63/10000,2))</f>
        <v>0</v>
      </c>
      <c r="D62" s="1089" t="s">
        <v>1407</v>
      </c>
      <c r="E62" s="1074" t="s">
        <v>1408</v>
      </c>
      <c r="F62" s="331">
        <f t="shared" si="0"/>
        <v>3</v>
      </c>
      <c r="I62" s="1636" t="s">
        <v>1535</v>
      </c>
      <c r="J62" s="1637" t="s">
        <v>1536</v>
      </c>
      <c r="K62" s="1637" t="s">
        <v>1537</v>
      </c>
      <c r="L62" s="1637" t="s">
        <v>1538</v>
      </c>
      <c r="M62" s="1638" t="s">
        <v>1539</v>
      </c>
      <c r="O62" s="1592" t="s">
        <v>1014</v>
      </c>
      <c r="P62" s="1593" t="s">
        <v>1514</v>
      </c>
      <c r="Q62" s="1594">
        <f ca="1">Q56+Q57</f>
        <v>713</v>
      </c>
      <c r="R62" s="1594" t="s">
        <v>1015</v>
      </c>
    </row>
    <row r="63" spans="1:18" s="1558" customFormat="1" ht="13.5" thickBot="1">
      <c r="A63" s="332"/>
      <c r="B63" s="1080"/>
      <c r="C63" s="29"/>
      <c r="D63" s="1090"/>
      <c r="E63" s="1074" t="s">
        <v>1412</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f ca="1">ROUND(C57*F64,1)</f>
        <v>3.3</v>
      </c>
      <c r="D64" s="1088" t="s">
        <v>1447</v>
      </c>
      <c r="E64" s="1074" t="s">
        <v>1387</v>
      </c>
      <c r="F64" s="334">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ROUND(C56*F65,1)</f>
        <v>0.5</v>
      </c>
      <c r="D65" s="1088" t="s">
        <v>1419</v>
      </c>
      <c r="E65" s="1074" t="s">
        <v>1387</v>
      </c>
      <c r="F65" s="336">
        <f t="shared" ca="1" si="0"/>
        <v>1.5E-3</v>
      </c>
      <c r="I65" s="1636" t="s">
        <v>1544</v>
      </c>
      <c r="J65" s="1637">
        <v>40</v>
      </c>
      <c r="K65" s="1637">
        <v>30</v>
      </c>
      <c r="L65" s="1637">
        <v>50</v>
      </c>
      <c r="M65" s="1639">
        <v>0.02</v>
      </c>
      <c r="O65" s="1592" t="s">
        <v>1008</v>
      </c>
      <c r="P65" s="1593" t="s">
        <v>1493</v>
      </c>
      <c r="Q65" s="1594">
        <f ca="1">C40+J29</f>
        <v>713</v>
      </c>
      <c r="R65" s="1594" t="s">
        <v>1494</v>
      </c>
    </row>
    <row r="66" spans="1:18" s="1558" customFormat="1" ht="16.5" thickBot="1">
      <c r="A66" s="1106" t="s">
        <v>1469</v>
      </c>
      <c r="B66" s="1074" t="s">
        <v>1404</v>
      </c>
      <c r="C66" s="24">
        <f ca="1">ROUND(C48*F66,1)</f>
        <v>0.5</v>
      </c>
      <c r="D66" s="1088" t="s">
        <v>1424</v>
      </c>
      <c r="E66" s="1074" t="s">
        <v>1387</v>
      </c>
      <c r="F66" s="318">
        <f t="shared" ca="1" si="0"/>
        <v>0.01</v>
      </c>
      <c r="O66" s="1592" t="s">
        <v>1009</v>
      </c>
      <c r="P66" s="1593" t="s">
        <v>1523</v>
      </c>
      <c r="Q66" s="1594">
        <f ca="1">L60</f>
        <v>0</v>
      </c>
      <c r="R66" s="1594" t="s">
        <v>1546</v>
      </c>
    </row>
    <row r="67" spans="1:18" s="1558" customFormat="1" ht="16.5" thickBot="1">
      <c r="A67" s="1081" t="s">
        <v>999</v>
      </c>
      <c r="B67" s="1091" t="s">
        <v>1428</v>
      </c>
      <c r="C67" s="322">
        <f ca="1">C48-C58</f>
        <v>40</v>
      </c>
      <c r="D67" s="1087" t="s">
        <v>1429</v>
      </c>
      <c r="E67" s="1092"/>
      <c r="F67" s="1093"/>
      <c r="O67" s="1602" t="s">
        <v>1010</v>
      </c>
      <c r="P67" s="1593" t="s">
        <v>1527</v>
      </c>
      <c r="Q67" s="1640">
        <f ca="1">L51</f>
        <v>201</v>
      </c>
      <c r="R67" s="1594" t="s">
        <v>1547</v>
      </c>
    </row>
    <row r="68" spans="1:18" s="1558" customFormat="1" ht="16.5" thickBot="1">
      <c r="A68" s="1071" t="s">
        <v>1000</v>
      </c>
      <c r="B68" s="1072" t="s">
        <v>1450</v>
      </c>
      <c r="C68" s="307">
        <f ca="1">ROUND(C67*(1-((1+F70)/(1+F68))^F69)/(F68-F70),0)</f>
        <v>315</v>
      </c>
      <c r="D68" s="1089" t="s">
        <v>1434</v>
      </c>
      <c r="E68" s="1074" t="s">
        <v>1435</v>
      </c>
      <c r="F68" s="318">
        <f ca="1">F40</f>
        <v>0.06</v>
      </c>
      <c r="O68" s="1602" t="s">
        <v>1011</v>
      </c>
      <c r="P68" s="1641" t="s">
        <v>1548</v>
      </c>
      <c r="Q68" s="1594">
        <f ca="1">ROUND(Q69-Q70*Q71,0)</f>
        <v>12</v>
      </c>
      <c r="R68" s="1594" t="s">
        <v>1019</v>
      </c>
    </row>
    <row r="69" spans="1:18" s="1558" customFormat="1" ht="13.5" thickBot="1">
      <c r="A69" s="1075"/>
      <c r="B69" s="1076"/>
      <c r="C69" s="312"/>
      <c r="D69" s="1094" t="s">
        <v>1438</v>
      </c>
      <c r="E69" s="1074" t="s">
        <v>1439</v>
      </c>
      <c r="F69" s="339">
        <f ca="1">F41</f>
        <v>9.6</v>
      </c>
      <c r="O69" s="1602" t="s">
        <v>1016</v>
      </c>
      <c r="P69" s="1641" t="s">
        <v>1549</v>
      </c>
      <c r="Q69" s="1594">
        <f ca="1">C39</f>
        <v>37</v>
      </c>
      <c r="R69" s="1594" t="s">
        <v>1494</v>
      </c>
    </row>
    <row r="70" spans="1:18" s="1558" customFormat="1" ht="13.5" thickBot="1">
      <c r="A70" s="1078"/>
      <c r="B70" s="1079"/>
      <c r="C70" s="316"/>
      <c r="D70" s="1090"/>
      <c r="E70" s="1074" t="s">
        <v>1442</v>
      </c>
      <c r="F70" s="1177">
        <v>2.5000000000000001E-2</v>
      </c>
      <c r="O70" s="1602" t="s">
        <v>1017</v>
      </c>
      <c r="P70" s="1641" t="s">
        <v>1550</v>
      </c>
      <c r="Q70" s="1594">
        <f ca="1">C13</f>
        <v>300</v>
      </c>
      <c r="R70" s="1594" t="s">
        <v>1494</v>
      </c>
    </row>
    <row r="71" spans="1:18" s="1558" customFormat="1" ht="13.5" thickBot="1">
      <c r="A71" s="1095" t="s">
        <v>1001</v>
      </c>
      <c r="B71" s="1096" t="s">
        <v>1452</v>
      </c>
      <c r="C71" s="342">
        <f ca="1">ROUND(C68*10000/F71,0)</f>
        <v>4911</v>
      </c>
      <c r="D71" s="1097" t="s">
        <v>1453</v>
      </c>
      <c r="E71" s="1098" t="s">
        <v>1454</v>
      </c>
      <c r="F71" s="345">
        <f ca="1">F43</f>
        <v>641.44000000000005</v>
      </c>
      <c r="O71" s="1602" t="s">
        <v>1018</v>
      </c>
      <c r="P71" s="1641" t="s">
        <v>1551</v>
      </c>
      <c r="Q71" s="1605">
        <f ca="1">C76</f>
        <v>8.5000000000000006E-2</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6" t="s">
        <v>1471</v>
      </c>
      <c r="C75" s="347">
        <f ca="1">ROUND(C13*C76,0)</f>
        <v>26</v>
      </c>
      <c r="D75" s="1558"/>
      <c r="E75" s="1558"/>
      <c r="F75" s="1558"/>
      <c r="K75" s="1576"/>
      <c r="L75" s="1558"/>
      <c r="O75" s="1592" t="s">
        <v>1014</v>
      </c>
      <c r="P75" s="1593" t="s">
        <v>1514</v>
      </c>
      <c r="Q75" s="1594">
        <f ca="1">Q65+Q66</f>
        <v>713</v>
      </c>
      <c r="R75" s="1594" t="s">
        <v>1015</v>
      </c>
    </row>
    <row r="76" spans="1:18">
      <c r="B76" s="348" t="s">
        <v>1472</v>
      </c>
      <c r="C76" s="349">
        <f ca="1">INDIRECT("'数据-取费表'!j"&amp;$G$1)</f>
        <v>8.5000000000000006E-2</v>
      </c>
      <c r="I76" s="1558"/>
      <c r="J76" s="1558"/>
      <c r="K76" s="1576"/>
      <c r="L76" s="1558"/>
    </row>
    <row r="77" spans="1:18">
      <c r="B77" s="350" t="s">
        <v>1473</v>
      </c>
      <c r="C77" s="351"/>
      <c r="I77" s="1558"/>
      <c r="J77" s="1558"/>
      <c r="K77" s="1576"/>
      <c r="L77" s="1558"/>
    </row>
    <row r="78" spans="1:18">
      <c r="B78" s="276" t="s">
        <v>1474</v>
      </c>
      <c r="C78" s="352"/>
    </row>
    <row r="79" spans="1:18">
      <c r="B79" s="346" t="s">
        <v>1475</v>
      </c>
      <c r="C79" s="280">
        <f ca="1">1-C80</f>
        <v>0.29700000000000004</v>
      </c>
    </row>
    <row r="80" spans="1:18">
      <c r="B80" s="346" t="s">
        <v>1476</v>
      </c>
      <c r="C80" s="280">
        <f ca="1">ROUND(C75/C39,3)</f>
        <v>0.70299999999999996</v>
      </c>
    </row>
    <row r="81" spans="2:3">
      <c r="B81" s="276" t="s">
        <v>1477</v>
      </c>
      <c r="C81" s="244"/>
    </row>
    <row r="82" spans="2:3">
      <c r="B82" s="279" t="s">
        <v>1478</v>
      </c>
      <c r="C82" s="281">
        <f ca="1">1-C83</f>
        <v>-0.1359999999999999</v>
      </c>
    </row>
    <row r="83" spans="2:3">
      <c r="B83" s="279" t="s">
        <v>1479</v>
      </c>
      <c r="C83" s="280">
        <f ca="1">ROUND(C13/C40,3)</f>
        <v>1.1359999999999999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1343</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3062"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1376</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054" t="s">
        <v>1380</v>
      </c>
      <c r="E13" s="305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058" t="s">
        <v>1383</v>
      </c>
      <c r="E14" s="3056"/>
      <c r="F14" s="325"/>
      <c r="G14" s="1558"/>
      <c r="H14" s="1106" t="s">
        <v>1003</v>
      </c>
      <c r="I14" s="308" t="s">
        <v>1384</v>
      </c>
      <c r="J14" s="24" t="e">
        <f ca="1">C29</f>
        <v>#N/A</v>
      </c>
      <c r="K14" s="3061"/>
      <c r="L14" s="910"/>
      <c r="M14" s="911"/>
    </row>
    <row r="15" spans="1:37" s="1571" customFormat="1" ht="18" customHeight="1" thickBot="1">
      <c r="A15" s="1106" t="s">
        <v>1004</v>
      </c>
      <c r="B15" s="308" t="s">
        <v>1385</v>
      </c>
      <c r="C15" s="24" t="e">
        <f ca="1">ROUND(C14*F15,0)</f>
        <v>#N/A</v>
      </c>
      <c r="D15" s="3055" t="s">
        <v>1386</v>
      </c>
      <c r="E15" s="305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059"/>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058" t="s">
        <v>1395</v>
      </c>
      <c r="L17" s="3057"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057"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064"/>
      <c r="F19" s="26"/>
      <c r="G19" s="1558"/>
      <c r="H19" s="1106" t="s">
        <v>1004</v>
      </c>
      <c r="I19" s="308" t="s">
        <v>1402</v>
      </c>
      <c r="J19" s="24" t="e">
        <f ca="1">IF(K19="按租金收入计税",ROUND(J6*M19/(1+'数据-取费表'!C42),2),ROUND(C29*M19*0.7,2))</f>
        <v>#N/A</v>
      </c>
      <c r="K19" s="1544" t="s">
        <v>1403</v>
      </c>
      <c r="L19" s="308" t="s">
        <v>1387</v>
      </c>
      <c r="M19" s="328">
        <f>IF(K19="按租金收入计税",'数据-取费表'!B51,'数据-取费表'!B50)</f>
        <v>1.2E-2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4"/>
      <c r="F22" s="26"/>
      <c r="G22" s="1558"/>
      <c r="H22" s="1106" t="s">
        <v>1007</v>
      </c>
      <c r="I22" s="308" t="s">
        <v>1414</v>
      </c>
      <c r="J22" s="24" t="e">
        <f ca="1">ROUND(J14*M22,1)</f>
        <v>#N/A</v>
      </c>
      <c r="K22" s="3057"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057"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064"/>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05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059"/>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058" t="s">
        <v>1395</v>
      </c>
      <c r="E31" s="3057"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057"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057"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057"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063"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3060"/>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060"/>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c r="D1" s="1536"/>
      <c r="E1" s="1537" t="s">
        <v>1352</v>
      </c>
      <c r="F1" s="1185">
        <f ca="1">J53</f>
        <v>0</v>
      </c>
      <c r="G1" s="1552">
        <f>MATCH(C1,'数据-取费表'!A6:A16,0)+5</f>
        <v>8</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1555</v>
      </c>
      <c r="B2" s="1560" t="e">
        <f ca="1">ROUND(D2/10000,0)</f>
        <v>#DIV/0!</v>
      </c>
      <c r="C2" s="1561" t="s">
        <v>1556</v>
      </c>
      <c r="D2" s="1645" t="e">
        <f ca="1">C40+J29+L46</f>
        <v>#DIV/0!</v>
      </c>
      <c r="E2" s="1562" t="s">
        <v>1557</v>
      </c>
      <c r="F2" s="1563"/>
      <c r="G2" s="2922"/>
      <c r="H2" s="2911"/>
      <c r="I2" s="2911"/>
      <c r="J2" s="2911"/>
      <c r="K2" s="2912"/>
      <c r="L2" s="2911"/>
      <c r="M2" s="2911"/>
    </row>
    <row r="3" spans="1:37" ht="18" customHeight="1" thickBot="1">
      <c r="A3" s="1564" t="s">
        <v>1558</v>
      </c>
      <c r="B3" s="1565">
        <f ca="1">IF(ISERROR(D2/F43),0,ROUND(D2/F43,0))</f>
        <v>0</v>
      </c>
      <c r="C3" s="1561" t="s">
        <v>1559</v>
      </c>
      <c r="D3" s="1561"/>
      <c r="E3" s="1562"/>
      <c r="F3" s="1563"/>
      <c r="G3" s="2922"/>
      <c r="H3" s="692" t="s">
        <v>1553</v>
      </c>
      <c r="I3" s="1556"/>
      <c r="J3" s="1556"/>
      <c r="K3" s="1557"/>
      <c r="L3" s="1556"/>
      <c r="M3" s="1556"/>
    </row>
    <row r="4" spans="1:37" ht="18" customHeight="1">
      <c r="A4" s="301" t="s">
        <v>1560</v>
      </c>
      <c r="B4" s="302" t="s">
        <v>1561</v>
      </c>
      <c r="C4" s="302" t="s">
        <v>1562</v>
      </c>
      <c r="D4" s="302" t="s">
        <v>1563</v>
      </c>
      <c r="E4" s="303" t="s">
        <v>1564</v>
      </c>
      <c r="F4" s="304"/>
      <c r="G4" s="1558"/>
      <c r="H4" s="301" t="s">
        <v>1560</v>
      </c>
      <c r="I4" s="302" t="s">
        <v>1561</v>
      </c>
      <c r="J4" s="302" t="s">
        <v>1562</v>
      </c>
      <c r="K4" s="302" t="s">
        <v>1563</v>
      </c>
      <c r="L4" s="303" t="s">
        <v>1564</v>
      </c>
      <c r="M4" s="304"/>
    </row>
    <row r="5" spans="1:37" ht="18" customHeight="1">
      <c r="A5" s="305">
        <v>1</v>
      </c>
      <c r="B5" s="306" t="s">
        <v>1565</v>
      </c>
      <c r="C5" s="1194">
        <f ca="1">C6+C10+C12</f>
        <v>0</v>
      </c>
      <c r="D5" s="1538" t="s">
        <v>1566</v>
      </c>
      <c r="E5" s="1195"/>
      <c r="F5" s="1196"/>
      <c r="G5" s="1558"/>
      <c r="H5" s="305">
        <v>1</v>
      </c>
      <c r="I5" s="306" t="s">
        <v>1565</v>
      </c>
      <c r="J5" s="1194">
        <f ca="1">J6+J10+J12</f>
        <v>0</v>
      </c>
      <c r="K5" s="1538" t="s">
        <v>1566</v>
      </c>
      <c r="L5" s="1195"/>
      <c r="M5" s="1196"/>
    </row>
    <row r="6" spans="1:37" ht="18" customHeight="1">
      <c r="A6" s="1193" t="s">
        <v>1003</v>
      </c>
      <c r="B6" s="3475" t="s">
        <v>1368</v>
      </c>
      <c r="C6" s="1198">
        <f ca="1">ROUND(F6*F8*F7*(1-F9),0)</f>
        <v>0</v>
      </c>
      <c r="D6" s="160" t="s">
        <v>2839</v>
      </c>
      <c r="E6" s="308" t="s">
        <v>1370</v>
      </c>
      <c r="F6" s="309">
        <f ca="1">INDIRECT("'数据-取费表'!u"&amp;$G$1)</f>
        <v>0</v>
      </c>
      <c r="G6" s="1558"/>
      <c r="H6" s="1193" t="s">
        <v>1003</v>
      </c>
      <c r="I6" s="3475" t="s">
        <v>1368</v>
      </c>
      <c r="J6" s="307">
        <f ca="1">ROUND(M6*M8*M7*(1-M9),0)</f>
        <v>0</v>
      </c>
      <c r="K6" s="1550" t="s">
        <v>2840</v>
      </c>
      <c r="L6" s="308" t="s">
        <v>1370</v>
      </c>
      <c r="M6" s="309">
        <f ca="1">INDIRECT("'数据-取费表'!z"&amp;$G$1)</f>
        <v>0</v>
      </c>
    </row>
    <row r="7" spans="1:37" ht="18" customHeight="1">
      <c r="A7" s="1197"/>
      <c r="B7" s="3476"/>
      <c r="C7" s="1199"/>
      <c r="D7" s="313"/>
      <c r="E7" s="1200" t="s">
        <v>1371</v>
      </c>
      <c r="F7" s="309">
        <f ca="1">IF(INDIRECT("'数据-取费表'!ah"&amp;$G$1)="",INDIRECT("'数据-取费表'!k"&amp;$G$1),INDIRECT("'数据-取费表'!ah"&amp;$G$1))</f>
        <v>0</v>
      </c>
      <c r="G7" s="1558"/>
      <c r="H7" s="310"/>
      <c r="I7" s="3476"/>
      <c r="J7" s="312"/>
      <c r="K7" s="313"/>
      <c r="L7" s="308" t="s">
        <v>1371</v>
      </c>
      <c r="M7" s="309">
        <f ca="1">F7</f>
        <v>0</v>
      </c>
    </row>
    <row r="8" spans="1:37" ht="18" customHeight="1">
      <c r="A8" s="310"/>
      <c r="B8" s="3476"/>
      <c r="C8" s="312"/>
      <c r="D8" s="313"/>
      <c r="E8" s="308" t="s">
        <v>1372</v>
      </c>
      <c r="F8" s="309">
        <f ca="1">INDIRECT("'数据-取费表'!ai"&amp;$G$1)</f>
        <v>0</v>
      </c>
      <c r="G8" s="1558"/>
      <c r="H8" s="310"/>
      <c r="I8" s="3476"/>
      <c r="J8" s="312"/>
      <c r="K8" s="313"/>
      <c r="L8" s="308" t="s">
        <v>1372</v>
      </c>
      <c r="M8" s="309">
        <f ca="1">INDIRECT("'数据-取费表'!ai"&amp;$G$1)</f>
        <v>0</v>
      </c>
    </row>
    <row r="9" spans="1:37" ht="18" customHeight="1">
      <c r="A9" s="310"/>
      <c r="B9" s="3477"/>
      <c r="C9" s="312"/>
      <c r="D9" s="313"/>
      <c r="E9" s="308" t="s">
        <v>1373</v>
      </c>
      <c r="F9" s="318">
        <f ca="1">INDIRECT("'数据-取费表'!w"&amp;$G$1)</f>
        <v>0</v>
      </c>
      <c r="G9" s="1558"/>
      <c r="H9" s="310"/>
      <c r="I9" s="3477"/>
      <c r="J9" s="312"/>
      <c r="K9" s="313"/>
      <c r="L9" s="319" t="s">
        <v>1373</v>
      </c>
      <c r="M9" s="320">
        <f ca="1">INDIRECT("'数据-取费表'!ab"&amp;$G$1)</f>
        <v>0</v>
      </c>
    </row>
    <row r="10" spans="1:37" ht="18" customHeight="1">
      <c r="A10" s="1193" t="s">
        <v>1007</v>
      </c>
      <c r="B10" s="1539" t="s">
        <v>1374</v>
      </c>
      <c r="C10" s="322">
        <f ca="1">ROUND(IF(F10="押一",C6/12*F11,IF(F10="押二",C6/12*2*F11,IF(F10="押三",C6/12*3*F11,C11*F11))),0)</f>
        <v>0</v>
      </c>
      <c r="D10" s="1540" t="s">
        <v>2849</v>
      </c>
      <c r="E10" s="319" t="s">
        <v>1375</v>
      </c>
      <c r="F10" s="1268"/>
      <c r="G10" s="1558"/>
      <c r="H10" s="1193" t="s">
        <v>1007</v>
      </c>
      <c r="I10" s="1539" t="s">
        <v>1374</v>
      </c>
      <c r="J10" s="307">
        <f ca="1">ROUND(IF(M10="押一",J6/12*M11,IF(M10="押二",J6/12*2*M11,IF(M10="押三",J6/12*3*M11,J11*M11))),0)</f>
        <v>0</v>
      </c>
      <c r="K10" s="1551" t="s">
        <v>2851</v>
      </c>
      <c r="L10" s="319" t="s">
        <v>1375</v>
      </c>
      <c r="M10" s="1268"/>
    </row>
    <row r="11" spans="1:37" ht="18" customHeight="1">
      <c r="A11" s="314"/>
      <c r="B11" s="1541" t="s">
        <v>1567</v>
      </c>
      <c r="C11" s="1083"/>
      <c r="D11" s="313"/>
      <c r="E11" s="319" t="s">
        <v>1377</v>
      </c>
      <c r="F11" s="320">
        <f ca="1">'数据-取费表'!B39</f>
        <v>1.4999999999999999E-2</v>
      </c>
      <c r="G11" s="1558"/>
      <c r="H11" s="1201"/>
      <c r="I11" s="1541" t="s">
        <v>1568</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58"/>
      <c r="H13" s="1231">
        <v>2</v>
      </c>
      <c r="I13" s="1232" t="s">
        <v>1379</v>
      </c>
      <c r="J13" s="1192">
        <f ca="1">ROUND(J14*J15,0)</f>
        <v>0</v>
      </c>
      <c r="K13" s="1239" t="s">
        <v>1380</v>
      </c>
      <c r="L13" s="1566"/>
      <c r="M13" s="1567"/>
    </row>
    <row r="14" spans="1:37" ht="18" customHeight="1">
      <c r="A14" s="1106" t="s">
        <v>1002</v>
      </c>
      <c r="B14" s="308" t="s">
        <v>1382</v>
      </c>
      <c r="C14" s="324">
        <f ca="1">ROUND(INDIRECT("'数据-取费表'!l"&amp;$G$1)*F43+'数据-取费表'!L14*INDIRECT("'数据-取费表'!S"&amp;$G$1),0)</f>
        <v>0</v>
      </c>
      <c r="D14" s="1519" t="s">
        <v>1383</v>
      </c>
      <c r="E14" s="1516"/>
      <c r="F14" s="325"/>
      <c r="G14" s="1558"/>
      <c r="H14" s="1106" t="s">
        <v>1003</v>
      </c>
      <c r="I14" s="308" t="s">
        <v>1384</v>
      </c>
      <c r="J14" s="24">
        <f ca="1">C29</f>
        <v>0</v>
      </c>
      <c r="K14" s="15"/>
      <c r="L14" s="910"/>
      <c r="M14" s="911"/>
    </row>
    <row r="15" spans="1:37" s="1571" customFormat="1" ht="18" customHeight="1" thickBot="1">
      <c r="A15" s="1106" t="s">
        <v>1004</v>
      </c>
      <c r="B15" s="308" t="s">
        <v>1385</v>
      </c>
      <c r="C15" s="24">
        <f ca="1">ROUND(C14*F15,0)</f>
        <v>0</v>
      </c>
      <c r="D15" s="326" t="s">
        <v>1386</v>
      </c>
      <c r="E15" s="326" t="s">
        <v>1387</v>
      </c>
      <c r="F15" s="327">
        <f>'数据-取费表'!B33</f>
        <v>0.05</v>
      </c>
      <c r="G15" s="1570"/>
      <c r="H15" s="1241" t="s">
        <v>1007</v>
      </c>
      <c r="I15" s="1242" t="s">
        <v>1381</v>
      </c>
      <c r="J15" s="1251">
        <f ca="1">INDIRECT("'数据-取费表'!ad"&amp;$G$1)</f>
        <v>0</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58"/>
      <c r="H16" s="1231" t="s">
        <v>998</v>
      </c>
      <c r="I16" s="1232" t="s">
        <v>1389</v>
      </c>
      <c r="J16" s="316">
        <f ca="1">ROUND(J17+J22+J23+J24,0)</f>
        <v>0</v>
      </c>
      <c r="K16" s="1239" t="s">
        <v>1390</v>
      </c>
      <c r="L16" s="1240"/>
      <c r="M16" s="1196"/>
    </row>
    <row r="17" spans="1:37" s="1571" customFormat="1" ht="18" customHeight="1">
      <c r="A17" s="1106" t="s">
        <v>1355</v>
      </c>
      <c r="B17" s="308" t="s">
        <v>1391</v>
      </c>
      <c r="C17" s="24">
        <f ca="1">ROUND(F17*(F43+INDIRECT("'数据-取费表'!S"&amp;$G$1)),0)</f>
        <v>0</v>
      </c>
      <c r="D17" s="308" t="s">
        <v>1392</v>
      </c>
      <c r="E17" s="308" t="s">
        <v>1393</v>
      </c>
      <c r="F17" s="26">
        <f>'数据-取费表'!B35</f>
        <v>200</v>
      </c>
      <c r="G17" s="1570"/>
      <c r="H17" s="1106" t="s">
        <v>1003</v>
      </c>
      <c r="I17" s="308" t="s">
        <v>1394</v>
      </c>
      <c r="J17" s="2523">
        <f ca="1">ROUND(IF(AND(项目基本情况!B11="自然人",项目基本情况!B10="北京市"),J6*M17/(1+'数据-取费表'!C42),J18+J19+J20),0)</f>
        <v>0</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0</v>
      </c>
      <c r="D18" s="308" t="s">
        <v>1386</v>
      </c>
      <c r="E18" s="308" t="s">
        <v>1387</v>
      </c>
      <c r="F18" s="328">
        <f>'数据-取费表'!B36</f>
        <v>1.4999999999999999E-2</v>
      </c>
      <c r="G18" s="1570"/>
      <c r="H18" s="1106" t="s">
        <v>1002</v>
      </c>
      <c r="I18" s="308" t="s">
        <v>1398</v>
      </c>
      <c r="J18" s="24">
        <f ca="1">ROUND(J6*M18/(1+'数据-取费表'!C42),0)</f>
        <v>0</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0</v>
      </c>
      <c r="D19" s="136" t="s">
        <v>1401</v>
      </c>
      <c r="E19" s="1534"/>
      <c r="F19" s="26"/>
      <c r="G19" s="1558"/>
      <c r="H19" s="1106" t="s">
        <v>1004</v>
      </c>
      <c r="I19" s="308" t="s">
        <v>1402</v>
      </c>
      <c r="J19" s="24">
        <f ca="1">IF(K19="按租金收入计税",ROUND(J6*M19/(1+'数据-取费表'!C42),0),ROUND(C29*M19*0.7,0))</f>
        <v>0</v>
      </c>
      <c r="K19" s="1544" t="s">
        <v>1403</v>
      </c>
      <c r="L19" s="308" t="s">
        <v>1387</v>
      </c>
      <c r="M19" s="328">
        <f>IF(K19="按租金收入计税",'数据-取费表'!B51,'数据-取费表'!B50)</f>
        <v>1.2E-2</v>
      </c>
    </row>
    <row r="20" spans="1:37" s="1571" customFormat="1" ht="18" customHeight="1">
      <c r="A20" s="1106" t="s">
        <v>1007</v>
      </c>
      <c r="B20" s="308" t="s">
        <v>1404</v>
      </c>
      <c r="C20" s="24">
        <f ca="1">ROUND(C19*F20,0)</f>
        <v>0</v>
      </c>
      <c r="D20" s="329" t="s">
        <v>1405</v>
      </c>
      <c r="E20" s="308" t="s">
        <v>1387</v>
      </c>
      <c r="F20" s="328">
        <f>'数据-取费表'!B37</f>
        <v>0.02</v>
      </c>
      <c r="G20" s="1570"/>
      <c r="H20" s="1106" t="s">
        <v>1354</v>
      </c>
      <c r="I20" s="160" t="s">
        <v>1406</v>
      </c>
      <c r="J20" s="25">
        <f ca="1">ROUND(M20*M21,0)</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4"/>
      <c r="F22" s="26"/>
      <c r="G22" s="1558"/>
      <c r="H22" s="1106" t="s">
        <v>1007</v>
      </c>
      <c r="I22" s="308" t="s">
        <v>1414</v>
      </c>
      <c r="J22" s="24">
        <f ca="1">ROUND(J14*M22,0)</f>
        <v>0</v>
      </c>
      <c r="K22" s="1518" t="s">
        <v>1415</v>
      </c>
      <c r="L22" s="308" t="s">
        <v>1387</v>
      </c>
      <c r="M22" s="334">
        <f ca="1">INDIRECT("'数据-取费表'!Ak"&amp;$G$1)</f>
        <v>0</v>
      </c>
    </row>
    <row r="23" spans="1:37" s="1571"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ROUND(J13*M23,0)</f>
        <v>0</v>
      </c>
      <c r="K23" s="1518" t="s">
        <v>1419</v>
      </c>
      <c r="L23" s="308" t="s">
        <v>1420</v>
      </c>
      <c r="M23" s="336">
        <f ca="1">INDIRECT("'数据-取费表'!Al"&amp;$G$1)</f>
        <v>0</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1358</v>
      </c>
      <c r="I24" s="1242" t="s">
        <v>1404</v>
      </c>
      <c r="J24" s="1243">
        <f ca="1">ROUND(J5*M24,0)</f>
        <v>0</v>
      </c>
      <c r="K24" s="1244" t="s">
        <v>1424</v>
      </c>
      <c r="L24" s="1242" t="s">
        <v>1420</v>
      </c>
      <c r="M24" s="1238">
        <f ca="1">INDIRECT("'数据-取费表'!Am"&amp;$G$1)</f>
        <v>0</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6" t="s">
        <v>1425</v>
      </c>
      <c r="B25" s="308" t="s">
        <v>1426</v>
      </c>
      <c r="C25" s="24"/>
      <c r="D25" s="136" t="s">
        <v>1427</v>
      </c>
      <c r="E25" s="1534"/>
      <c r="F25" s="26"/>
      <c r="G25" s="1558"/>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58"/>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58"/>
      <c r="H27" s="310"/>
      <c r="I27" s="311"/>
      <c r="J27" s="312"/>
      <c r="K27" s="338" t="s">
        <v>1438</v>
      </c>
      <c r="L27" s="308" t="s">
        <v>1439</v>
      </c>
      <c r="M27" s="339">
        <f ca="1">INDIRECT("'数据-取费表'!ag"&amp;$G$1)</f>
        <v>0</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0</v>
      </c>
      <c r="D29" s="1244"/>
      <c r="E29" s="1242"/>
      <c r="F29" s="1245"/>
      <c r="G29" s="1570"/>
      <c r="H29" s="340" t="s">
        <v>1001</v>
      </c>
      <c r="I29" s="341" t="s">
        <v>1444</v>
      </c>
      <c r="J29" s="342">
        <f ca="1">ROUND(J26/(1+F40)^F41,0)</f>
        <v>0</v>
      </c>
      <c r="K29" s="343" t="s">
        <v>1445</v>
      </c>
      <c r="L29" s="344"/>
      <c r="M29" s="345">
        <f ca="1">INDIRECT("'数据-取费表'!k"&amp;$G$1)</f>
        <v>0</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0</v>
      </c>
      <c r="D30" s="1239" t="s">
        <v>1390</v>
      </c>
      <c r="E30" s="1240"/>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0</v>
      </c>
      <c r="D31" s="1519" t="s">
        <v>1395</v>
      </c>
      <c r="E31" s="1518"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IF(项目基本情况!B11="自然人","——",ROUND(C6*F32/(1+'数据-取费表'!C42),0))</f>
        <v>0</v>
      </c>
      <c r="D32" s="1518"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4" t="s">
        <v>1403</v>
      </c>
      <c r="E33" s="308" t="s">
        <v>1387</v>
      </c>
      <c r="F33" s="328">
        <f>IF(D33="按票据","——",IF(D33="按租金收入计税",'数据-取费表'!B51,'数据-取费表'!B50))</f>
        <v>1.2E-2</v>
      </c>
      <c r="G33" s="1558"/>
      <c r="H33" s="2916"/>
      <c r="I33" s="1572"/>
      <c r="J33" s="1573"/>
      <c r="K33" s="2917"/>
      <c r="L33" s="2916"/>
      <c r="M33" s="2916"/>
    </row>
    <row r="34" spans="1:18" ht="18" customHeight="1">
      <c r="A34" s="1193" t="s">
        <v>1354</v>
      </c>
      <c r="B34" s="160" t="s">
        <v>1406</v>
      </c>
      <c r="C34" s="25">
        <f ca="1">IF(项目基本情况!B11="自然人","——",ROUND(F34*F35,))</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ROUND(C29*F36,0)</f>
        <v>0</v>
      </c>
      <c r="D36" s="1518" t="s">
        <v>1447</v>
      </c>
      <c r="E36" s="308" t="s">
        <v>1387</v>
      </c>
      <c r="F36" s="334">
        <f ca="1">INDIRECT("'数据-取费表'!Ak"&amp;$G$1)</f>
        <v>0</v>
      </c>
      <c r="G36" s="1558"/>
      <c r="H36" s="2916"/>
      <c r="I36" s="1572"/>
      <c r="J36" s="1573"/>
      <c r="K36" s="2758"/>
      <c r="L36" s="2916"/>
      <c r="M36" s="2916"/>
    </row>
    <row r="37" spans="1:18" ht="18" customHeight="1">
      <c r="A37" s="1106" t="s">
        <v>1043</v>
      </c>
      <c r="B37" s="308" t="s">
        <v>1418</v>
      </c>
      <c r="C37" s="24">
        <f ca="1">ROUND(C13*F37,0)</f>
        <v>0</v>
      </c>
      <c r="D37" s="1518" t="s">
        <v>1419</v>
      </c>
      <c r="E37" s="308" t="s">
        <v>1420</v>
      </c>
      <c r="F37" s="336">
        <f ca="1">INDIRECT("'数据-取费表'!Al"&amp;$G$1)</f>
        <v>0</v>
      </c>
      <c r="G37" s="1558"/>
      <c r="H37" s="2916"/>
      <c r="I37" s="1572"/>
      <c r="J37" s="1573"/>
      <c r="K37" s="2758"/>
      <c r="L37" s="2916"/>
      <c r="M37" s="2916"/>
    </row>
    <row r="38" spans="1:18" ht="18" customHeight="1" thickBot="1">
      <c r="A38" s="1241" t="s">
        <v>1358</v>
      </c>
      <c r="B38" s="1242" t="s">
        <v>1404</v>
      </c>
      <c r="C38" s="1243">
        <f ca="1">ROUND(C5*F38,1)</f>
        <v>0</v>
      </c>
      <c r="D38" s="1244" t="s">
        <v>1424</v>
      </c>
      <c r="E38" s="1242" t="s">
        <v>1420</v>
      </c>
      <c r="F38" s="1238">
        <f ca="1">INDIRECT("'数据-取费表'!Am"&amp;$G$1)</f>
        <v>0</v>
      </c>
      <c r="G38" s="1558"/>
      <c r="H38" s="2916"/>
      <c r="I38" s="1572"/>
      <c r="J38" s="1573"/>
      <c r="K38" s="2920"/>
      <c r="L38" s="2916"/>
      <c r="M38" s="2916"/>
    </row>
    <row r="39" spans="1:18" ht="24.6" customHeight="1" thickTop="1">
      <c r="A39" s="1231" t="s">
        <v>999</v>
      </c>
      <c r="B39" s="1246" t="s">
        <v>1448</v>
      </c>
      <c r="C39" s="316">
        <f ca="1">C5-C30</f>
        <v>0</v>
      </c>
      <c r="D39" s="1247" t="s">
        <v>1449</v>
      </c>
      <c r="E39" s="1248"/>
      <c r="F39" s="1249"/>
      <c r="G39" s="1558"/>
      <c r="H39" s="2916"/>
      <c r="I39" s="1572"/>
      <c r="J39" s="1573"/>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0</v>
      </c>
      <c r="G41" s="1558"/>
      <c r="H41" s="1344"/>
      <c r="I41" s="1572"/>
      <c r="J41" s="1573"/>
      <c r="K41" s="2758"/>
      <c r="L41" s="1344"/>
      <c r="M41" s="1344"/>
    </row>
    <row r="42" spans="1:18" ht="18" customHeight="1">
      <c r="A42" s="314"/>
      <c r="B42" s="315"/>
      <c r="C42" s="316"/>
      <c r="D42" s="333"/>
      <c r="E42" s="308" t="s">
        <v>1442</v>
      </c>
      <c r="F42" s="318">
        <f ca="1">INDIRECT("'数据-取费表'!v"&amp;$G$1)</f>
        <v>0</v>
      </c>
      <c r="G42" s="1558"/>
      <c r="H42" s="1344"/>
      <c r="I42" s="1572"/>
      <c r="J42" s="1573"/>
      <c r="K42" s="2758"/>
      <c r="L42" s="1344"/>
      <c r="M42" s="1344"/>
    </row>
    <row r="43" spans="1:18" ht="18" customHeight="1" thickBot="1">
      <c r="A43" s="340" t="s">
        <v>1001</v>
      </c>
      <c r="B43" s="341" t="s">
        <v>1452</v>
      </c>
      <c r="C43" s="342" t="e">
        <f ca="1">ROUND(C40/F43,0)</f>
        <v>#DIV/0!</v>
      </c>
      <c r="D43" s="343" t="s">
        <v>1453</v>
      </c>
      <c r="E43" s="344" t="s">
        <v>1454</v>
      </c>
      <c r="F43" s="345">
        <f ca="1">INDIRECT("'数据-取费表'!k"&amp;$G$1)</f>
        <v>0</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646" t="e">
        <f ca="1">C68-C40</f>
        <v>#DIV/0!</v>
      </c>
      <c r="D45" s="1647" t="s">
        <v>1569</v>
      </c>
      <c r="E45" s="1574"/>
      <c r="F45" s="1574"/>
      <c r="O45" s="1577" t="s">
        <v>1484</v>
      </c>
      <c r="P45" s="1635"/>
      <c r="Q45" s="1635"/>
      <c r="R45" s="1635"/>
    </row>
    <row r="46" spans="1:18" s="1558" customFormat="1" ht="13.5" thickBot="1">
      <c r="A46" s="1578" t="s">
        <v>1485</v>
      </c>
      <c r="C46" s="1579" t="e">
        <f ca="1">ROUND(C45/10000,0)</f>
        <v>#DIV/0!</v>
      </c>
      <c r="D46" s="1580" t="str">
        <f>C2</f>
        <v>万元</v>
      </c>
      <c r="I46" s="1581" t="s">
        <v>1486</v>
      </c>
      <c r="J46" s="1582"/>
      <c r="K46" s="1583"/>
      <c r="L46" s="1584" t="e">
        <f ca="1">IF(M47="住宅",0,IF(L48&gt;J51,L60,J60))</f>
        <v>#DIV/0!</v>
      </c>
      <c r="O46" s="1585" t="s">
        <v>1487</v>
      </c>
      <c r="P46" s="1586" t="s">
        <v>1488</v>
      </c>
      <c r="Q46" s="1587" t="s">
        <v>1489</v>
      </c>
      <c r="R46" s="1587" t="s">
        <v>1490</v>
      </c>
    </row>
    <row r="47" spans="1:18" s="1558" customFormat="1" ht="13.5" thickBot="1">
      <c r="A47" s="1070" t="s">
        <v>1361</v>
      </c>
      <c r="B47" s="1102" t="s">
        <v>1362</v>
      </c>
      <c r="C47" s="1102" t="s">
        <v>1363</v>
      </c>
      <c r="D47" s="1102" t="s">
        <v>1364</v>
      </c>
      <c r="E47" s="1181" t="s">
        <v>1365</v>
      </c>
      <c r="F47" s="1182"/>
      <c r="G47" s="731"/>
      <c r="I47" s="1588" t="s">
        <v>1491</v>
      </c>
      <c r="J47" s="1589"/>
      <c r="K47" s="1590" t="s">
        <v>1492</v>
      </c>
      <c r="L47" s="1591">
        <f ca="1">INDIRECT("'数据-取费表'!d"&amp;$G$1)</f>
        <v>0</v>
      </c>
      <c r="M47" s="1554" t="str">
        <f>IF(ISNUMBER(FIND("住宅",C1)),"住宅","非住宅")</f>
        <v>非住宅</v>
      </c>
      <c r="O47" s="1592" t="s">
        <v>1008</v>
      </c>
      <c r="P47" s="1593" t="s">
        <v>1493</v>
      </c>
      <c r="Q47" s="1594" t="e">
        <f ca="1">C40+J29</f>
        <v>#DIV/0!</v>
      </c>
      <c r="R47" s="1594" t="s">
        <v>1494</v>
      </c>
    </row>
    <row r="48" spans="1:18" s="1558" customFormat="1" ht="28.5" thickBot="1">
      <c r="A48" s="1262" t="s">
        <v>1103</v>
      </c>
      <c r="B48" s="306" t="s">
        <v>1366</v>
      </c>
      <c r="C48" s="1533">
        <f ca="1">C49+C53+C55</f>
        <v>0</v>
      </c>
      <c r="D48" s="1264"/>
      <c r="E48" s="1265"/>
      <c r="F48" s="1086"/>
      <c r="G48" s="731"/>
      <c r="H48" s="732"/>
      <c r="I48" s="1595" t="s">
        <v>1495</v>
      </c>
      <c r="J48" s="1596"/>
      <c r="K48" s="1597" t="s">
        <v>1496</v>
      </c>
      <c r="L48" s="1598">
        <f ca="1">INDIRECT("'数据-取费表'!f"&amp;$G$1)</f>
        <v>0</v>
      </c>
      <c r="O48" s="1592" t="s">
        <v>1009</v>
      </c>
      <c r="P48" s="1593" t="s">
        <v>1497</v>
      </c>
      <c r="Q48" s="1594" t="e">
        <f ca="1">J60</f>
        <v>#DIV/0!</v>
      </c>
      <c r="R48" s="1594" t="s">
        <v>1498</v>
      </c>
    </row>
    <row r="49" spans="1:18" s="1558" customFormat="1" ht="13.5" thickBot="1">
      <c r="A49" s="1099" t="s">
        <v>1104</v>
      </c>
      <c r="B49" s="1545" t="s">
        <v>1455</v>
      </c>
      <c r="C49" s="1266">
        <f ca="1">ROUND(F49*F51*F50*(1-F52),0)</f>
        <v>0</v>
      </c>
      <c r="D49" s="1178" t="s">
        <v>1369</v>
      </c>
      <c r="E49" s="1546" t="s">
        <v>1456</v>
      </c>
      <c r="F49" s="1183"/>
      <c r="G49" s="1599"/>
      <c r="H49" s="732"/>
      <c r="I49" s="1595" t="s">
        <v>1499</v>
      </c>
      <c r="J49" s="1600"/>
      <c r="K49" s="1597" t="s">
        <v>1500</v>
      </c>
      <c r="L49" s="1601"/>
      <c r="O49" s="1602" t="s">
        <v>1010</v>
      </c>
      <c r="P49" s="1593" t="s">
        <v>1501</v>
      </c>
      <c r="Q49" s="1594">
        <f ca="1">C29</f>
        <v>0</v>
      </c>
      <c r="R49" s="1594" t="s">
        <v>1494</v>
      </c>
    </row>
    <row r="50" spans="1:18" s="1558" customFormat="1" ht="13.5" thickBot="1">
      <c r="A50" s="1100"/>
      <c r="B50" s="1103"/>
      <c r="C50" s="1104"/>
      <c r="D50" s="1077"/>
      <c r="E50" s="1179" t="s">
        <v>1371</v>
      </c>
      <c r="F50" s="1180">
        <f ca="1">F7</f>
        <v>0</v>
      </c>
      <c r="H50" s="732"/>
      <c r="I50" s="1595" t="s">
        <v>1502</v>
      </c>
      <c r="J50" s="1603">
        <f>SUMPRODUCT((I63:I65=J47)*(J62:L62=J48)*(J63:L65))</f>
        <v>0</v>
      </c>
      <c r="K50" s="1597" t="s">
        <v>1503</v>
      </c>
      <c r="L50" s="1601"/>
      <c r="M50" s="1604"/>
      <c r="O50" s="1602" t="s">
        <v>1011</v>
      </c>
      <c r="P50" s="1593" t="s">
        <v>1504</v>
      </c>
      <c r="Q50" s="1605" t="e">
        <f ca="1">J58</f>
        <v>#DIV/0!</v>
      </c>
      <c r="R50" s="1594"/>
    </row>
    <row r="51" spans="1:18" s="1558" customFormat="1" ht="13.5" thickBot="1">
      <c r="A51" s="1101"/>
      <c r="B51" s="1103"/>
      <c r="C51" s="1104"/>
      <c r="D51" s="1077"/>
      <c r="E51" s="1105" t="s">
        <v>1372</v>
      </c>
      <c r="F51" s="309">
        <f ca="1">F8</f>
        <v>0</v>
      </c>
      <c r="I51" s="1606" t="s">
        <v>1505</v>
      </c>
      <c r="J51" s="1607">
        <f>IF(J49="",J50,J49+J50-YEAR('数据-取费表'!B2))</f>
        <v>0</v>
      </c>
      <c r="K51" s="1608" t="s">
        <v>1506</v>
      </c>
      <c r="L51" s="1609">
        <f ca="1">ROUND(-PV(INDIRECT("'数据-取费表'!h"&amp;$G$1),J51,(C39-C13*C76),0),0)</f>
        <v>0</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f ca="1">J53</f>
        <v>0</v>
      </c>
      <c r="R52" s="1594" t="s">
        <v>1511</v>
      </c>
    </row>
    <row r="53" spans="1:18" s="1558" customFormat="1" ht="30.75" customHeight="1" thickBot="1">
      <c r="A53" s="1263" t="s">
        <v>1105</v>
      </c>
      <c r="B53" s="329" t="s">
        <v>1374</v>
      </c>
      <c r="C53" s="322">
        <f ca="1">ROUND(IF(F53="押一",C49/12*F11,IF(F53="押二",C49/12*2*F11,IF(F53="押三",C49/12*3*F11,C54*F11))),0)</f>
        <v>0</v>
      </c>
      <c r="D53" s="1540" t="s">
        <v>2852</v>
      </c>
      <c r="E53" s="319" t="s">
        <v>1375</v>
      </c>
      <c r="F53" s="1268"/>
      <c r="I53" s="1613" t="s">
        <v>1512</v>
      </c>
      <c r="J53" s="2375">
        <f ca="1">IF(M47="住宅",IF(D1="——",MAX(J51,L48),MAX(J51,L48-'数据-取费表'!B24)),IF(D1="——",MIN(J51,L48),MIN(J51,L48-'数据-取费表'!B24)))</f>
        <v>0</v>
      </c>
      <c r="K53" s="3478" t="s">
        <v>1513</v>
      </c>
      <c r="L53" s="3479"/>
      <c r="O53" s="1592" t="s">
        <v>1014</v>
      </c>
      <c r="P53" s="1593" t="s">
        <v>1514</v>
      </c>
      <c r="Q53" s="1594" t="e">
        <f ca="1">Q47+Q48</f>
        <v>#DIV/0!</v>
      </c>
      <c r="R53" s="1594" t="s">
        <v>1015</v>
      </c>
    </row>
    <row r="54" spans="1:18" s="1558" customFormat="1" ht="13.5" thickBot="1">
      <c r="A54" s="1099"/>
      <c r="B54" s="1648" t="s">
        <v>1568</v>
      </c>
      <c r="C54" s="1083"/>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6"/>
      <c r="K54" s="1616"/>
      <c r="L54" s="1616"/>
      <c r="M54" s="1599"/>
      <c r="O54" s="1577" t="s">
        <v>1515</v>
      </c>
      <c r="P54" s="1555"/>
      <c r="Q54" s="1555"/>
      <c r="R54" s="1555"/>
    </row>
    <row r="55" spans="1:18" s="1558" customFormat="1" ht="13.5" thickBot="1">
      <c r="A55" s="1235" t="s">
        <v>1043</v>
      </c>
      <c r="B55" s="1543" t="s">
        <v>1378</v>
      </c>
      <c r="C55" s="1236"/>
      <c r="D55" s="1540"/>
      <c r="E55" s="1548"/>
      <c r="F55" s="1614"/>
      <c r="I55" s="1617" t="s">
        <v>1516</v>
      </c>
      <c r="J55" s="1618" t="e">
        <f ca="1">ROUND(IF(J47="钢混",J57/J50,1-(1-2%)*(J50-J57)/J50),3)</f>
        <v>#DIV/0!</v>
      </c>
      <c r="K55" s="1619" t="s">
        <v>1517</v>
      </c>
      <c r="L55" s="1620"/>
      <c r="O55" s="1585" t="s">
        <v>1487</v>
      </c>
      <c r="P55" s="1586" t="s">
        <v>1488</v>
      </c>
      <c r="Q55" s="1587" t="s">
        <v>1489</v>
      </c>
      <c r="R55" s="1587" t="s">
        <v>1490</v>
      </c>
    </row>
    <row r="56" spans="1:18" s="1558" customFormat="1" ht="36" customHeight="1" thickTop="1" thickBot="1">
      <c r="A56" s="1081">
        <v>2</v>
      </c>
      <c r="B56" s="1082" t="s">
        <v>1379</v>
      </c>
      <c r="C56" s="238">
        <f ca="1">C13</f>
        <v>0</v>
      </c>
      <c r="D56" s="1621"/>
      <c r="E56" s="1622"/>
      <c r="F56" s="1614"/>
      <c r="I56" s="1623" t="s">
        <v>1519</v>
      </c>
      <c r="J56" s="1624"/>
      <c r="K56" s="1595" t="s">
        <v>1520</v>
      </c>
      <c r="L56" s="1598">
        <f ca="1">IF(L48&lt;J51,"——",L48-J51)</f>
        <v>0</v>
      </c>
      <c r="O56" s="1592" t="s">
        <v>1008</v>
      </c>
      <c r="P56" s="1593" t="s">
        <v>1493</v>
      </c>
      <c r="Q56" s="1594" t="e">
        <f ca="1">C40+J29</f>
        <v>#DIV/0!</v>
      </c>
      <c r="R56" s="1594" t="s">
        <v>1494</v>
      </c>
    </row>
    <row r="57" spans="1:18" s="1558" customFormat="1" ht="24.75" thickBot="1">
      <c r="A57" s="1625"/>
      <c r="B57" s="1074" t="s">
        <v>1443</v>
      </c>
      <c r="C57" s="244">
        <f ca="1">C29</f>
        <v>0</v>
      </c>
      <c r="D57" s="1626"/>
      <c r="E57" s="1627"/>
      <c r="F57" s="1628"/>
      <c r="I57" s="1629" t="s">
        <v>1521</v>
      </c>
      <c r="J57" s="1630">
        <f ca="1">IF(OR(M47="住宅",J51&lt;L48,J56="是"),"——",J51-L48)</f>
        <v>0</v>
      </c>
      <c r="K57" s="1595" t="s">
        <v>1570</v>
      </c>
      <c r="L57" s="1598">
        <f ca="1">IF(L48&lt;J51,"——",IF(L55="比较法",L49,IF(L55="基准地价",L50,L51)))</f>
        <v>0</v>
      </c>
      <c r="O57" s="1592" t="s">
        <v>1009</v>
      </c>
      <c r="P57" s="1593" t="s">
        <v>1571</v>
      </c>
      <c r="Q57" s="1594" t="e">
        <f ca="1">L60</f>
        <v>#DIV/0!</v>
      </c>
      <c r="R57" s="1594" t="s">
        <v>1572</v>
      </c>
    </row>
    <row r="58" spans="1:18" s="1558" customFormat="1" ht="24.75" thickBot="1">
      <c r="A58" s="321" t="s">
        <v>998</v>
      </c>
      <c r="B58" s="1082" t="s">
        <v>1389</v>
      </c>
      <c r="C58" s="322">
        <f ca="1">ROUND(C59+C64+C65+C66,0)</f>
        <v>0</v>
      </c>
      <c r="D58" s="1084" t="s">
        <v>1390</v>
      </c>
      <c r="E58" s="1085"/>
      <c r="F58" s="1086"/>
      <c r="I58" s="1629" t="s">
        <v>1525</v>
      </c>
      <c r="J58" s="1631" t="e">
        <f ca="1">IF(J55&lt;0.4,0.4,J55)</f>
        <v>#DIV/0!</v>
      </c>
      <c r="K58" s="1608" t="s">
        <v>1573</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0</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#DIV/0!</v>
      </c>
      <c r="K59" s="15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8"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2" t="s">
        <v>1530</v>
      </c>
      <c r="J60" s="1633" t="e">
        <f ca="1">IF(OR(M47="住宅",J51&lt;L48,J56="是"),"0",ROUND(J59/(1+J52)^J53,0))</f>
        <v>#DIV/0!</v>
      </c>
      <c r="K60" s="1634" t="s">
        <v>1531</v>
      </c>
      <c r="L60" s="1633" t="e">
        <f ca="1">IF(OR(M47="住宅",L48&lt;J51),0,ROUND(L57*(L58/L59-1),0))</f>
        <v>#DIV/0!</v>
      </c>
      <c r="O60" s="1602" t="s">
        <v>1012</v>
      </c>
      <c r="P60" s="1593" t="s">
        <v>1532</v>
      </c>
      <c r="Q60" s="1594" t="e">
        <f ca="1">L58</f>
        <v>#DIV/0!</v>
      </c>
      <c r="R60" s="1594" t="s">
        <v>1533</v>
      </c>
    </row>
    <row r="61" spans="1:18" s="1558" customFormat="1" ht="13.5" thickBot="1">
      <c r="A61" s="1106" t="s">
        <v>1457</v>
      </c>
      <c r="B61" s="1074" t="s">
        <v>1458</v>
      </c>
      <c r="C61" s="24">
        <f ca="1">IF(项目基本情况!B11="自然人","——",IF(D61="按租金收入计税",ROUND(C49*F61/(1+'数据-取费表'!C42),0),IF(D61="按房产原值计税",ROUND(C57*F61*0.7,0),INDIRECT("'数据-取费表'!Aj"&amp;$G$1))))</f>
        <v>0</v>
      </c>
      <c r="D61" s="1544" t="s">
        <v>1403</v>
      </c>
      <c r="E61" s="1074" t="s">
        <v>1459</v>
      </c>
      <c r="F61" s="328">
        <f t="shared" si="0"/>
        <v>1.2E-2</v>
      </c>
      <c r="I61" s="1635"/>
      <c r="J61" s="1635"/>
      <c r="K61" s="1635"/>
      <c r="L61" s="1635"/>
      <c r="O61" s="1602" t="s">
        <v>1013</v>
      </c>
      <c r="P61" s="1593" t="str">
        <f>K59</f>
        <v>建设期及建筑物耐用年限下的土地年期修正系数Kn</v>
      </c>
      <c r="Q61" s="1594" t="e">
        <f ca="1">L59</f>
        <v>#DIV/0!</v>
      </c>
      <c r="R61" s="1594" t="s">
        <v>1534</v>
      </c>
    </row>
    <row r="62" spans="1:18" s="1558" customFormat="1" ht="13.5" thickBot="1">
      <c r="A62" s="1106" t="s">
        <v>1460</v>
      </c>
      <c r="B62" s="1073" t="s">
        <v>1461</v>
      </c>
      <c r="C62" s="25">
        <f ca="1">IF(项目基本情况!B11="自然人","——",ROUND(F62*F63,0))</f>
        <v>0</v>
      </c>
      <c r="D62" s="1089" t="s">
        <v>1462</v>
      </c>
      <c r="E62" s="1074" t="s">
        <v>1463</v>
      </c>
      <c r="F62" s="331">
        <f t="shared" si="0"/>
        <v>3</v>
      </c>
      <c r="I62" s="1636" t="s">
        <v>1535</v>
      </c>
      <c r="J62" s="1637" t="s">
        <v>1536</v>
      </c>
      <c r="K62" s="1637" t="s">
        <v>1537</v>
      </c>
      <c r="L62" s="1637" t="s">
        <v>1538</v>
      </c>
      <c r="M62" s="1638" t="s">
        <v>1539</v>
      </c>
      <c r="O62" s="1592" t="s">
        <v>1014</v>
      </c>
      <c r="P62" s="1593" t="s">
        <v>1540</v>
      </c>
      <c r="Q62" s="1594" t="e">
        <f ca="1">Q56+Q57</f>
        <v>#DIV/0!</v>
      </c>
      <c r="R62" s="1594" t="s">
        <v>1015</v>
      </c>
    </row>
    <row r="63" spans="1:18" s="1558" customFormat="1" ht="13.5" thickBot="1">
      <c r="A63" s="332"/>
      <c r="B63" s="1080"/>
      <c r="C63" s="29"/>
      <c r="D63" s="1090"/>
      <c r="E63" s="1074" t="s">
        <v>1464</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1465</v>
      </c>
      <c r="B64" s="1074" t="s">
        <v>1466</v>
      </c>
      <c r="C64" s="24">
        <f ca="1">ROUND(C57*F64,0)</f>
        <v>0</v>
      </c>
      <c r="D64" s="1088" t="s">
        <v>1467</v>
      </c>
      <c r="E64" s="1074" t="s">
        <v>1459</v>
      </c>
      <c r="F64" s="334">
        <f t="shared" ca="1" si="0"/>
        <v>0</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ROUND(C56*F65,0)</f>
        <v>0</v>
      </c>
      <c r="D65" s="1088" t="s">
        <v>1419</v>
      </c>
      <c r="E65" s="1074" t="s">
        <v>1420</v>
      </c>
      <c r="F65" s="336">
        <f t="shared" ca="1" si="0"/>
        <v>0</v>
      </c>
      <c r="I65" s="1636" t="s">
        <v>1544</v>
      </c>
      <c r="J65" s="1637">
        <v>40</v>
      </c>
      <c r="K65" s="1637">
        <v>30</v>
      </c>
      <c r="L65" s="1637">
        <v>50</v>
      </c>
      <c r="M65" s="1639">
        <v>0.02</v>
      </c>
      <c r="O65" s="1592" t="s">
        <v>1008</v>
      </c>
      <c r="P65" s="1593" t="s">
        <v>1545</v>
      </c>
      <c r="Q65" s="1594" t="e">
        <f ca="1">C40+J29</f>
        <v>#DIV/0!</v>
      </c>
      <c r="R65" s="1594" t="s">
        <v>1494</v>
      </c>
    </row>
    <row r="66" spans="1:18" s="1558" customFormat="1" ht="16.5" thickBot="1">
      <c r="A66" s="1106" t="s">
        <v>1469</v>
      </c>
      <c r="B66" s="1074" t="s">
        <v>1404</v>
      </c>
      <c r="C66" s="24">
        <f ca="1">ROUND(C48*F66,0)</f>
        <v>0</v>
      </c>
      <c r="D66" s="1088" t="s">
        <v>1470</v>
      </c>
      <c r="E66" s="1074" t="s">
        <v>1387</v>
      </c>
      <c r="F66" s="318">
        <f t="shared" ca="1" si="0"/>
        <v>0</v>
      </c>
      <c r="O66" s="1592" t="s">
        <v>1009</v>
      </c>
      <c r="P66" s="1593" t="s">
        <v>1523</v>
      </c>
      <c r="Q66" s="1594" t="e">
        <f ca="1">L60</f>
        <v>#DIV/0!</v>
      </c>
      <c r="R66" s="1594" t="s">
        <v>1546</v>
      </c>
    </row>
    <row r="67" spans="1:18" s="1558" customFormat="1" ht="16.5" thickBot="1">
      <c r="A67" s="1081" t="s">
        <v>999</v>
      </c>
      <c r="B67" s="1091" t="s">
        <v>1428</v>
      </c>
      <c r="C67" s="322">
        <f ca="1">C48-C58</f>
        <v>0</v>
      </c>
      <c r="D67" s="1087" t="s">
        <v>1429</v>
      </c>
      <c r="E67" s="1092"/>
      <c r="F67" s="1093"/>
      <c r="O67" s="1602" t="s">
        <v>1010</v>
      </c>
      <c r="P67" s="1593" t="s">
        <v>1527</v>
      </c>
      <c r="Q67" s="1640">
        <f ca="1">L51</f>
        <v>0</v>
      </c>
      <c r="R67" s="1594" t="s">
        <v>1547</v>
      </c>
    </row>
    <row r="68" spans="1:18" s="1558" customFormat="1" ht="16.5" thickBot="1">
      <c r="A68" s="1071" t="s">
        <v>1000</v>
      </c>
      <c r="B68" s="1072" t="s">
        <v>1450</v>
      </c>
      <c r="C68" s="307" t="e">
        <f ca="1">ROUND(C67*(1-((1+F70)/(1+F68))^F69)/(F68-F70),0)</f>
        <v>#DIV/0!</v>
      </c>
      <c r="D68" s="1089" t="s">
        <v>1434</v>
      </c>
      <c r="E68" s="1074" t="s">
        <v>1435</v>
      </c>
      <c r="F68" s="318">
        <f ca="1">F40</f>
        <v>0</v>
      </c>
      <c r="O68" s="1602" t="s">
        <v>1011</v>
      </c>
      <c r="P68" s="1641" t="s">
        <v>1548</v>
      </c>
      <c r="Q68" s="1594">
        <f ca="1">ROUND(Q69-Q70*Q71,0)</f>
        <v>0</v>
      </c>
      <c r="R68" s="1594" t="s">
        <v>1019</v>
      </c>
    </row>
    <row r="69" spans="1:18" s="1558" customFormat="1" ht="13.5" thickBot="1">
      <c r="A69" s="1075"/>
      <c r="B69" s="1076"/>
      <c r="C69" s="312"/>
      <c r="D69" s="1094" t="s">
        <v>1438</v>
      </c>
      <c r="E69" s="1074" t="s">
        <v>1439</v>
      </c>
      <c r="F69" s="339">
        <f ca="1">F41</f>
        <v>0</v>
      </c>
      <c r="O69" s="1602" t="s">
        <v>1016</v>
      </c>
      <c r="P69" s="1641" t="s">
        <v>1549</v>
      </c>
      <c r="Q69" s="1594">
        <f ca="1">C39</f>
        <v>0</v>
      </c>
      <c r="R69" s="1594" t="s">
        <v>1494</v>
      </c>
    </row>
    <row r="70" spans="1:18" s="1558" customFormat="1" ht="13.5" thickBot="1">
      <c r="A70" s="1078"/>
      <c r="B70" s="1079"/>
      <c r="C70" s="316"/>
      <c r="D70" s="1090"/>
      <c r="E70" s="1074" t="s">
        <v>1442</v>
      </c>
      <c r="F70" s="1177">
        <f ca="1">F42</f>
        <v>0</v>
      </c>
      <c r="O70" s="1602" t="s">
        <v>1017</v>
      </c>
      <c r="P70" s="1641" t="s">
        <v>1550</v>
      </c>
      <c r="Q70" s="1594">
        <f ca="1">C13</f>
        <v>0</v>
      </c>
      <c r="R70" s="1594" t="s">
        <v>1494</v>
      </c>
    </row>
    <row r="71" spans="1:18" s="1558" customFormat="1" ht="13.5" thickBot="1">
      <c r="A71" s="1095" t="s">
        <v>1001</v>
      </c>
      <c r="B71" s="1096" t="s">
        <v>1452</v>
      </c>
      <c r="C71" s="342" t="e">
        <f ca="1">ROUND(C68/F71,0)</f>
        <v>#DIV/0!</v>
      </c>
      <c r="D71" s="1097" t="s">
        <v>1453</v>
      </c>
      <c r="E71" s="1098" t="s">
        <v>1454</v>
      </c>
      <c r="F71" s="345">
        <f ca="1">F43</f>
        <v>0</v>
      </c>
      <c r="O71" s="1602" t="s">
        <v>1018</v>
      </c>
      <c r="P71" s="1641" t="s">
        <v>1551</v>
      </c>
      <c r="Q71" s="1605">
        <f ca="1">C76</f>
        <v>0</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建设期及建筑物耐用年限下的土地年期修正系数Kn</v>
      </c>
      <c r="Q74" s="1594" t="e">
        <f ca="1">L59</f>
        <v>#DIV/0!</v>
      </c>
      <c r="R74" s="1594" t="s">
        <v>1534</v>
      </c>
    </row>
    <row r="75" spans="1:18" ht="13.5" thickBot="1">
      <c r="A75" s="1558"/>
      <c r="B75" s="346" t="s">
        <v>1471</v>
      </c>
      <c r="C75" s="347">
        <f ca="1">ROUND(C13*C76,0)</f>
        <v>0</v>
      </c>
      <c r="D75" s="1558"/>
      <c r="E75" s="1558"/>
      <c r="F75" s="1558"/>
      <c r="K75" s="1576"/>
      <c r="L75" s="1558"/>
      <c r="O75" s="1592" t="s">
        <v>1014</v>
      </c>
      <c r="P75" s="1593" t="s">
        <v>1514</v>
      </c>
      <c r="Q75" s="1594" t="e">
        <f ca="1">Q65+Q66</f>
        <v>#DIV/0!</v>
      </c>
      <c r="R75" s="1594" t="s">
        <v>1015</v>
      </c>
    </row>
    <row r="76" spans="1:18">
      <c r="B76" s="348" t="s">
        <v>1472</v>
      </c>
      <c r="C76" s="349">
        <f ca="1">INDIRECT("'数据-取费表'!j"&amp;$G$1)</f>
        <v>0</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受贵公司委托，我公司对北京市丰台区丰仪路1号院1号楼1至2层101房地产抵押价值进行了预评估。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估价对象为北京市丰台区丰仪路1号院1号楼1至2层101房地产，为北京马连道投资管理公司所有。根据《国有土地使用证》[]，估价对象（分摊）出让国有建设用地使用权面积为0平方米，建筑面积为998.81平方米。</v>
      </c>
    </row>
    <row r="8" spans="1:1" ht="57.75">
      <c r="A8" s="1658" t="s">
        <v>1579</v>
      </c>
    </row>
    <row r="9" spans="1:1" ht="18.75">
      <c r="A9" s="1657" t="s">
        <v>1580</v>
      </c>
    </row>
    <row r="10" spans="1:1" ht="72">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仪路1号院1号楼1至2层101房地产,属北京马连道投资管理公司开发建设的居住项目，该项目尚在开发建设中。根据《国有土地使用证》[]，估价对象（分摊）出让国有建设用地使用权面积为0平方米，规划建筑面积为998.81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2021年11月23日（评估专业人员实地查勘之日）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5" t="str">
        <f>IF(项目基本情况!B9="房地产市场价值","——",IF(项目基本情况!E9="——","",定义!C57))</f>
        <v/>
      </c>
    </row>
    <row r="23" spans="1:1" ht="18.75">
      <c r="A23" s="1660" t="s">
        <v>1574</v>
      </c>
    </row>
    <row r="24" spans="1:1" ht="18">
      <c r="A24" s="1662" t="str">
        <f>"本次评估采用的主估价方法为"&amp;结果表!K4&amp;"和"&amp;结果表!L4&amp;"。"</f>
        <v>本次评估采用的主估价方法为基准地价系数修正法和收益法。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3181</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1200"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f ca="1">ROUND(IF(F10="押一",C6/12*F11,IF(F10="押二",C6/12*2*F11,IF(F10="押三",C6/12*3*F11,C11*F11))),0)</f>
        <v>0</v>
      </c>
      <c r="D10" s="1540" t="s">
        <v>2850</v>
      </c>
      <c r="E10" s="319" t="s">
        <v>1375</v>
      </c>
      <c r="F10" s="1268" t="s">
        <v>3271</v>
      </c>
      <c r="G10" s="1558"/>
      <c r="H10" s="1193" t="s">
        <v>1007</v>
      </c>
      <c r="I10" s="1539" t="s">
        <v>1374</v>
      </c>
      <c r="J10" s="307" t="e">
        <f ca="1">ROUND(IF(M10="押一",J6/12*M11,IF(M10="押二",J6/12*2*M11,IF(M10="押三",J6/12*3*M11,J11*M11))),0)</f>
        <v>#N/A</v>
      </c>
      <c r="K10" s="1540" t="s">
        <v>2849</v>
      </c>
      <c r="L10" s="319" t="s">
        <v>1375</v>
      </c>
      <c r="M10" s="1268" t="s">
        <v>1376</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1233" t="s">
        <v>1380</v>
      </c>
      <c r="E13" s="1233"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1519" t="s">
        <v>1383</v>
      </c>
      <c r="E14" s="1516"/>
      <c r="F14" s="325"/>
      <c r="G14" s="1558"/>
      <c r="H14" s="1106" t="s">
        <v>1003</v>
      </c>
      <c r="I14" s="308" t="s">
        <v>1384</v>
      </c>
      <c r="J14" s="24" t="e">
        <f ca="1">C29</f>
        <v>#N/A</v>
      </c>
      <c r="K14" s="15"/>
      <c r="L14" s="910"/>
      <c r="M14" s="911"/>
    </row>
    <row r="15" spans="1:37" s="1571" customFormat="1" ht="18" customHeight="1" thickBot="1">
      <c r="A15" s="1106" t="s">
        <v>1004</v>
      </c>
      <c r="B15" s="308" t="s">
        <v>1385</v>
      </c>
      <c r="C15" s="24" t="e">
        <f ca="1">ROUND(C14*F15,0)</f>
        <v>#N/A</v>
      </c>
      <c r="D15" s="326" t="s">
        <v>1386</v>
      </c>
      <c r="E15" s="326"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1240"/>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1534"/>
      <c r="F19" s="26"/>
      <c r="G19" s="1558"/>
      <c r="H19" s="1106" t="s">
        <v>1004</v>
      </c>
      <c r="I19" s="308" t="s">
        <v>1402</v>
      </c>
      <c r="J19" s="24" t="e">
        <f ca="1">IF(K19="按租金收入计税",ROUND(J6*M19/(1+'数据-取费表'!C42),2),ROUND(C29*M19*0.7,2))</f>
        <v>#N/A</v>
      </c>
      <c r="K19" s="1544" t="s">
        <v>1403</v>
      </c>
      <c r="L19" s="308" t="s">
        <v>1387</v>
      </c>
      <c r="M19" s="328">
        <f>IF(K19="按租金收入计税",'数据-取费表'!B51,'数据-取费表'!B50)</f>
        <v>1.2E-2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4"/>
      <c r="F22" s="26"/>
      <c r="G22" s="1558"/>
      <c r="H22" s="1106" t="s">
        <v>1007</v>
      </c>
      <c r="I22" s="308" t="s">
        <v>1414</v>
      </c>
      <c r="J22" s="24" t="e">
        <f ca="1">ROUND(J14*M22,1)</f>
        <v>#N/A</v>
      </c>
      <c r="K22" s="1518"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1518" t="s">
        <v>1419</v>
      </c>
      <c r="L23" s="308" t="s">
        <v>1420</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1358</v>
      </c>
      <c r="I24" s="1242" t="s">
        <v>1404</v>
      </c>
      <c r="J24" s="1243" t="e">
        <f ca="1">ROUND(J5*M24,1)</f>
        <v>#N/A</v>
      </c>
      <c r="K24" s="1244" t="s">
        <v>1424</v>
      </c>
      <c r="L24" s="1242" t="s">
        <v>1420</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1534"/>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26"/>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1240"/>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1518"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3272</v>
      </c>
      <c r="E33" s="308" t="s">
        <v>1387</v>
      </c>
      <c r="F33" s="328">
        <f>IF(D33="按票据","——",IF(D33="按租金收入计税",'数据-取费表'!B51,'数据-取费表'!B50))</f>
        <v>1.2E-2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1518"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1518" t="s">
        <v>1419</v>
      </c>
      <c r="E37" s="308" t="s">
        <v>1420</v>
      </c>
      <c r="F37" s="336" t="e">
        <f ca="1">INDIRECT("'数据-取费表'!Al"&amp;$G$1)</f>
        <v>#N/A</v>
      </c>
      <c r="G37" s="1558"/>
      <c r="H37" s="2916"/>
      <c r="I37" s="1572"/>
      <c r="J37" s="1573"/>
      <c r="K37" s="2758"/>
      <c r="L37" s="2916"/>
      <c r="M37" s="2916"/>
    </row>
    <row r="38" spans="1:18" ht="18" customHeight="1" thickBot="1">
      <c r="A38" s="1241" t="s">
        <v>1358</v>
      </c>
      <c r="B38" s="1242" t="s">
        <v>1404</v>
      </c>
      <c r="C38" s="1243" t="e">
        <f ca="1">ROUND(C5*F38,1)</f>
        <v>#N/A</v>
      </c>
      <c r="D38" s="1244" t="s">
        <v>1424</v>
      </c>
      <c r="E38" s="1242" t="s">
        <v>1420</v>
      </c>
      <c r="F38" s="1238" t="e">
        <f ca="1">INDIRECT("'数据-取费表'!Am"&amp;$G$1)</f>
        <v>#N/A</v>
      </c>
      <c r="G38" s="1558"/>
      <c r="H38" s="2916"/>
      <c r="I38" s="1572"/>
      <c r="J38" s="1573"/>
      <c r="K38" s="2920"/>
      <c r="L38" s="2916"/>
      <c r="M38" s="2916"/>
    </row>
    <row r="39" spans="1:18" ht="24.6" customHeight="1" thickTop="1">
      <c r="A39" s="1231" t="s">
        <v>999</v>
      </c>
      <c r="B39" s="1246" t="s">
        <v>1448</v>
      </c>
      <c r="C39" s="316" t="e">
        <f ca="1">C5-C30</f>
        <v>#N/A</v>
      </c>
      <c r="D39" s="1247" t="s">
        <v>1449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1533"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2843</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154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1458</v>
      </c>
      <c r="C61" s="24" t="e">
        <f ca="1">IF(项目基本情况!B11="自然人","——",IF(D61="按租金收入计税",ROUND(C49*F61/(1+'数据-取费表'!C42),2),IF(D61="按房产原值计税",ROUND(C57*F61*0.7,2),INDIRECT("'数据-取费表'!Aj"&amp;$G$1))))</f>
        <v>#N/A</v>
      </c>
      <c r="D61" s="1544" t="s">
        <v>1403</v>
      </c>
      <c r="E61" s="1074" t="s">
        <v>1459</v>
      </c>
      <c r="F61" s="328">
        <f t="shared" si="0"/>
        <v>1.2E-2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1461</v>
      </c>
      <c r="C62" s="25" t="e">
        <f ca="1">IF(项目基本情况!B11="自然人","——",ROUND(F62*F63/10000,2))</f>
        <v>#N/A</v>
      </c>
      <c r="D62" s="1089" t="s">
        <v>1462</v>
      </c>
      <c r="E62" s="1074" t="s">
        <v>1463</v>
      </c>
      <c r="F62" s="331">
        <f t="shared" si="0"/>
        <v>3</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32"/>
      <c r="B63" s="1080"/>
      <c r="C63" s="29"/>
      <c r="D63" s="1090"/>
      <c r="E63" s="1074" t="s">
        <v>1464</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1465</v>
      </c>
      <c r="B64" s="1074" t="s">
        <v>1466</v>
      </c>
      <c r="C64" s="24" t="e">
        <f ca="1">ROUND(C57*F64,1)</f>
        <v>#N/A</v>
      </c>
      <c r="D64" s="1088" t="s">
        <v>1467</v>
      </c>
      <c r="E64" s="1074" t="s">
        <v>1459</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1420</v>
      </c>
      <c r="F65" s="336"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6" t="s">
        <v>1469</v>
      </c>
      <c r="B66" s="1074" t="s">
        <v>1404</v>
      </c>
      <c r="C66" s="24" t="e">
        <f ca="1">ROUND(C48*F66,1)</f>
        <v>#N/A</v>
      </c>
      <c r="D66" s="1088" t="s">
        <v>1470</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E6" sqref="E6"/>
    </sheetView>
  </sheetViews>
  <sheetFormatPr defaultRowHeight="13.5"/>
  <cols>
    <col min="1" max="1" width="10.5" customWidth="1"/>
    <col min="2" max="2" width="12.875" customWidth="1"/>
    <col min="3" max="3" width="8.75" customWidth="1"/>
  </cols>
  <sheetData>
    <row r="1" spans="1:11" ht="14.25">
      <c r="A1" s="3480" t="s">
        <v>1044</v>
      </c>
      <c r="B1" s="3481"/>
      <c r="C1" s="3482"/>
      <c r="D1" s="3483">
        <f>SUM(I10,I15,I20,I21,I23)</f>
        <v>2957</v>
      </c>
      <c r="E1" s="3483"/>
      <c r="F1" s="3483"/>
      <c r="G1" s="3483"/>
      <c r="H1" s="3483"/>
      <c r="I1" s="3484"/>
    </row>
    <row r="2" spans="1:11">
      <c r="A2" s="3485" t="s">
        <v>1045</v>
      </c>
      <c r="B2" s="3486" t="s">
        <v>1046</v>
      </c>
      <c r="C2" s="3486"/>
      <c r="D2" s="1203" t="s">
        <v>1047</v>
      </c>
      <c r="E2" s="1203" t="s">
        <v>1048</v>
      </c>
      <c r="F2" s="1203" t="s">
        <v>1049</v>
      </c>
      <c r="G2" s="1203" t="s">
        <v>1050</v>
      </c>
      <c r="H2" s="1203" t="s">
        <v>1051</v>
      </c>
      <c r="I2" s="1204" t="s">
        <v>1052</v>
      </c>
    </row>
    <row r="3" spans="1:11">
      <c r="A3" s="3485"/>
      <c r="B3" s="3486" t="s">
        <v>1053</v>
      </c>
      <c r="C3" s="3486"/>
      <c r="D3" s="1205"/>
      <c r="E3" s="1203"/>
      <c r="F3" s="1206"/>
      <c r="G3" s="1206"/>
      <c r="H3" s="1207"/>
      <c r="I3" s="1208">
        <f>ROUND(D3*E3*F3*G3*H3/10000,0)</f>
        <v>0</v>
      </c>
    </row>
    <row r="4" spans="1:11">
      <c r="A4" s="3485"/>
      <c r="B4" s="3486" t="s">
        <v>1054</v>
      </c>
      <c r="C4" s="3486"/>
      <c r="D4" s="1205"/>
      <c r="E4" s="1203"/>
      <c r="F4" s="1206"/>
      <c r="G4" s="1206"/>
      <c r="H4" s="1207"/>
      <c r="I4" s="1208">
        <f t="shared" ref="I4:I9" si="0">ROUND(D4*E4*F4*G4*H4/10000,0)</f>
        <v>0</v>
      </c>
    </row>
    <row r="5" spans="1:11">
      <c r="A5" s="3485"/>
      <c r="B5" s="3486" t="s">
        <v>1055</v>
      </c>
      <c r="C5" s="3486"/>
      <c r="D5" s="1205"/>
      <c r="E5" s="1203"/>
      <c r="F5" s="1206"/>
      <c r="G5" s="1206"/>
      <c r="H5" s="1207"/>
      <c r="I5" s="1208">
        <f t="shared" si="0"/>
        <v>0</v>
      </c>
    </row>
    <row r="6" spans="1:11">
      <c r="A6" s="3485"/>
      <c r="B6" s="3486" t="s">
        <v>1056</v>
      </c>
      <c r="C6" s="3486"/>
      <c r="D6" s="1205">
        <v>200</v>
      </c>
      <c r="E6" s="1203">
        <v>450</v>
      </c>
      <c r="F6" s="1206">
        <v>1</v>
      </c>
      <c r="G6" s="1206">
        <v>0.6</v>
      </c>
      <c r="H6" s="1207">
        <v>365</v>
      </c>
      <c r="I6" s="1208">
        <f t="shared" si="0"/>
        <v>1971</v>
      </c>
      <c r="K6">
        <f>'数据-汇总表'!F19</f>
        <v>641.44000000000005</v>
      </c>
    </row>
    <row r="7" spans="1:11">
      <c r="A7" s="3485"/>
      <c r="B7" s="3486" t="s">
        <v>1057</v>
      </c>
      <c r="C7" s="3486"/>
      <c r="D7" s="1205"/>
      <c r="E7" s="1203"/>
      <c r="F7" s="1206"/>
      <c r="G7" s="1206"/>
      <c r="H7" s="1207"/>
      <c r="I7" s="1208">
        <f t="shared" si="0"/>
        <v>0</v>
      </c>
      <c r="K7">
        <f>K6/60</f>
        <v>10.690666666666667</v>
      </c>
    </row>
    <row r="8" spans="1:11">
      <c r="A8" s="3485"/>
      <c r="B8" s="3486" t="s">
        <v>1058</v>
      </c>
      <c r="C8" s="3486"/>
      <c r="D8" s="1205"/>
      <c r="E8" s="1203"/>
      <c r="F8" s="1206"/>
      <c r="G8" s="1206"/>
      <c r="H8" s="1207"/>
      <c r="I8" s="1208">
        <f t="shared" si="0"/>
        <v>0</v>
      </c>
    </row>
    <row r="9" spans="1:11">
      <c r="A9" s="3485"/>
      <c r="B9" s="3486" t="s">
        <v>1059</v>
      </c>
      <c r="C9" s="3486"/>
      <c r="D9" s="1205"/>
      <c r="E9" s="1203"/>
      <c r="F9" s="1206"/>
      <c r="G9" s="1206"/>
      <c r="H9" s="1207"/>
      <c r="I9" s="1208">
        <f t="shared" si="0"/>
        <v>0</v>
      </c>
    </row>
    <row r="10" spans="1:11">
      <c r="A10" s="3485"/>
      <c r="B10" s="3487" t="s">
        <v>1060</v>
      </c>
      <c r="C10" s="3487"/>
      <c r="D10" s="1209"/>
      <c r="E10" s="1209" t="e">
        <f>ROUND(D1*10000/D10/H9,0)</f>
        <v>#DIV/0!</v>
      </c>
      <c r="F10" s="1210"/>
      <c r="G10" s="1210"/>
      <c r="H10" s="1211"/>
      <c r="I10" s="1212">
        <f>SUM(I3:I9)</f>
        <v>1971</v>
      </c>
    </row>
    <row r="11" spans="1:11" ht="14.25">
      <c r="A11" s="3485" t="s">
        <v>1061</v>
      </c>
      <c r="B11" s="3486" t="s">
        <v>1062</v>
      </c>
      <c r="C11" s="3486"/>
      <c r="D11" s="1205" t="s">
        <v>1063</v>
      </c>
      <c r="E11" s="1205" t="s">
        <v>1064</v>
      </c>
      <c r="F11" s="1206" t="s">
        <v>1065</v>
      </c>
      <c r="G11" s="1206" t="s">
        <v>1051</v>
      </c>
      <c r="H11" s="1213" t="s">
        <v>1066</v>
      </c>
      <c r="I11" s="1204" t="s">
        <v>1052</v>
      </c>
    </row>
    <row r="12" spans="1:11">
      <c r="A12" s="3485"/>
      <c r="B12" s="3486" t="s">
        <v>1067</v>
      </c>
      <c r="C12" s="3486"/>
      <c r="D12" s="1205"/>
      <c r="E12" s="1205"/>
      <c r="F12" s="1206"/>
      <c r="G12" s="1207"/>
      <c r="H12" s="1214"/>
      <c r="I12" s="1204">
        <f>ROUND(D12*E12*F12*G12/10000,0)</f>
        <v>0</v>
      </c>
    </row>
    <row r="13" spans="1:11">
      <c r="A13" s="3485"/>
      <c r="B13" s="3486" t="s">
        <v>1068</v>
      </c>
      <c r="C13" s="3486"/>
      <c r="D13" s="1205"/>
      <c r="E13" s="1205"/>
      <c r="F13" s="1206"/>
      <c r="G13" s="1207"/>
      <c r="H13" s="1214"/>
      <c r="I13" s="1204">
        <f>ROUND(D13*E13*F13*G13/10000,0)</f>
        <v>0</v>
      </c>
    </row>
    <row r="14" spans="1:11">
      <c r="A14" s="3485"/>
      <c r="B14" s="3486" t="s">
        <v>1069</v>
      </c>
      <c r="C14" s="3486"/>
      <c r="D14" s="1205"/>
      <c r="E14" s="1205"/>
      <c r="F14" s="1206"/>
      <c r="G14" s="1207"/>
      <c r="H14" s="1214"/>
      <c r="I14" s="1204">
        <f>ROUND(D14*E14*F14*G14/10000,0)</f>
        <v>0</v>
      </c>
    </row>
    <row r="15" spans="1:11">
      <c r="A15" s="3485"/>
      <c r="B15" s="3487" t="s">
        <v>1060</v>
      </c>
      <c r="C15" s="3487"/>
      <c r="D15" s="1209"/>
      <c r="E15" s="1209">
        <f>SUM(E12:E14)</f>
        <v>0</v>
      </c>
      <c r="F15" s="1210"/>
      <c r="G15" s="1207"/>
      <c r="H15" s="1214"/>
      <c r="I15" s="1215">
        <f>SUM(I12:I14)</f>
        <v>0</v>
      </c>
    </row>
    <row r="16" spans="1:11" ht="24">
      <c r="A16" s="3485" t="s">
        <v>1070</v>
      </c>
      <c r="B16" s="3486" t="s">
        <v>1071</v>
      </c>
      <c r="C16" s="3486"/>
      <c r="D16" s="1205" t="s">
        <v>1047</v>
      </c>
      <c r="E16" s="1216" t="s">
        <v>1072</v>
      </c>
      <c r="F16" s="1206" t="s">
        <v>1073</v>
      </c>
      <c r="G16" s="1207" t="s">
        <v>1051</v>
      </c>
      <c r="H16" s="1213" t="s">
        <v>1066</v>
      </c>
      <c r="I16" s="1204" t="s">
        <v>1052</v>
      </c>
    </row>
    <row r="17" spans="1:9" ht="14.25">
      <c r="A17" s="3485"/>
      <c r="B17" s="3486" t="s">
        <v>1074</v>
      </c>
      <c r="C17" s="3486"/>
      <c r="D17" s="1205"/>
      <c r="E17" s="1205"/>
      <c r="F17" s="1206"/>
      <c r="G17" s="1207"/>
      <c r="H17" s="1217"/>
      <c r="I17" s="1218">
        <f>ROUND(D17*E17*F17*G17/10000,0)</f>
        <v>0</v>
      </c>
    </row>
    <row r="18" spans="1:9" ht="14.25">
      <c r="A18" s="3485"/>
      <c r="B18" s="3486" t="s">
        <v>1075</v>
      </c>
      <c r="C18" s="3486"/>
      <c r="D18" s="1205"/>
      <c r="E18" s="1205"/>
      <c r="F18" s="1206"/>
      <c r="G18" s="1207"/>
      <c r="H18" s="1217"/>
      <c r="I18" s="1218">
        <f>ROUND(D18*E18*F18*G18/10000,0)</f>
        <v>0</v>
      </c>
    </row>
    <row r="19" spans="1:9" ht="14.25">
      <c r="A19" s="3485"/>
      <c r="B19" s="3486" t="s">
        <v>1076</v>
      </c>
      <c r="C19" s="3486"/>
      <c r="D19" s="1205"/>
      <c r="E19" s="1205"/>
      <c r="F19" s="1206"/>
      <c r="G19" s="1207"/>
      <c r="H19" s="1217"/>
      <c r="I19" s="1218">
        <f>ROUND(D19*E19*F19*G19/10000,0)</f>
        <v>0</v>
      </c>
    </row>
    <row r="20" spans="1:9">
      <c r="A20" s="3485"/>
      <c r="B20" s="3487" t="s">
        <v>1060</v>
      </c>
      <c r="C20" s="3487"/>
      <c r="D20" s="1209">
        <f>SUM(D17:D19)</f>
        <v>0</v>
      </c>
      <c r="E20" s="1209"/>
      <c r="F20" s="1210"/>
      <c r="G20" s="1207"/>
      <c r="H20" s="1214"/>
      <c r="I20" s="1215">
        <f>SUM(I17:I19)</f>
        <v>0</v>
      </c>
    </row>
    <row r="21" spans="1:9">
      <c r="A21" s="3485" t="s">
        <v>1077</v>
      </c>
      <c r="B21" s="3489"/>
      <c r="C21" s="3489"/>
      <c r="D21" s="3489"/>
      <c r="E21" s="3489"/>
      <c r="F21" s="3489"/>
      <c r="G21" s="3489"/>
      <c r="H21" s="1493">
        <v>0.5</v>
      </c>
      <c r="I21" s="1212">
        <f>ROUND(I10*H21,0)</f>
        <v>986</v>
      </c>
    </row>
    <row r="22" spans="1:9" ht="14.25">
      <c r="A22" s="3490" t="s">
        <v>1078</v>
      </c>
      <c r="B22" s="3491"/>
      <c r="C22" s="3492"/>
      <c r="D22" s="1219" t="s">
        <v>1079</v>
      </c>
      <c r="E22" s="1219" t="s">
        <v>1080</v>
      </c>
      <c r="F22" s="1220" t="s">
        <v>1081</v>
      </c>
      <c r="G22" s="1220" t="s">
        <v>1082</v>
      </c>
      <c r="H22" s="1213" t="s">
        <v>1083</v>
      </c>
      <c r="I22" s="1204" t="s">
        <v>1084</v>
      </c>
    </row>
    <row r="23" spans="1:9" ht="14.25" thickBot="1">
      <c r="A23" s="3493"/>
      <c r="B23" s="3494"/>
      <c r="C23" s="3495"/>
      <c r="D23" s="1221"/>
      <c r="E23" s="1221"/>
      <c r="F23" s="1221"/>
      <c r="G23" s="1222"/>
      <c r="H23" s="1223"/>
      <c r="I23" s="1224">
        <f>ROUND(E23*D23*F23*(1-G23)/10000,0)</f>
        <v>0</v>
      </c>
    </row>
    <row r="26" spans="1:9">
      <c r="A26" s="1225" t="s">
        <v>1085</v>
      </c>
      <c r="B26" s="1225"/>
      <c r="C26" s="1225"/>
      <c r="D26" s="1225"/>
      <c r="E26" s="3496">
        <f>C27-C30-C31-C32</f>
        <v>1626.3500000000001</v>
      </c>
      <c r="F26" s="3496"/>
      <c r="G26" s="3496"/>
      <c r="H26" s="1490" t="s">
        <v>1306</v>
      </c>
    </row>
    <row r="27" spans="1:9">
      <c r="A27" s="1226">
        <v>1</v>
      </c>
      <c r="B27" s="1227" t="s">
        <v>1086</v>
      </c>
      <c r="C27" s="1227">
        <f>C28+C29</f>
        <v>2957</v>
      </c>
      <c r="D27" s="1227"/>
      <c r="E27" s="3497"/>
      <c r="F27" s="3497"/>
      <c r="G27" s="3497"/>
    </row>
    <row r="28" spans="1:9">
      <c r="A28" s="1228" t="s">
        <v>1087</v>
      </c>
      <c r="B28" s="1227" t="s">
        <v>1088</v>
      </c>
      <c r="C28" s="1227">
        <f>I10</f>
        <v>1971</v>
      </c>
      <c r="D28" s="1227"/>
      <c r="E28" s="3497"/>
      <c r="F28" s="3497"/>
      <c r="G28" s="3497"/>
    </row>
    <row r="29" spans="1:9">
      <c r="A29" s="1228" t="s">
        <v>1089</v>
      </c>
      <c r="B29" s="1227" t="s">
        <v>1090</v>
      </c>
      <c r="C29" s="1227">
        <f>I21</f>
        <v>986</v>
      </c>
      <c r="D29" s="1227"/>
      <c r="E29" s="1227" t="s">
        <v>1091</v>
      </c>
      <c r="F29" s="1227"/>
      <c r="G29" s="1227"/>
    </row>
    <row r="30" spans="1:9">
      <c r="A30" s="1226">
        <v>2</v>
      </c>
      <c r="B30" s="1227" t="s">
        <v>1092</v>
      </c>
      <c r="C30" s="1227">
        <f>C27*D30</f>
        <v>739.25</v>
      </c>
      <c r="D30" s="1229">
        <v>0.25</v>
      </c>
      <c r="E30" s="1227" t="s">
        <v>1093</v>
      </c>
      <c r="F30" s="1227"/>
      <c r="G30" s="1227"/>
    </row>
    <row r="31" spans="1:9">
      <c r="A31" s="1226">
        <v>3</v>
      </c>
      <c r="B31" s="1227" t="s">
        <v>1094</v>
      </c>
      <c r="C31" s="1227">
        <f>C27*D31</f>
        <v>443.55</v>
      </c>
      <c r="D31" s="1229">
        <v>0.15</v>
      </c>
      <c r="E31" s="1227" t="s">
        <v>1095</v>
      </c>
      <c r="F31" s="1227"/>
      <c r="G31" s="1227"/>
    </row>
    <row r="32" spans="1:9">
      <c r="A32" s="1226">
        <v>4</v>
      </c>
      <c r="B32" s="1227" t="s">
        <v>1096</v>
      </c>
      <c r="C32" s="1227">
        <f>C27*D32</f>
        <v>147.85</v>
      </c>
      <c r="D32" s="1229">
        <v>0.05</v>
      </c>
      <c r="E32" s="3488"/>
      <c r="F32" s="3488"/>
      <c r="G32" s="3488"/>
    </row>
    <row r="33" spans="1:7" hidden="1">
      <c r="A33" s="3498" t="s">
        <v>1097</v>
      </c>
      <c r="B33" s="3499"/>
      <c r="C33" s="3499"/>
      <c r="D33" s="3500"/>
      <c r="E33" s="3496"/>
      <c r="F33" s="3496"/>
      <c r="G33" s="3496"/>
    </row>
    <row r="34" spans="1:7" hidden="1">
      <c r="A34" s="1230">
        <v>1</v>
      </c>
      <c r="B34" s="1227" t="s">
        <v>1098</v>
      </c>
      <c r="C34" s="1227"/>
      <c r="D34" s="1227"/>
      <c r="E34" s="3497"/>
      <c r="F34" s="3497"/>
      <c r="G34" s="3497"/>
    </row>
    <row r="35" spans="1:7" hidden="1">
      <c r="A35" s="1230">
        <v>2</v>
      </c>
      <c r="B35" s="1227" t="s">
        <v>1099</v>
      </c>
      <c r="C35" s="1227"/>
      <c r="D35" s="1227"/>
      <c r="E35" s="3497"/>
      <c r="F35" s="3497"/>
      <c r="G35" s="3497"/>
    </row>
    <row r="36" spans="1:7" hidden="1">
      <c r="A36" s="1230">
        <v>3</v>
      </c>
      <c r="B36" s="1227" t="s">
        <v>1100</v>
      </c>
      <c r="C36" s="1227"/>
      <c r="D36" s="1227"/>
      <c r="E36" s="3497"/>
      <c r="F36" s="3497"/>
      <c r="G36" s="3497"/>
    </row>
    <row r="37" spans="1:7" hidden="1">
      <c r="A37" s="1230">
        <v>4</v>
      </c>
      <c r="B37" s="1227" t="s">
        <v>1101</v>
      </c>
      <c r="C37" s="1227"/>
      <c r="D37" s="1227"/>
      <c r="E37" s="3497"/>
      <c r="F37" s="3497"/>
      <c r="G37" s="3497"/>
    </row>
    <row r="38" spans="1:7" hidden="1">
      <c r="A38" s="3498" t="s">
        <v>1102</v>
      </c>
      <c r="B38" s="3499"/>
      <c r="C38" s="3499"/>
      <c r="D38" s="3500"/>
      <c r="E38" s="3496"/>
      <c r="F38" s="3496"/>
      <c r="G38" s="3496"/>
    </row>
    <row r="39" spans="1:7">
      <c r="D39" s="3122">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053" t="s">
        <v>2348</v>
      </c>
      <c r="C1" s="1397" t="s">
        <v>2349</v>
      </c>
      <c r="D1" s="1384"/>
      <c r="E1" s="2533"/>
      <c r="F1" s="2054" t="s">
        <v>2350</v>
      </c>
      <c r="G1" s="1394" t="s">
        <v>2351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3" customFormat="1" ht="28.5" customHeight="1" thickTop="1">
      <c r="A2" s="1380" t="s">
        <v>1359</v>
      </c>
      <c r="B2" s="1318" t="e">
        <f ca="1">IF(C2="——",ROUND(C49*D3/10000,0),ROUND(C49*D3/10000,0)-D2)</f>
        <v>#DIV/0!</v>
      </c>
      <c r="C2" s="2056"/>
      <c r="D2" s="1267" t="e">
        <f ca="1">SUMIF(INDIRECT("'"&amp;F2&amp;"'"&amp;"!A:A"),"承租人权益价值",INDIRECT("'"&amp;F2&amp;"'"&amp;"!c:c"))</f>
        <v>#REF!</v>
      </c>
      <c r="E2" s="2057" t="s">
        <v>2352</v>
      </c>
      <c r="F2" s="2058"/>
      <c r="G2" s="1031"/>
      <c r="H2" s="1031"/>
      <c r="I2" s="1031"/>
      <c r="J2" s="1031"/>
      <c r="K2" s="2059"/>
      <c r="L2" s="2929"/>
      <c r="M2" s="2930"/>
      <c r="N2" s="2930"/>
      <c r="O2" s="2930"/>
      <c r="P2" s="2060"/>
      <c r="Q2" s="2061"/>
      <c r="R2" s="2061"/>
      <c r="S2" s="2061"/>
      <c r="T2" s="2061"/>
      <c r="U2" s="2061"/>
      <c r="V2" s="2061"/>
      <c r="W2" s="2061"/>
      <c r="X2" s="2061"/>
      <c r="Y2" s="2061"/>
      <c r="Z2" s="2061"/>
      <c r="AA2" s="2061"/>
      <c r="AB2" s="2061"/>
      <c r="AC2" s="2062"/>
    </row>
    <row r="3" spans="1:29" s="353" customFormat="1" ht="28.5" customHeight="1" thickBot="1">
      <c r="A3" s="209" t="s">
        <v>1360</v>
      </c>
      <c r="B3" s="359" t="e">
        <f ca="1">IF(C2="——",C49,ROUND(B2*10000/D3,0))</f>
        <v>#DIV/0!</v>
      </c>
      <c r="C3" s="360" t="s">
        <v>2353</v>
      </c>
      <c r="D3" s="359">
        <f>IF(D1="",'数据-汇总表'!E3,SUMIF('数据-汇总表'!$C19:$C33,D1,'数据-汇总表'!$E19:$E33))</f>
        <v>998.81000000000006</v>
      </c>
      <c r="E3" s="1031"/>
      <c r="F3" s="2063"/>
      <c r="G3" s="1031"/>
      <c r="H3" s="1031"/>
      <c r="I3" s="1031"/>
      <c r="J3" s="1031"/>
      <c r="K3" s="2059"/>
      <c r="L3" s="2929"/>
      <c r="M3" s="2930"/>
      <c r="N3" s="2930"/>
      <c r="O3" s="2930"/>
      <c r="P3" s="2060"/>
      <c r="Q3" s="2061"/>
      <c r="R3" s="2061"/>
      <c r="S3" s="2061"/>
      <c r="T3" s="2061"/>
      <c r="U3" s="2061"/>
      <c r="V3" s="2061"/>
      <c r="W3" s="2061"/>
      <c r="X3" s="2061"/>
      <c r="Y3" s="2061"/>
      <c r="Z3" s="2061"/>
      <c r="AA3" s="2061"/>
      <c r="AB3" s="2061"/>
      <c r="AC3" s="1184"/>
    </row>
    <row r="4" spans="1:29" ht="15">
      <c r="A4" s="361" t="s">
        <v>2354</v>
      </c>
      <c r="B4" s="362"/>
      <c r="C4" s="3404" t="s">
        <v>2355</v>
      </c>
      <c r="D4" s="3405"/>
      <c r="E4" s="3406" t="s">
        <v>2356</v>
      </c>
      <c r="F4" s="3407"/>
      <c r="G4" s="3404" t="s">
        <v>2357</v>
      </c>
      <c r="H4" s="3405"/>
      <c r="I4" s="3404" t="s">
        <v>2358</v>
      </c>
      <c r="J4" s="3405"/>
      <c r="K4" s="2064" t="s">
        <v>2359</v>
      </c>
      <c r="L4" s="2931"/>
      <c r="M4" s="2932"/>
      <c r="N4" s="2932"/>
      <c r="O4" s="2932"/>
      <c r="P4" s="3408" t="s">
        <v>2360</v>
      </c>
      <c r="Q4" s="3409"/>
      <c r="R4" s="3391" t="s">
        <v>2356</v>
      </c>
      <c r="S4" s="3392"/>
      <c r="T4" s="3391" t="s">
        <v>2357</v>
      </c>
      <c r="U4" s="3392"/>
      <c r="V4" s="3416" t="s">
        <v>2358</v>
      </c>
      <c r="W4" s="3416"/>
      <c r="X4" s="1529"/>
      <c r="Y4" s="3391" t="s">
        <v>2360</v>
      </c>
      <c r="Z4" s="3392"/>
      <c r="AA4" s="3386" t="s">
        <v>2356</v>
      </c>
      <c r="AB4" s="3386" t="s">
        <v>2357</v>
      </c>
      <c r="AC4" s="3386" t="s">
        <v>2358</v>
      </c>
    </row>
    <row r="5" spans="1:29" ht="15">
      <c r="A5" s="364"/>
      <c r="B5" s="365"/>
      <c r="C5" s="3397" t="s">
        <v>2361</v>
      </c>
      <c r="D5" s="3398"/>
      <c r="E5" s="3395" t="s">
        <v>2362</v>
      </c>
      <c r="F5" s="3396"/>
      <c r="G5" s="3397" t="s">
        <v>2363</v>
      </c>
      <c r="H5" s="3398"/>
      <c r="I5" s="3397" t="s">
        <v>2364</v>
      </c>
      <c r="J5" s="3398"/>
      <c r="K5" s="2065"/>
      <c r="L5" s="2931"/>
      <c r="M5" s="2932"/>
      <c r="N5" s="2932"/>
      <c r="O5" s="2932"/>
      <c r="P5" s="3410"/>
      <c r="Q5" s="3411"/>
      <c r="R5" s="3393"/>
      <c r="S5" s="3394"/>
      <c r="T5" s="3393"/>
      <c r="U5" s="3394"/>
      <c r="V5" s="3416"/>
      <c r="W5" s="3416"/>
      <c r="X5" s="1529"/>
      <c r="Y5" s="3393"/>
      <c r="Z5" s="3394"/>
      <c r="AA5" s="3387"/>
      <c r="AB5" s="3387"/>
      <c r="AC5" s="3387"/>
    </row>
    <row r="6" spans="1:29" ht="15.75" thickBot="1">
      <c r="A6" s="366"/>
      <c r="B6" s="367"/>
      <c r="C6" s="3399" t="s">
        <v>2365</v>
      </c>
      <c r="D6" s="3400"/>
      <c r="E6" s="3401" t="s">
        <v>2365</v>
      </c>
      <c r="F6" s="3402"/>
      <c r="G6" s="3399" t="s">
        <v>2365</v>
      </c>
      <c r="H6" s="3400"/>
      <c r="I6" s="3399" t="s">
        <v>2365</v>
      </c>
      <c r="J6" s="3400"/>
      <c r="K6" s="2065" t="s">
        <v>2366</v>
      </c>
      <c r="L6" s="2931"/>
      <c r="M6" s="2932"/>
      <c r="N6" s="2932"/>
      <c r="O6" s="2932"/>
      <c r="P6" s="3412"/>
      <c r="Q6" s="3413"/>
      <c r="R6" s="3393"/>
      <c r="S6" s="3394"/>
      <c r="T6" s="3414"/>
      <c r="U6" s="3415"/>
      <c r="V6" s="3416"/>
      <c r="W6" s="3416"/>
      <c r="X6" s="1529"/>
      <c r="Y6" s="3414"/>
      <c r="Z6" s="3415"/>
      <c r="AA6" s="3388"/>
      <c r="AB6" s="3388"/>
      <c r="AC6" s="3388"/>
    </row>
    <row r="7" spans="1:29" s="113" customFormat="1" ht="15.75" thickBot="1">
      <c r="A7" s="368" t="s">
        <v>2367</v>
      </c>
      <c r="B7" s="369"/>
      <c r="C7" s="370">
        <f>'数据-取费表'!B2</f>
        <v>44523</v>
      </c>
      <c r="D7" s="371">
        <v>100</v>
      </c>
      <c r="E7" s="372"/>
      <c r="F7" s="373">
        <f>SUMIF(58:58,YEAR(E7)&amp;"-"&amp;MONTH(E7),59:59)</f>
        <v>0</v>
      </c>
      <c r="G7" s="372"/>
      <c r="H7" s="371">
        <f>SUMIF(58:58,YEAR(G7)&amp;"-"&amp;MONTH(G7),59:59)</f>
        <v>0</v>
      </c>
      <c r="I7" s="372"/>
      <c r="J7" s="371">
        <f>SUMIF(58:58,YEAR(I7)&amp;"-"&amp;MONTH(I7),59:59)</f>
        <v>0</v>
      </c>
      <c r="K7" s="2066"/>
      <c r="L7" s="2933"/>
      <c r="M7" s="2934"/>
      <c r="N7" s="2934"/>
      <c r="O7" s="2934"/>
      <c r="P7" s="3389" t="s">
        <v>2368</v>
      </c>
      <c r="Q7" s="3417"/>
      <c r="R7" s="710" t="s">
        <v>23</v>
      </c>
      <c r="S7" s="711">
        <f t="shared" ref="S7:S15" si="0">F7</f>
        <v>0</v>
      </c>
      <c r="T7" s="710" t="s">
        <v>23</v>
      </c>
      <c r="U7" s="711">
        <f t="shared" ref="U7:U15" si="1">H7</f>
        <v>0</v>
      </c>
      <c r="V7" s="710" t="s">
        <v>23</v>
      </c>
      <c r="W7" s="711">
        <f t="shared" ref="W7:W15" si="2">J7</f>
        <v>0</v>
      </c>
      <c r="X7" s="712"/>
      <c r="Y7" s="3389" t="s">
        <v>2368</v>
      </c>
      <c r="Z7" s="3390"/>
      <c r="AA7" s="713" t="e">
        <f>D7/F7</f>
        <v>#DIV/0!</v>
      </c>
      <c r="AB7" s="713" t="e">
        <f>D7/H7</f>
        <v>#DIV/0!</v>
      </c>
      <c r="AC7" s="713" t="e">
        <f>D7/J7</f>
        <v>#DIV/0!</v>
      </c>
    </row>
    <row r="8" spans="1:29" s="113" customFormat="1" ht="15.75" thickBot="1">
      <c r="A8" s="368" t="s">
        <v>2369</v>
      </c>
      <c r="B8" s="369"/>
      <c r="C8" s="374" t="s">
        <v>2370</v>
      </c>
      <c r="D8" s="371">
        <v>100</v>
      </c>
      <c r="E8" s="2067"/>
      <c r="F8" s="373">
        <f>SUMIF(61:61,E8,62:62)-SUMIF(61:61,C8,62:62)+100</f>
        <v>0</v>
      </c>
      <c r="G8" s="374"/>
      <c r="H8" s="371">
        <f>SUMIF(61:61,G8,62:62)-SUMIF(61:61,C8,62:62)+100</f>
        <v>0</v>
      </c>
      <c r="I8" s="2067"/>
      <c r="J8" s="371">
        <f>SUMIF(61:61,I8,62:62)-SUMIF(61:61,C8,62:62)+100</f>
        <v>0</v>
      </c>
      <c r="K8" s="2066"/>
      <c r="L8" s="2933"/>
      <c r="M8" s="2934"/>
      <c r="N8" s="2934"/>
      <c r="O8" s="2934"/>
      <c r="P8" s="3389" t="s">
        <v>2371</v>
      </c>
      <c r="Q8" s="3390"/>
      <c r="R8" s="710" t="s">
        <v>23</v>
      </c>
      <c r="S8" s="711">
        <f t="shared" si="0"/>
        <v>0</v>
      </c>
      <c r="T8" s="710" t="s">
        <v>23</v>
      </c>
      <c r="U8" s="711">
        <f t="shared" si="1"/>
        <v>0</v>
      </c>
      <c r="V8" s="710" t="s">
        <v>23</v>
      </c>
      <c r="W8" s="711">
        <f t="shared" si="2"/>
        <v>0</v>
      </c>
      <c r="X8" s="712"/>
      <c r="Y8" s="3389" t="s">
        <v>2371</v>
      </c>
      <c r="Z8" s="3390"/>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66"/>
      <c r="L9" s="2933"/>
      <c r="M9" s="2934"/>
      <c r="N9" s="2934"/>
      <c r="O9" s="2934"/>
      <c r="P9" s="3427"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427"/>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427"/>
      <c r="Q11" s="1517"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68">
        <v>111</v>
      </c>
      <c r="C12" s="391"/>
      <c r="D12" s="392">
        <v>100</v>
      </c>
      <c r="E12" s="391"/>
      <c r="F12" s="384">
        <f>SUMIF(70:70,E12,71:71)-SUMIF(70:70,C12,71:71)+100</f>
        <v>100</v>
      </c>
      <c r="G12" s="391"/>
      <c r="H12" s="132">
        <f>SUMIF(70:70,G12,71:71)-SUMIF(70:70,C12,71:71)+100</f>
        <v>100</v>
      </c>
      <c r="I12" s="391"/>
      <c r="J12" s="132">
        <f>SUMIF(70:70,I12,71:71)-SUMIF(70:70,C12,71:71)+100</f>
        <v>100</v>
      </c>
      <c r="K12" s="2069"/>
      <c r="L12" s="2933"/>
      <c r="M12" s="2934"/>
      <c r="N12" s="2934"/>
      <c r="O12" s="2934"/>
      <c r="P12" s="3427"/>
      <c r="Q12" s="1517">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68">
        <v>111</v>
      </c>
      <c r="C13" s="393"/>
      <c r="D13" s="394">
        <v>100</v>
      </c>
      <c r="E13" s="393"/>
      <c r="F13" s="384">
        <f>SUMIF(72:72,E13,73:73)-SUMIF(72:72,C13,73:73)+100</f>
        <v>100</v>
      </c>
      <c r="G13" s="393"/>
      <c r="H13" s="394">
        <f>SUMIF(72:72,G13,73:73)-SUMIF(72:72,C13,73:73)+100</f>
        <v>100</v>
      </c>
      <c r="I13" s="393"/>
      <c r="J13" s="394">
        <f>SUMIF(72:72,I13,73:73)-SUMIF(72:72,C13,73:73)+100</f>
        <v>100</v>
      </c>
      <c r="K13" s="2069"/>
      <c r="L13" s="2938"/>
      <c r="M13" s="2932"/>
      <c r="N13" s="2932"/>
      <c r="O13" s="2932"/>
      <c r="P13" s="3427"/>
      <c r="Q13" s="1517">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70">
        <v>111</v>
      </c>
      <c r="C14" s="396"/>
      <c r="D14" s="397">
        <v>100</v>
      </c>
      <c r="E14" s="396"/>
      <c r="F14" s="398">
        <f>SUMIF(74:74,E14,75:75)-SUMIF(74:74,C14,75:75)+100</f>
        <v>100</v>
      </c>
      <c r="G14" s="396"/>
      <c r="H14" s="397">
        <f>SUMIF(74:74,G14,75:75)-SUMIF(74:74,C14,75:75)+100</f>
        <v>100</v>
      </c>
      <c r="I14" s="396"/>
      <c r="J14" s="397">
        <f>SUMIF(74:74,I14,75:75)-SUMIF(74:74,C14,75:75)+100</f>
        <v>100</v>
      </c>
      <c r="K14" s="2069"/>
      <c r="L14" s="2938"/>
      <c r="M14" s="2932"/>
      <c r="N14" s="2932"/>
      <c r="O14" s="2932"/>
      <c r="P14" s="3427"/>
      <c r="Q14" s="1517">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15">
      <c r="A15" s="399" t="s">
        <v>2378</v>
      </c>
      <c r="B15" s="65" t="s">
        <v>1942</v>
      </c>
      <c r="C15" s="2071"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459" t="s">
        <v>2379</v>
      </c>
      <c r="Q15" s="1526" t="str">
        <f t="shared" si="6"/>
        <v>居住社区成熟度</v>
      </c>
      <c r="R15" s="714" t="s">
        <v>21</v>
      </c>
      <c r="S15" s="715">
        <f t="shared" si="0"/>
        <v>100</v>
      </c>
      <c r="T15" s="714" t="s">
        <v>21</v>
      </c>
      <c r="U15" s="715">
        <f t="shared" si="1"/>
        <v>100</v>
      </c>
      <c r="V15" s="714" t="s">
        <v>21</v>
      </c>
      <c r="W15" s="715">
        <f t="shared" si="2"/>
        <v>100</v>
      </c>
      <c r="X15" s="1529"/>
      <c r="Y15" s="3418" t="s">
        <v>2379</v>
      </c>
      <c r="Z15" s="1530" t="str">
        <f t="shared" si="7"/>
        <v>居住社区成熟度</v>
      </c>
      <c r="AA15" s="1527">
        <f t="shared" si="3"/>
        <v>1</v>
      </c>
      <c r="AB15" s="1527">
        <f t="shared" si="4"/>
        <v>1</v>
      </c>
      <c r="AC15" s="1527">
        <f t="shared" si="5"/>
        <v>1</v>
      </c>
    </row>
    <row r="16" spans="1:29" ht="15">
      <c r="A16" s="387"/>
      <c r="B16" s="405"/>
      <c r="C16" s="406"/>
      <c r="D16" s="407"/>
      <c r="E16" s="2072"/>
      <c r="F16" s="407"/>
      <c r="G16" s="2073"/>
      <c r="H16" s="409"/>
      <c r="I16" s="2073"/>
      <c r="J16" s="407"/>
      <c r="K16" s="2074"/>
      <c r="L16" s="2938"/>
      <c r="M16" s="2932"/>
      <c r="N16" s="2932"/>
      <c r="O16" s="2932"/>
      <c r="P16" s="3460"/>
      <c r="Q16" s="1526"/>
      <c r="R16" s="714"/>
      <c r="S16" s="715"/>
      <c r="T16" s="714"/>
      <c r="U16" s="715"/>
      <c r="V16" s="714"/>
      <c r="W16" s="715"/>
      <c r="X16" s="1529"/>
      <c r="Y16" s="3419"/>
      <c r="Z16" s="1530"/>
      <c r="AA16" s="1527">
        <v>1</v>
      </c>
      <c r="AB16" s="1527">
        <v>1</v>
      </c>
      <c r="AC16" s="1527">
        <v>1</v>
      </c>
    </row>
    <row r="17" spans="1:29" ht="15">
      <c r="A17" s="387"/>
      <c r="B17" s="410" t="s">
        <v>1944</v>
      </c>
      <c r="C17" s="2075"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460"/>
      <c r="Q17" s="1526" t="str">
        <f>B17</f>
        <v>交通便捷度</v>
      </c>
      <c r="R17" s="714" t="s">
        <v>21</v>
      </c>
      <c r="S17" s="715">
        <f>F17</f>
        <v>100</v>
      </c>
      <c r="T17" s="714" t="s">
        <v>21</v>
      </c>
      <c r="U17" s="715">
        <f>H17</f>
        <v>100</v>
      </c>
      <c r="V17" s="714" t="s">
        <v>21</v>
      </c>
      <c r="W17" s="715">
        <f>J17</f>
        <v>100</v>
      </c>
      <c r="X17" s="1529"/>
      <c r="Y17" s="3419"/>
      <c r="Z17" s="1530" t="str">
        <f>Q17</f>
        <v>交通便捷度</v>
      </c>
      <c r="AA17" s="1527">
        <f t="shared" si="3"/>
        <v>1</v>
      </c>
      <c r="AB17" s="1527">
        <f t="shared" si="4"/>
        <v>1</v>
      </c>
      <c r="AC17" s="1527">
        <f t="shared" si="5"/>
        <v>1</v>
      </c>
    </row>
    <row r="18" spans="1:29" ht="15">
      <c r="A18" s="387"/>
      <c r="B18" s="415"/>
      <c r="C18" s="2076"/>
      <c r="D18" s="409"/>
      <c r="E18" s="2077"/>
      <c r="F18" s="409"/>
      <c r="G18" s="2078"/>
      <c r="H18" s="407"/>
      <c r="I18" s="2078"/>
      <c r="J18" s="407"/>
      <c r="K18" s="2074"/>
      <c r="L18" s="2938"/>
      <c r="M18" s="2932"/>
      <c r="N18" s="2932"/>
      <c r="O18" s="2932"/>
      <c r="P18" s="3460"/>
      <c r="Q18" s="1526"/>
      <c r="R18" s="714"/>
      <c r="S18" s="715"/>
      <c r="T18" s="714"/>
      <c r="U18" s="715"/>
      <c r="V18" s="714"/>
      <c r="W18" s="715"/>
      <c r="X18" s="1529"/>
      <c r="Y18" s="3419"/>
      <c r="Z18" s="1530"/>
      <c r="AA18" s="1527">
        <v>1</v>
      </c>
      <c r="AB18" s="1527">
        <v>1</v>
      </c>
      <c r="AC18" s="1527">
        <v>1</v>
      </c>
    </row>
    <row r="19" spans="1:29" ht="15">
      <c r="A19" s="387"/>
      <c r="B19" s="410" t="s">
        <v>1943</v>
      </c>
      <c r="C19" s="2075"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460"/>
      <c r="Q19" s="1526" t="str">
        <f>B19</f>
        <v>公共配套设施</v>
      </c>
      <c r="R19" s="714" t="s">
        <v>21</v>
      </c>
      <c r="S19" s="715">
        <f>F19</f>
        <v>100</v>
      </c>
      <c r="T19" s="714" t="s">
        <v>21</v>
      </c>
      <c r="U19" s="715">
        <f>H19</f>
        <v>100</v>
      </c>
      <c r="V19" s="714" t="s">
        <v>21</v>
      </c>
      <c r="W19" s="715">
        <f>J19</f>
        <v>100</v>
      </c>
      <c r="X19" s="1529"/>
      <c r="Y19" s="3419"/>
      <c r="Z19" s="1530" t="str">
        <f>Q19</f>
        <v>公共配套设施</v>
      </c>
      <c r="AA19" s="1527">
        <f t="shared" si="3"/>
        <v>1</v>
      </c>
      <c r="AB19" s="1527">
        <f t="shared" si="4"/>
        <v>1</v>
      </c>
      <c r="AC19" s="1527">
        <f t="shared" si="5"/>
        <v>1</v>
      </c>
    </row>
    <row r="20" spans="1:29" ht="15">
      <c r="A20" s="387"/>
      <c r="B20" s="415"/>
      <c r="C20" s="406"/>
      <c r="D20" s="407"/>
      <c r="E20" s="2072"/>
      <c r="F20" s="407"/>
      <c r="G20" s="2073"/>
      <c r="H20" s="407"/>
      <c r="I20" s="2073"/>
      <c r="J20" s="407"/>
      <c r="K20" s="2074"/>
      <c r="L20" s="2938"/>
      <c r="M20" s="2932"/>
      <c r="N20" s="2932"/>
      <c r="O20" s="2932"/>
      <c r="P20" s="3460"/>
      <c r="Q20" s="1526"/>
      <c r="R20" s="714"/>
      <c r="S20" s="715"/>
      <c r="T20" s="714"/>
      <c r="U20" s="715"/>
      <c r="V20" s="714"/>
      <c r="W20" s="715"/>
      <c r="X20" s="1529"/>
      <c r="Y20" s="3419"/>
      <c r="Z20" s="1530"/>
      <c r="AA20" s="1527">
        <v>1</v>
      </c>
      <c r="AB20" s="1527">
        <v>1</v>
      </c>
      <c r="AC20" s="1527">
        <v>1</v>
      </c>
    </row>
    <row r="21" spans="1:29" ht="15">
      <c r="A21" s="387"/>
      <c r="B21" s="1285" t="s">
        <v>1945</v>
      </c>
      <c r="C21" s="207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460"/>
      <c r="Q21" s="1526" t="str">
        <f>B21</f>
        <v>基础设施水平</v>
      </c>
      <c r="R21" s="714" t="s">
        <v>17</v>
      </c>
      <c r="S21" s="715">
        <f>F21</f>
        <v>100</v>
      </c>
      <c r="T21" s="714" t="s">
        <v>17</v>
      </c>
      <c r="U21" s="715">
        <f>H21</f>
        <v>100</v>
      </c>
      <c r="V21" s="714" t="s">
        <v>17</v>
      </c>
      <c r="W21" s="715">
        <f>J21</f>
        <v>100</v>
      </c>
      <c r="X21" s="1529"/>
      <c r="Y21" s="3419"/>
      <c r="Z21" s="1530" t="str">
        <f>Q21</f>
        <v>基础设施水平</v>
      </c>
      <c r="AA21" s="1527">
        <f t="shared" ref="AA21" si="8">D21/F21</f>
        <v>1</v>
      </c>
      <c r="AB21" s="1527">
        <f t="shared" ref="AB21" si="9">D21/H21</f>
        <v>1</v>
      </c>
      <c r="AC21" s="1527">
        <f t="shared" ref="AC21" si="10">D21/J21</f>
        <v>1</v>
      </c>
    </row>
    <row r="22" spans="1:29" ht="15">
      <c r="A22" s="387"/>
      <c r="B22" s="1285"/>
      <c r="C22" s="2076"/>
      <c r="D22" s="407"/>
      <c r="E22" s="406"/>
      <c r="F22" s="407"/>
      <c r="G22" s="2079"/>
      <c r="H22" s="407"/>
      <c r="I22" s="406"/>
      <c r="J22" s="407"/>
      <c r="K22" s="2080"/>
      <c r="L22" s="2938"/>
      <c r="M22" s="2932"/>
      <c r="N22" s="2932"/>
      <c r="O22" s="2932"/>
      <c r="P22" s="3460"/>
      <c r="Q22" s="1526"/>
      <c r="R22" s="714"/>
      <c r="S22" s="715"/>
      <c r="T22" s="714"/>
      <c r="U22" s="715"/>
      <c r="V22" s="714"/>
      <c r="W22" s="715"/>
      <c r="X22" s="1529"/>
      <c r="Y22" s="3419"/>
      <c r="Z22" s="1530"/>
      <c r="AA22" s="1527">
        <v>1</v>
      </c>
      <c r="AB22" s="1527">
        <v>1</v>
      </c>
      <c r="AC22" s="1527">
        <v>1</v>
      </c>
    </row>
    <row r="23" spans="1:29" ht="15">
      <c r="A23" s="387"/>
      <c r="B23" s="410" t="s">
        <v>1946</v>
      </c>
      <c r="C23" s="2075"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460"/>
      <c r="Q23" s="1526" t="str">
        <f>B23</f>
        <v>自然及人文环境</v>
      </c>
      <c r="R23" s="714" t="s">
        <v>21</v>
      </c>
      <c r="S23" s="715">
        <f>F23</f>
        <v>100</v>
      </c>
      <c r="T23" s="714" t="s">
        <v>21</v>
      </c>
      <c r="U23" s="715">
        <f>H23</f>
        <v>100</v>
      </c>
      <c r="V23" s="714" t="s">
        <v>21</v>
      </c>
      <c r="W23" s="715">
        <f>J23</f>
        <v>100</v>
      </c>
      <c r="X23" s="1529"/>
      <c r="Y23" s="3419"/>
      <c r="Z23" s="1530" t="str">
        <f>Q23</f>
        <v>自然及人文环境</v>
      </c>
      <c r="AA23" s="1527">
        <f>D23/F23</f>
        <v>1</v>
      </c>
      <c r="AB23" s="1527">
        <f>D23/H23</f>
        <v>1</v>
      </c>
      <c r="AC23" s="1527">
        <f>D23/J23</f>
        <v>1</v>
      </c>
    </row>
    <row r="24" spans="1:29" ht="15">
      <c r="A24" s="387"/>
      <c r="B24" s="415"/>
      <c r="C24" s="406"/>
      <c r="D24" s="407"/>
      <c r="E24" s="2072"/>
      <c r="F24" s="407"/>
      <c r="G24" s="2073"/>
      <c r="H24" s="407"/>
      <c r="I24" s="2073"/>
      <c r="J24" s="407"/>
      <c r="K24" s="2074"/>
      <c r="L24" s="2938"/>
      <c r="M24" s="2932"/>
      <c r="N24" s="2932"/>
      <c r="O24" s="2932"/>
      <c r="P24" s="3460"/>
      <c r="Q24" s="1526"/>
      <c r="R24" s="714"/>
      <c r="S24" s="715"/>
      <c r="T24" s="714"/>
      <c r="U24" s="715"/>
      <c r="V24" s="714"/>
      <c r="W24" s="715"/>
      <c r="X24" s="1529"/>
      <c r="Y24" s="3419"/>
      <c r="Z24" s="1530"/>
      <c r="AA24" s="1527">
        <v>1</v>
      </c>
      <c r="AB24" s="1527">
        <v>1</v>
      </c>
      <c r="AC24" s="1527">
        <v>1</v>
      </c>
    </row>
    <row r="25" spans="1:29" ht="15">
      <c r="A25" s="387"/>
      <c r="B25" s="381" t="s">
        <v>2380</v>
      </c>
      <c r="C25" s="419"/>
      <c r="D25" s="394">
        <v>100</v>
      </c>
      <c r="E25" s="2081"/>
      <c r="F25" s="394">
        <f>SUMIF(86:86,E25,87:87)-SUMIF(86:86,C25,87:87)+100</f>
        <v>100</v>
      </c>
      <c r="G25" s="2082"/>
      <c r="H25" s="394">
        <f>SUMIF(86:86,G25,87:87)-SUMIF(86:86,C25,87:87)+100</f>
        <v>100</v>
      </c>
      <c r="I25" s="2082"/>
      <c r="J25" s="394">
        <f>SUMIF(86:86,I25,87:87)-SUMIF(86:86,C25,87:87)+100</f>
        <v>100</v>
      </c>
      <c r="K25" s="385"/>
      <c r="L25" s="2938"/>
      <c r="M25" s="2932"/>
      <c r="N25" s="2932"/>
      <c r="O25" s="2932"/>
      <c r="P25" s="3460"/>
      <c r="Q25" s="1526" t="str">
        <f t="shared" ref="Q25:Q46" si="11">B25</f>
        <v>楼层-1</v>
      </c>
      <c r="R25" s="714" t="s">
        <v>21</v>
      </c>
      <c r="S25" s="715">
        <f t="shared" ref="S25:S46" si="12">F25</f>
        <v>100</v>
      </c>
      <c r="T25" s="714" t="s">
        <v>21</v>
      </c>
      <c r="U25" s="715">
        <f t="shared" ref="U25:U46" si="13">H25</f>
        <v>100</v>
      </c>
      <c r="V25" s="714" t="s">
        <v>21</v>
      </c>
      <c r="W25" s="715">
        <f t="shared" ref="W25:W46" si="14">J25</f>
        <v>100</v>
      </c>
      <c r="X25" s="1529"/>
      <c r="Y25" s="3419"/>
      <c r="Z25" s="1530" t="str">
        <f>Q25</f>
        <v>楼层-1</v>
      </c>
      <c r="AA25" s="1527">
        <f t="shared" ref="AA25:AA46" si="15">D25/F25</f>
        <v>1</v>
      </c>
      <c r="AB25" s="1527">
        <f t="shared" ref="AB25:AB46" si="16">D25/H25</f>
        <v>1</v>
      </c>
      <c r="AC25" s="1527">
        <f t="shared" ref="AC25:AC46" si="17">D25/J25</f>
        <v>1</v>
      </c>
    </row>
    <row r="26" spans="1:29" ht="15">
      <c r="A26" s="387"/>
      <c r="B26" s="381" t="s">
        <v>2381</v>
      </c>
      <c r="C26" s="419"/>
      <c r="D26" s="394">
        <v>100</v>
      </c>
      <c r="E26" s="2081"/>
      <c r="F26" s="394">
        <f>SUMIF(88:88,E26,89:89)-SUMIF(88:88,C26,89:89)+100</f>
        <v>100</v>
      </c>
      <c r="G26" s="2082"/>
      <c r="H26" s="394">
        <f>SUMIF(88:88,G26,89:89)-SUMIF(88:88,C26,89:89)+100</f>
        <v>100</v>
      </c>
      <c r="I26" s="2082"/>
      <c r="J26" s="394">
        <f>SUMIF(88:88,I26,89:89)-SUMIF(88:88,C26,89:89)+100</f>
        <v>100</v>
      </c>
      <c r="K26" s="385"/>
      <c r="L26" s="2938"/>
      <c r="M26" s="2932"/>
      <c r="N26" s="2932"/>
      <c r="O26" s="2932"/>
      <c r="P26" s="3460"/>
      <c r="Q26" s="1526" t="str">
        <f t="shared" si="11"/>
        <v>朝向</v>
      </c>
      <c r="R26" s="714" t="s">
        <v>21</v>
      </c>
      <c r="S26" s="715">
        <f t="shared" si="12"/>
        <v>100</v>
      </c>
      <c r="T26" s="714" t="s">
        <v>21</v>
      </c>
      <c r="U26" s="715">
        <f t="shared" si="13"/>
        <v>100</v>
      </c>
      <c r="V26" s="714" t="s">
        <v>21</v>
      </c>
      <c r="W26" s="715">
        <f t="shared" si="14"/>
        <v>100</v>
      </c>
      <c r="X26" s="1529"/>
      <c r="Y26" s="3419"/>
      <c r="Z26" s="1530" t="str">
        <f>Q26</f>
        <v>朝向</v>
      </c>
      <c r="AA26" s="1527">
        <f t="shared" si="15"/>
        <v>1</v>
      </c>
      <c r="AB26" s="1527">
        <f t="shared" si="16"/>
        <v>1</v>
      </c>
      <c r="AC26" s="1527">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69"/>
      <c r="L27" s="2933"/>
      <c r="M27" s="2934"/>
      <c r="N27" s="2934"/>
      <c r="O27" s="2934"/>
      <c r="P27" s="3460"/>
      <c r="Q27" s="1517">
        <f t="shared" si="11"/>
        <v>111</v>
      </c>
      <c r="R27" s="710" t="s">
        <v>21</v>
      </c>
      <c r="S27" s="711">
        <f t="shared" si="12"/>
        <v>100</v>
      </c>
      <c r="T27" s="710" t="s">
        <v>21</v>
      </c>
      <c r="U27" s="711">
        <f t="shared" si="13"/>
        <v>100</v>
      </c>
      <c r="V27" s="710" t="s">
        <v>21</v>
      </c>
      <c r="W27" s="711">
        <f t="shared" si="14"/>
        <v>100</v>
      </c>
      <c r="X27" s="712"/>
      <c r="Y27" s="3419"/>
      <c r="Z27" s="55">
        <f>Q27</f>
        <v>111</v>
      </c>
      <c r="AA27" s="1527">
        <f t="shared" si="15"/>
        <v>1</v>
      </c>
      <c r="AB27" s="1527">
        <f t="shared" si="16"/>
        <v>1</v>
      </c>
      <c r="AC27" s="1527">
        <f t="shared" si="17"/>
        <v>1</v>
      </c>
    </row>
    <row r="28" spans="1:29" ht="15">
      <c r="A28" s="387"/>
      <c r="B28" s="1287">
        <v>111</v>
      </c>
      <c r="C28" s="393"/>
      <c r="D28" s="394">
        <v>100</v>
      </c>
      <c r="E28" s="393"/>
      <c r="F28" s="394">
        <f>SUMIF(92:92,E28,93:93)-SUMIF(92:92,C28,93:93)+100</f>
        <v>100</v>
      </c>
      <c r="G28" s="2083"/>
      <c r="H28" s="394">
        <f>SUMIF(92:92,G28,93:93)-SUMIF(92:92,C28,93:93)+100</f>
        <v>100</v>
      </c>
      <c r="I28" s="393"/>
      <c r="J28" s="394">
        <f>SUMIF(92:92,I28,93:93)-SUMIF(92:92,C28,93:93)+100</f>
        <v>100</v>
      </c>
      <c r="K28" s="2069"/>
      <c r="L28" s="2938"/>
      <c r="M28" s="2932"/>
      <c r="N28" s="2932"/>
      <c r="O28" s="2932"/>
      <c r="P28" s="3460"/>
      <c r="Q28" s="1526">
        <f t="shared" si="11"/>
        <v>111</v>
      </c>
      <c r="R28" s="714" t="s">
        <v>21</v>
      </c>
      <c r="S28" s="715">
        <f t="shared" si="12"/>
        <v>100</v>
      </c>
      <c r="T28" s="714" t="s">
        <v>21</v>
      </c>
      <c r="U28" s="715">
        <f t="shared" si="13"/>
        <v>100</v>
      </c>
      <c r="V28" s="714" t="s">
        <v>21</v>
      </c>
      <c r="W28" s="715">
        <f t="shared" si="14"/>
        <v>100</v>
      </c>
      <c r="X28" s="1529"/>
      <c r="Y28" s="3419"/>
      <c r="Z28" s="1530">
        <f t="shared" ref="Z28:Z46" si="18">Q28</f>
        <v>111</v>
      </c>
      <c r="AA28" s="1527">
        <f t="shared" si="15"/>
        <v>1</v>
      </c>
      <c r="AB28" s="1527">
        <f t="shared" si="16"/>
        <v>1</v>
      </c>
      <c r="AC28" s="1527">
        <f t="shared" si="17"/>
        <v>1</v>
      </c>
    </row>
    <row r="29" spans="1:29" ht="15">
      <c r="A29" s="387"/>
      <c r="B29" s="1287">
        <v>111</v>
      </c>
      <c r="C29" s="393"/>
      <c r="D29" s="394">
        <v>100</v>
      </c>
      <c r="E29" s="393"/>
      <c r="F29" s="394">
        <f>SUMIF(94:94,E29,95:95)-SUMIF(94:94,C29,95:95)+100</f>
        <v>100</v>
      </c>
      <c r="G29" s="2083"/>
      <c r="H29" s="394">
        <f>SUMIF(94:94,G29,95:95)-SUMIF(94:94,C29,95:95)+100</f>
        <v>100</v>
      </c>
      <c r="I29" s="393"/>
      <c r="J29" s="394">
        <f>SUMIF(94:94,I29,95:95)-SUMIF(94:94,C29,95:95)+100</f>
        <v>100</v>
      </c>
      <c r="K29" s="2069"/>
      <c r="L29" s="2938"/>
      <c r="M29" s="2932"/>
      <c r="N29" s="2932"/>
      <c r="O29" s="2932"/>
      <c r="P29" s="3460"/>
      <c r="Q29" s="1526">
        <f t="shared" si="11"/>
        <v>111</v>
      </c>
      <c r="R29" s="714" t="s">
        <v>21</v>
      </c>
      <c r="S29" s="715">
        <f t="shared" si="12"/>
        <v>100</v>
      </c>
      <c r="T29" s="714" t="s">
        <v>21</v>
      </c>
      <c r="U29" s="715">
        <f t="shared" si="13"/>
        <v>100</v>
      </c>
      <c r="V29" s="714" t="s">
        <v>21</v>
      </c>
      <c r="W29" s="715">
        <f t="shared" si="14"/>
        <v>100</v>
      </c>
      <c r="X29" s="1529"/>
      <c r="Y29" s="3419"/>
      <c r="Z29" s="1530">
        <f t="shared" si="18"/>
        <v>111</v>
      </c>
      <c r="AA29" s="1527">
        <f t="shared" si="15"/>
        <v>1</v>
      </c>
      <c r="AB29" s="1527">
        <f t="shared" si="16"/>
        <v>1</v>
      </c>
      <c r="AC29" s="1527">
        <f t="shared" si="17"/>
        <v>1</v>
      </c>
    </row>
    <row r="30" spans="1:29" ht="15">
      <c r="A30" s="387"/>
      <c r="B30" s="1287">
        <v>111</v>
      </c>
      <c r="C30" s="393"/>
      <c r="D30" s="394">
        <v>100</v>
      </c>
      <c r="E30" s="393"/>
      <c r="F30" s="394">
        <f>SUMIF(96:96,E30,97:97)-SUMIF(96:96,C30,97:97)+100</f>
        <v>100</v>
      </c>
      <c r="G30" s="2083"/>
      <c r="H30" s="394">
        <f>SUMIF(96:96,G30,97:97)-SUMIF(96:96,C30,97:97)+100</f>
        <v>100</v>
      </c>
      <c r="I30" s="393"/>
      <c r="J30" s="394">
        <f>SUMIF(96:96,I30,97:97)-SUMIF(96:96,C30,97:97)+100</f>
        <v>100</v>
      </c>
      <c r="K30" s="2069"/>
      <c r="L30" s="2938"/>
      <c r="M30" s="2932"/>
      <c r="N30" s="2932"/>
      <c r="O30" s="2932"/>
      <c r="P30" s="3460"/>
      <c r="Q30" s="1526">
        <f t="shared" si="11"/>
        <v>111</v>
      </c>
      <c r="R30" s="714" t="s">
        <v>21</v>
      </c>
      <c r="S30" s="715">
        <f t="shared" si="12"/>
        <v>100</v>
      </c>
      <c r="T30" s="714" t="s">
        <v>21</v>
      </c>
      <c r="U30" s="715">
        <f t="shared" si="13"/>
        <v>100</v>
      </c>
      <c r="V30" s="714" t="s">
        <v>21</v>
      </c>
      <c r="W30" s="715">
        <f t="shared" si="14"/>
        <v>100</v>
      </c>
      <c r="X30" s="1529"/>
      <c r="Y30" s="3419"/>
      <c r="Z30" s="1530">
        <f t="shared" si="18"/>
        <v>111</v>
      </c>
      <c r="AA30" s="1527">
        <f t="shared" si="15"/>
        <v>1</v>
      </c>
      <c r="AB30" s="1527">
        <f t="shared" si="16"/>
        <v>1</v>
      </c>
      <c r="AC30" s="1527">
        <f t="shared" si="17"/>
        <v>1</v>
      </c>
    </row>
    <row r="31" spans="1:29" ht="15.75" thickBot="1">
      <c r="A31" s="395"/>
      <c r="B31" s="1287">
        <v>111</v>
      </c>
      <c r="C31" s="396"/>
      <c r="D31" s="397">
        <v>100</v>
      </c>
      <c r="E31" s="396"/>
      <c r="F31" s="397">
        <f>SUMIF(98:98,E31,99:99)-SUMIF(98:98,C31,99:99)+100</f>
        <v>100</v>
      </c>
      <c r="G31" s="2084"/>
      <c r="H31" s="397">
        <f>SUMIF(98:98,G31,99:99)-SUMIF(98:98,C31,99:99)+100</f>
        <v>100</v>
      </c>
      <c r="I31" s="396"/>
      <c r="J31" s="397">
        <f>SUMIF(98:98,I31,99:99)-SUMIF(98:98,C31,99:99)+100</f>
        <v>100</v>
      </c>
      <c r="K31" s="2069"/>
      <c r="L31" s="2938"/>
      <c r="M31" s="2932"/>
      <c r="N31" s="2932"/>
      <c r="O31" s="2932"/>
      <c r="P31" s="3460"/>
      <c r="Q31" s="1526">
        <f t="shared" si="11"/>
        <v>111</v>
      </c>
      <c r="R31" s="714" t="s">
        <v>21</v>
      </c>
      <c r="S31" s="715">
        <f t="shared" si="12"/>
        <v>100</v>
      </c>
      <c r="T31" s="714" t="s">
        <v>21</v>
      </c>
      <c r="U31" s="715">
        <f t="shared" si="13"/>
        <v>100</v>
      </c>
      <c r="V31" s="714" t="s">
        <v>21</v>
      </c>
      <c r="W31" s="715">
        <f t="shared" si="14"/>
        <v>100</v>
      </c>
      <c r="X31" s="1529"/>
      <c r="Y31" s="3419"/>
      <c r="Z31" s="1530">
        <f t="shared" si="18"/>
        <v>111</v>
      </c>
      <c r="AA31" s="1527">
        <f t="shared" si="15"/>
        <v>1</v>
      </c>
      <c r="AB31" s="1527">
        <f t="shared" si="16"/>
        <v>1</v>
      </c>
      <c r="AC31" s="1527">
        <f t="shared" si="17"/>
        <v>1</v>
      </c>
    </row>
    <row r="32" spans="1:29" ht="15">
      <c r="A32" s="399" t="s">
        <v>2382</v>
      </c>
      <c r="B32" s="67" t="s">
        <v>2383</v>
      </c>
      <c r="C32" s="2085"/>
      <c r="D32" s="426">
        <v>100</v>
      </c>
      <c r="E32" s="2086"/>
      <c r="F32" s="420">
        <f>SUMIF(100:100,E32,101:101)-SUMIF(100:100,C32,101:101)+100</f>
        <v>100</v>
      </c>
      <c r="G32" s="2085"/>
      <c r="H32" s="426">
        <f>SUMIF(100:100,G32,101:101)-SUMIF(100:100,C32,101:101)+100</f>
        <v>100</v>
      </c>
      <c r="I32" s="2086"/>
      <c r="J32" s="394">
        <f>SUMIF(100:100,I32,101:101)-SUMIF(100:100,C32,101:101)+100</f>
        <v>100</v>
      </c>
      <c r="K32" s="385"/>
      <c r="L32" s="2938"/>
      <c r="M32" s="2932"/>
      <c r="N32" s="2932"/>
      <c r="O32" s="2932"/>
      <c r="P32" s="3461" t="s">
        <v>2384</v>
      </c>
      <c r="Q32" s="1526" t="str">
        <f t="shared" si="11"/>
        <v>建筑类型</v>
      </c>
      <c r="R32" s="714" t="s">
        <v>21</v>
      </c>
      <c r="S32" s="715">
        <f t="shared" si="12"/>
        <v>100</v>
      </c>
      <c r="T32" s="714" t="s">
        <v>21</v>
      </c>
      <c r="U32" s="715">
        <f t="shared" si="13"/>
        <v>100</v>
      </c>
      <c r="V32" s="714" t="s">
        <v>21</v>
      </c>
      <c r="W32" s="715">
        <f t="shared" si="14"/>
        <v>100</v>
      </c>
      <c r="X32" s="1529"/>
      <c r="Y32" s="3421" t="s">
        <v>2384</v>
      </c>
      <c r="Z32" s="1530" t="str">
        <f t="shared" si="18"/>
        <v>建筑类型</v>
      </c>
      <c r="AA32" s="1527">
        <f t="shared" si="15"/>
        <v>1</v>
      </c>
      <c r="AB32" s="1527">
        <f t="shared" si="16"/>
        <v>1</v>
      </c>
      <c r="AC32" s="152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9"/>
      <c r="L33" s="2937"/>
      <c r="M33" s="2939"/>
      <c r="N33" s="2939"/>
      <c r="O33" s="2939"/>
      <c r="P33" s="3462"/>
      <c r="Q33" s="716" t="str">
        <f t="shared" si="11"/>
        <v>项目建筑规模</v>
      </c>
      <c r="R33" s="717" t="s">
        <v>21</v>
      </c>
      <c r="S33" s="718" t="e">
        <f t="shared" si="12"/>
        <v>#N/A</v>
      </c>
      <c r="T33" s="717" t="s">
        <v>21</v>
      </c>
      <c r="U33" s="718" t="e">
        <f t="shared" si="13"/>
        <v>#N/A</v>
      </c>
      <c r="V33" s="717" t="s">
        <v>21</v>
      </c>
      <c r="W33" s="718" t="e">
        <f t="shared" si="14"/>
        <v>#N/A</v>
      </c>
      <c r="X33" s="719"/>
      <c r="Y33" s="3421"/>
      <c r="Z33" s="720" t="str">
        <f t="shared" si="18"/>
        <v>项目建筑规模</v>
      </c>
      <c r="AA33" s="1527" t="e">
        <f t="shared" si="15"/>
        <v>#N/A</v>
      </c>
      <c r="AB33" s="1527" t="e">
        <f t="shared" si="16"/>
        <v>#N/A</v>
      </c>
      <c r="AC33" s="1527" t="e">
        <f t="shared" si="17"/>
        <v>#N/A</v>
      </c>
    </row>
    <row r="34" spans="1:29" ht="15">
      <c r="A34" s="431"/>
      <c r="B34" s="381" t="s">
        <v>2386</v>
      </c>
      <c r="C34" s="2087"/>
      <c r="D34" s="394">
        <v>100</v>
      </c>
      <c r="E34" s="2088"/>
      <c r="F34" s="420">
        <f>SUMIF(105:105,E34,106:106)-SUMIF(105:105,C34,106:106)+100</f>
        <v>100</v>
      </c>
      <c r="G34" s="2087"/>
      <c r="H34" s="394">
        <f>SUMIF(105:105,G34,106:106)-SUMIF(105:105,C34,106:106)+100</f>
        <v>100</v>
      </c>
      <c r="I34" s="2088"/>
      <c r="J34" s="394">
        <f>SUMIF(105:105,I34,106:106)-SUMIF(105:105,C34,106:106)+100</f>
        <v>100</v>
      </c>
      <c r="K34" s="385"/>
      <c r="L34" s="2938"/>
      <c r="M34" s="2932"/>
      <c r="N34" s="2932"/>
      <c r="O34" s="2932"/>
      <c r="P34" s="3462"/>
      <c r="Q34" s="1526" t="str">
        <f t="shared" si="11"/>
        <v>建筑结构</v>
      </c>
      <c r="R34" s="714" t="s">
        <v>21</v>
      </c>
      <c r="S34" s="715">
        <f t="shared" si="12"/>
        <v>100</v>
      </c>
      <c r="T34" s="714" t="s">
        <v>21</v>
      </c>
      <c r="U34" s="715">
        <f t="shared" si="13"/>
        <v>100</v>
      </c>
      <c r="V34" s="714" t="s">
        <v>21</v>
      </c>
      <c r="W34" s="715">
        <f t="shared" si="14"/>
        <v>100</v>
      </c>
      <c r="X34" s="1529"/>
      <c r="Y34" s="3421"/>
      <c r="Z34" s="1530" t="str">
        <f t="shared" si="18"/>
        <v>建筑结构</v>
      </c>
      <c r="AA34" s="1527">
        <f t="shared" si="15"/>
        <v>1</v>
      </c>
      <c r="AB34" s="1527">
        <f t="shared" si="16"/>
        <v>1</v>
      </c>
      <c r="AC34" s="1527">
        <f t="shared" si="17"/>
        <v>1</v>
      </c>
    </row>
    <row r="35" spans="1:29" ht="15">
      <c r="A35" s="431"/>
      <c r="B35" s="381" t="s">
        <v>2387</v>
      </c>
      <c r="C35" s="2081"/>
      <c r="D35" s="394">
        <v>100</v>
      </c>
      <c r="E35" s="2082"/>
      <c r="F35" s="420">
        <f>SUMIF(107:107,E35,108:108)-SUMIF(107:107,C35,108:108)+100</f>
        <v>100</v>
      </c>
      <c r="G35" s="2081"/>
      <c r="H35" s="394">
        <f>SUMIF(107:107,G35,108:108)-SUMIF(107:107,C35,108:108)+100</f>
        <v>100</v>
      </c>
      <c r="I35" s="2082"/>
      <c r="J35" s="394">
        <f>SUMIF(107:107,I35,108:108)-SUMIF(107:107,C35,108:108)+100</f>
        <v>100</v>
      </c>
      <c r="K35" s="385"/>
      <c r="L35" s="2938"/>
      <c r="M35" s="2932"/>
      <c r="N35" s="2932"/>
      <c r="O35" s="2932"/>
      <c r="P35" s="3462"/>
      <c r="Q35" s="1526" t="str">
        <f t="shared" si="11"/>
        <v>建筑品质</v>
      </c>
      <c r="R35" s="714" t="s">
        <v>21</v>
      </c>
      <c r="S35" s="715">
        <f t="shared" si="12"/>
        <v>100</v>
      </c>
      <c r="T35" s="714" t="s">
        <v>21</v>
      </c>
      <c r="U35" s="715">
        <f t="shared" si="13"/>
        <v>100</v>
      </c>
      <c r="V35" s="714" t="s">
        <v>21</v>
      </c>
      <c r="W35" s="715">
        <f t="shared" si="14"/>
        <v>100</v>
      </c>
      <c r="X35" s="1529"/>
      <c r="Y35" s="3421"/>
      <c r="Z35" s="1530" t="str">
        <f t="shared" si="18"/>
        <v>建筑品质</v>
      </c>
      <c r="AA35" s="1527">
        <f t="shared" si="15"/>
        <v>1</v>
      </c>
      <c r="AB35" s="1527">
        <f t="shared" si="16"/>
        <v>1</v>
      </c>
      <c r="AC35" s="1527">
        <f t="shared" si="17"/>
        <v>1</v>
      </c>
    </row>
    <row r="36" spans="1:29" ht="15">
      <c r="A36" s="431"/>
      <c r="B36" s="381" t="s">
        <v>2388</v>
      </c>
      <c r="C36" s="2081"/>
      <c r="D36" s="394">
        <v>100</v>
      </c>
      <c r="E36" s="2082"/>
      <c r="F36" s="420">
        <f>SUMIF(109:109,E36,110:110)-SUMIF(109:109,C36,110:110)+100</f>
        <v>100</v>
      </c>
      <c r="G36" s="2081"/>
      <c r="H36" s="394">
        <f>SUMIF(109:109,G36,110:110)-SUMIF(109:109,C36,110:110)+100</f>
        <v>100</v>
      </c>
      <c r="I36" s="2082"/>
      <c r="J36" s="394">
        <f>SUMIF(109:109,I36,110:110)-SUMIF(109:109,C36,110:110)+100</f>
        <v>100</v>
      </c>
      <c r="K36" s="385"/>
      <c r="L36" s="2938"/>
      <c r="M36" s="2932"/>
      <c r="N36" s="2932"/>
      <c r="O36" s="2932"/>
      <c r="P36" s="3462"/>
      <c r="Q36" s="1526" t="str">
        <f t="shared" si="11"/>
        <v>公共部分装修</v>
      </c>
      <c r="R36" s="714" t="s">
        <v>21</v>
      </c>
      <c r="S36" s="715">
        <f t="shared" si="12"/>
        <v>100</v>
      </c>
      <c r="T36" s="714" t="s">
        <v>21</v>
      </c>
      <c r="U36" s="715">
        <f t="shared" si="13"/>
        <v>100</v>
      </c>
      <c r="V36" s="714" t="s">
        <v>21</v>
      </c>
      <c r="W36" s="715">
        <f t="shared" si="14"/>
        <v>100</v>
      </c>
      <c r="X36" s="1529"/>
      <c r="Y36" s="3421"/>
      <c r="Z36" s="1530" t="str">
        <f t="shared" si="18"/>
        <v>公共部分装修</v>
      </c>
      <c r="AA36" s="1527">
        <f t="shared" si="15"/>
        <v>1</v>
      </c>
      <c r="AB36" s="1527">
        <f t="shared" si="16"/>
        <v>1</v>
      </c>
      <c r="AC36" s="152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462"/>
      <c r="Q37" s="1517" t="str">
        <f t="shared" si="11"/>
        <v>成新度</v>
      </c>
      <c r="R37" s="710" t="s">
        <v>21</v>
      </c>
      <c r="S37" s="711" t="e">
        <f t="shared" si="12"/>
        <v>#N/A</v>
      </c>
      <c r="T37" s="710" t="s">
        <v>21</v>
      </c>
      <c r="U37" s="711" t="e">
        <f t="shared" si="13"/>
        <v>#N/A</v>
      </c>
      <c r="V37" s="710" t="s">
        <v>21</v>
      </c>
      <c r="W37" s="711" t="e">
        <f t="shared" si="14"/>
        <v>#N/A</v>
      </c>
      <c r="X37" s="712"/>
      <c r="Y37" s="3421"/>
      <c r="Z37" s="55" t="str">
        <f t="shared" si="18"/>
        <v>成新度</v>
      </c>
      <c r="AA37" s="713" t="e">
        <f t="shared" si="15"/>
        <v>#N/A</v>
      </c>
      <c r="AB37" s="713" t="e">
        <f t="shared" si="16"/>
        <v>#N/A</v>
      </c>
      <c r="AC37" s="713" t="e">
        <f t="shared" si="17"/>
        <v>#N/A</v>
      </c>
    </row>
    <row r="38" spans="1:29" ht="15">
      <c r="A38" s="431"/>
      <c r="B38" s="381" t="s">
        <v>2390</v>
      </c>
      <c r="C38" s="2081"/>
      <c r="D38" s="394">
        <v>100</v>
      </c>
      <c r="E38" s="2082"/>
      <c r="F38" s="420">
        <f>SUMIF(114:114,E38,115:115)-SUMIF(114:114,C38,115:115)+100</f>
        <v>100</v>
      </c>
      <c r="G38" s="2081"/>
      <c r="H38" s="394">
        <f>SUMIF(114:114,G38,115:115)-SUMIF(114:114,C38,115:115)+100</f>
        <v>100</v>
      </c>
      <c r="I38" s="2082"/>
      <c r="J38" s="394">
        <f>SUMIF(114:114,I38,115:115)-SUMIF(114:114,C38,115:115)+100</f>
        <v>100</v>
      </c>
      <c r="K38" s="385"/>
      <c r="L38" s="2938"/>
      <c r="M38" s="2932"/>
      <c r="N38" s="2932"/>
      <c r="O38" s="2932"/>
      <c r="P38" s="3462" t="s">
        <v>2384</v>
      </c>
      <c r="Q38" s="1526" t="str">
        <f t="shared" si="11"/>
        <v>物业管理</v>
      </c>
      <c r="R38" s="714" t="s">
        <v>21</v>
      </c>
      <c r="S38" s="715">
        <f t="shared" si="12"/>
        <v>100</v>
      </c>
      <c r="T38" s="714" t="s">
        <v>21</v>
      </c>
      <c r="U38" s="715">
        <f t="shared" si="13"/>
        <v>100</v>
      </c>
      <c r="V38" s="714" t="s">
        <v>21</v>
      </c>
      <c r="W38" s="715">
        <f t="shared" si="14"/>
        <v>100</v>
      </c>
      <c r="X38" s="1529"/>
      <c r="Y38" s="3421" t="s">
        <v>2384</v>
      </c>
      <c r="Z38" s="1530" t="str">
        <f t="shared" si="18"/>
        <v>物业管理</v>
      </c>
      <c r="AA38" s="1527">
        <f t="shared" si="15"/>
        <v>1</v>
      </c>
      <c r="AB38" s="1527">
        <f t="shared" si="16"/>
        <v>1</v>
      </c>
      <c r="AC38" s="1527">
        <f t="shared" si="17"/>
        <v>1</v>
      </c>
    </row>
    <row r="39" spans="1:29" ht="15">
      <c r="A39" s="431"/>
      <c r="B39" s="381" t="s">
        <v>2391</v>
      </c>
      <c r="C39" s="2081"/>
      <c r="D39" s="394">
        <v>100</v>
      </c>
      <c r="E39" s="2082"/>
      <c r="F39" s="420">
        <f>SUMIF(116:116,E39,117:117)-SUMIF(116:116,C39,117:117)+100</f>
        <v>100</v>
      </c>
      <c r="G39" s="2081"/>
      <c r="H39" s="394">
        <f>SUMIF(116:116,G39,117:117)-SUMIF(116:116,C39,117:117)+100</f>
        <v>100</v>
      </c>
      <c r="I39" s="2082"/>
      <c r="J39" s="394">
        <f>SUMIF(116:116,I39,117:117)-SUMIF(116:116,C39,117:117)+100</f>
        <v>100</v>
      </c>
      <c r="K39" s="385"/>
      <c r="L39" s="2938"/>
      <c r="M39" s="2932"/>
      <c r="N39" s="2932"/>
      <c r="O39" s="2932"/>
      <c r="P39" s="3462"/>
      <c r="Q39" s="1526" t="str">
        <f t="shared" si="11"/>
        <v>市政基础设施</v>
      </c>
      <c r="R39" s="714" t="s">
        <v>21</v>
      </c>
      <c r="S39" s="715">
        <f t="shared" si="12"/>
        <v>100</v>
      </c>
      <c r="T39" s="714" t="s">
        <v>21</v>
      </c>
      <c r="U39" s="715">
        <f t="shared" si="13"/>
        <v>100</v>
      </c>
      <c r="V39" s="714" t="s">
        <v>21</v>
      </c>
      <c r="W39" s="715">
        <f t="shared" si="14"/>
        <v>100</v>
      </c>
      <c r="X39" s="1529"/>
      <c r="Y39" s="3421"/>
      <c r="Z39" s="1530" t="str">
        <f t="shared" si="18"/>
        <v>市政基础设施</v>
      </c>
      <c r="AA39" s="1527">
        <f t="shared" si="15"/>
        <v>1</v>
      </c>
      <c r="AB39" s="1527">
        <f t="shared" si="16"/>
        <v>1</v>
      </c>
      <c r="AC39" s="1527">
        <f t="shared" si="17"/>
        <v>1</v>
      </c>
    </row>
    <row r="40" spans="1:29" ht="15">
      <c r="A40" s="431"/>
      <c r="B40" s="381" t="s">
        <v>2392</v>
      </c>
      <c r="C40" s="2081"/>
      <c r="D40" s="394">
        <v>100</v>
      </c>
      <c r="E40" s="2082"/>
      <c r="F40" s="420">
        <f>SUMIF(118:118,E40,119:119)-SUMIF(118:118,C40,119:119)+100</f>
        <v>100</v>
      </c>
      <c r="G40" s="2081"/>
      <c r="H40" s="394">
        <f>SUMIF(118:118,G40,119:119)-SUMIF(118:118,C40,119:119)+100</f>
        <v>100</v>
      </c>
      <c r="I40" s="2082"/>
      <c r="J40" s="394">
        <f>SUMIF(118:118,I40,119:119)-SUMIF(118:118,C40,119:119)+100</f>
        <v>100</v>
      </c>
      <c r="K40" s="385"/>
      <c r="L40" s="2938"/>
      <c r="M40" s="2932"/>
      <c r="N40" s="2932"/>
      <c r="O40" s="2932"/>
      <c r="P40" s="3462"/>
      <c r="Q40" s="1526" t="str">
        <f t="shared" si="11"/>
        <v>房型</v>
      </c>
      <c r="R40" s="714" t="s">
        <v>21</v>
      </c>
      <c r="S40" s="715">
        <f t="shared" si="12"/>
        <v>100</v>
      </c>
      <c r="T40" s="714" t="s">
        <v>21</v>
      </c>
      <c r="U40" s="715">
        <f t="shared" si="13"/>
        <v>100</v>
      </c>
      <c r="V40" s="714" t="s">
        <v>21</v>
      </c>
      <c r="W40" s="715">
        <f t="shared" si="14"/>
        <v>100</v>
      </c>
      <c r="X40" s="1529"/>
      <c r="Y40" s="3421"/>
      <c r="Z40" s="1530" t="str">
        <f t="shared" si="18"/>
        <v>房型</v>
      </c>
      <c r="AA40" s="1527">
        <f t="shared" si="15"/>
        <v>1</v>
      </c>
      <c r="AB40" s="1527">
        <f t="shared" si="16"/>
        <v>1</v>
      </c>
      <c r="AC40" s="152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9"/>
      <c r="L41" s="2937"/>
      <c r="M41" s="2939"/>
      <c r="N41" s="2939"/>
      <c r="O41" s="2939"/>
      <c r="P41" s="3462"/>
      <c r="Q41" s="716" t="str">
        <f t="shared" si="11"/>
        <v>单套/主力户型建筑面积</v>
      </c>
      <c r="R41" s="717" t="s">
        <v>21</v>
      </c>
      <c r="S41" s="718">
        <f t="shared" si="12"/>
        <v>100</v>
      </c>
      <c r="T41" s="717" t="s">
        <v>21</v>
      </c>
      <c r="U41" s="718">
        <f t="shared" si="13"/>
        <v>100</v>
      </c>
      <c r="V41" s="717" t="s">
        <v>21</v>
      </c>
      <c r="W41" s="718">
        <f t="shared" si="14"/>
        <v>100</v>
      </c>
      <c r="X41" s="719"/>
      <c r="Y41" s="3421"/>
      <c r="Z41" s="720" t="str">
        <f t="shared" si="18"/>
        <v>单套/主力户型建筑面积</v>
      </c>
      <c r="AA41" s="1527">
        <f t="shared" si="15"/>
        <v>1</v>
      </c>
      <c r="AB41" s="1527">
        <f t="shared" si="16"/>
        <v>1</v>
      </c>
      <c r="AC41" s="1527">
        <f t="shared" si="17"/>
        <v>1</v>
      </c>
    </row>
    <row r="42" spans="1:29" ht="15">
      <c r="A42" s="431"/>
      <c r="B42" s="381" t="s">
        <v>2394</v>
      </c>
      <c r="C42" s="2081"/>
      <c r="D42" s="394">
        <v>100</v>
      </c>
      <c r="E42" s="2082"/>
      <c r="F42" s="420">
        <f>SUMIF(122:122,E42,123:123)-SUMIF(122:122,C42,123:123)+100</f>
        <v>100</v>
      </c>
      <c r="G42" s="2081"/>
      <c r="H42" s="394">
        <f>SUMIF(122:122,G42,123:123)-SUMIF(122:122,C42,123:123)+100</f>
        <v>100</v>
      </c>
      <c r="I42" s="2082"/>
      <c r="J42" s="394">
        <f>SUMIF(122:122,I42,123:123)-SUMIF(122:122,C42,123:123)+100</f>
        <v>100</v>
      </c>
      <c r="K42" s="385"/>
      <c r="L42" s="2938"/>
      <c r="M42" s="2932"/>
      <c r="N42" s="2932"/>
      <c r="O42" s="2932"/>
      <c r="P42" s="3462"/>
      <c r="Q42" s="1526" t="str">
        <f t="shared" si="11"/>
        <v>内部装修</v>
      </c>
      <c r="R42" s="714" t="s">
        <v>21</v>
      </c>
      <c r="S42" s="715">
        <f t="shared" si="12"/>
        <v>100</v>
      </c>
      <c r="T42" s="714" t="s">
        <v>21</v>
      </c>
      <c r="U42" s="715">
        <f t="shared" si="13"/>
        <v>100</v>
      </c>
      <c r="V42" s="714" t="s">
        <v>21</v>
      </c>
      <c r="W42" s="715">
        <f t="shared" si="14"/>
        <v>100</v>
      </c>
      <c r="X42" s="1529"/>
      <c r="Y42" s="3421"/>
      <c r="Z42" s="1530" t="str">
        <f t="shared" si="18"/>
        <v>内部装修</v>
      </c>
      <c r="AA42" s="1527">
        <f t="shared" si="15"/>
        <v>1</v>
      </c>
      <c r="AB42" s="1527">
        <f t="shared" si="16"/>
        <v>1</v>
      </c>
      <c r="AC42" s="1527">
        <f t="shared" si="17"/>
        <v>1</v>
      </c>
    </row>
    <row r="43" spans="1:29" ht="15">
      <c r="A43" s="431"/>
      <c r="B43" s="381" t="s">
        <v>2395</v>
      </c>
      <c r="C43" s="2081"/>
      <c r="D43" s="394">
        <v>100</v>
      </c>
      <c r="E43" s="2082"/>
      <c r="F43" s="420">
        <f>SUMIF(124:124,E43,125:125)-SUMIF(124:124,C43,125:125)+100</f>
        <v>100</v>
      </c>
      <c r="G43" s="2081"/>
      <c r="H43" s="394">
        <f>SUMIF(124:124,G43,125:125)-SUMIF(124:124,C43,125:125)+100</f>
        <v>100</v>
      </c>
      <c r="I43" s="2082"/>
      <c r="J43" s="394">
        <f>SUMIF(124:124,I43,125:125)-SUMIF(124:124,C43,125:125)+100</f>
        <v>100</v>
      </c>
      <c r="K43" s="385"/>
      <c r="L43" s="2938"/>
      <c r="M43" s="2932"/>
      <c r="N43" s="2932"/>
      <c r="O43" s="2932"/>
      <c r="P43" s="3462"/>
      <c r="Q43" s="1526" t="str">
        <f t="shared" si="11"/>
        <v>内部装修维护情况</v>
      </c>
      <c r="R43" s="714" t="s">
        <v>21</v>
      </c>
      <c r="S43" s="715">
        <f t="shared" si="12"/>
        <v>100</v>
      </c>
      <c r="T43" s="714" t="s">
        <v>21</v>
      </c>
      <c r="U43" s="715">
        <f t="shared" si="13"/>
        <v>100</v>
      </c>
      <c r="V43" s="714" t="s">
        <v>21</v>
      </c>
      <c r="W43" s="715">
        <f t="shared" si="14"/>
        <v>100</v>
      </c>
      <c r="X43" s="1529"/>
      <c r="Y43" s="3421"/>
      <c r="Z43" s="1530" t="str">
        <f t="shared" si="18"/>
        <v>内部装修维护情况</v>
      </c>
      <c r="AA43" s="1527">
        <f t="shared" si="15"/>
        <v>1</v>
      </c>
      <c r="AB43" s="1527">
        <f t="shared" si="16"/>
        <v>1</v>
      </c>
      <c r="AC43" s="1527">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9"/>
      <c r="L44" s="2933"/>
      <c r="M44" s="2934"/>
      <c r="N44" s="2934"/>
      <c r="O44" s="2934"/>
      <c r="P44" s="3462"/>
      <c r="Q44" s="1517">
        <f t="shared" si="11"/>
        <v>111</v>
      </c>
      <c r="R44" s="710" t="s">
        <v>21</v>
      </c>
      <c r="S44" s="711">
        <f t="shared" si="12"/>
        <v>100</v>
      </c>
      <c r="T44" s="710" t="s">
        <v>21</v>
      </c>
      <c r="U44" s="711">
        <f t="shared" si="13"/>
        <v>100</v>
      </c>
      <c r="V44" s="710" t="s">
        <v>21</v>
      </c>
      <c r="W44" s="711">
        <f t="shared" si="14"/>
        <v>100</v>
      </c>
      <c r="X44" s="712"/>
      <c r="Y44" s="3421"/>
      <c r="Z44" s="55">
        <f t="shared" si="18"/>
        <v>111</v>
      </c>
      <c r="AA44" s="713">
        <f t="shared" si="15"/>
        <v>1</v>
      </c>
      <c r="AB44" s="713">
        <f t="shared" si="16"/>
        <v>1</v>
      </c>
      <c r="AC44" s="713">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9"/>
      <c r="L45" s="2938"/>
      <c r="M45" s="2932"/>
      <c r="N45" s="2932"/>
      <c r="O45" s="2932"/>
      <c r="P45" s="3462"/>
      <c r="Q45" s="1526">
        <f t="shared" si="11"/>
        <v>111</v>
      </c>
      <c r="R45" s="714" t="s">
        <v>21</v>
      </c>
      <c r="S45" s="715">
        <f t="shared" si="12"/>
        <v>100</v>
      </c>
      <c r="T45" s="714" t="s">
        <v>21</v>
      </c>
      <c r="U45" s="715">
        <f t="shared" si="13"/>
        <v>100</v>
      </c>
      <c r="V45" s="714" t="s">
        <v>21</v>
      </c>
      <c r="W45" s="715">
        <f t="shared" si="14"/>
        <v>100</v>
      </c>
      <c r="X45" s="1529"/>
      <c r="Y45" s="3421"/>
      <c r="Z45" s="1530">
        <f t="shared" si="18"/>
        <v>111</v>
      </c>
      <c r="AA45" s="1527">
        <f t="shared" si="15"/>
        <v>1</v>
      </c>
      <c r="AB45" s="1527">
        <f t="shared" si="16"/>
        <v>1</v>
      </c>
      <c r="AC45" s="1527">
        <f t="shared" si="17"/>
        <v>1</v>
      </c>
    </row>
    <row r="46" spans="1:29" ht="15.75" thickBot="1">
      <c r="A46" s="437"/>
      <c r="B46" s="207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9"/>
      <c r="L46" s="2938"/>
      <c r="M46" s="2932"/>
      <c r="N46" s="2932"/>
      <c r="O46" s="2932"/>
      <c r="P46" s="3463"/>
      <c r="Q46" s="1526">
        <f t="shared" si="11"/>
        <v>111</v>
      </c>
      <c r="R46" s="714" t="s">
        <v>20</v>
      </c>
      <c r="S46" s="715">
        <f t="shared" si="12"/>
        <v>100</v>
      </c>
      <c r="T46" s="714" t="s">
        <v>20</v>
      </c>
      <c r="U46" s="715">
        <f t="shared" si="13"/>
        <v>100</v>
      </c>
      <c r="V46" s="714" t="s">
        <v>20</v>
      </c>
      <c r="W46" s="715">
        <f t="shared" si="14"/>
        <v>100</v>
      </c>
      <c r="X46" s="1529"/>
      <c r="Y46" s="3464"/>
      <c r="Z46" s="1530">
        <f t="shared" si="18"/>
        <v>111</v>
      </c>
      <c r="AA46" s="1527">
        <f t="shared" si="15"/>
        <v>1</v>
      </c>
      <c r="AB46" s="1527">
        <f t="shared" si="16"/>
        <v>1</v>
      </c>
      <c r="AC46" s="1527">
        <f t="shared" si="17"/>
        <v>1</v>
      </c>
    </row>
    <row r="47" spans="1:29" ht="15">
      <c r="A47" s="438" t="s">
        <v>2396</v>
      </c>
      <c r="B47" s="439"/>
      <c r="C47" s="1308" t="s">
        <v>19</v>
      </c>
      <c r="D47" s="1309"/>
      <c r="E47" s="1310"/>
      <c r="F47" s="1311"/>
      <c r="G47" s="1312"/>
      <c r="H47" s="1313"/>
      <c r="I47" s="1310"/>
      <c r="J47" s="1313"/>
      <c r="K47" s="2089"/>
      <c r="L47" s="2940"/>
      <c r="M47" s="2941"/>
      <c r="N47" s="2932"/>
      <c r="O47" s="2941"/>
      <c r="P47" s="3403" t="str">
        <f>A47</f>
        <v>成交单价（元/平方米）</v>
      </c>
      <c r="Q47" s="3403"/>
      <c r="R47" s="3465">
        <f>E47</f>
        <v>0</v>
      </c>
      <c r="S47" s="3465"/>
      <c r="T47" s="3465">
        <f>G47</f>
        <v>0</v>
      </c>
      <c r="U47" s="3465"/>
      <c r="V47" s="3465">
        <f>I47</f>
        <v>0</v>
      </c>
      <c r="W47" s="3465"/>
      <c r="X47" s="699"/>
      <c r="Y47" s="721"/>
      <c r="Z47" s="699"/>
      <c r="AA47" s="699"/>
      <c r="AB47" s="699"/>
      <c r="AC47" s="699"/>
    </row>
    <row r="48" spans="1:29" ht="15.75" thickBot="1">
      <c r="A48" s="445" t="s">
        <v>2397</v>
      </c>
      <c r="B48" s="446"/>
      <c r="C48" s="1314" t="e">
        <f>R49</f>
        <v>#DIV/0!</v>
      </c>
      <c r="D48" s="2527" t="s">
        <v>2872</v>
      </c>
      <c r="E48" s="1315" t="e">
        <f>R48</f>
        <v>#DIV/0!</v>
      </c>
      <c r="F48" s="2528"/>
      <c r="G48" s="1314" t="e">
        <f>T48</f>
        <v>#DIV/0!</v>
      </c>
      <c r="H48" s="2528"/>
      <c r="I48" s="1315" t="e">
        <f>V48</f>
        <v>#DIV/0!</v>
      </c>
      <c r="J48" s="2528"/>
      <c r="K48" s="2529">
        <f>F48+H48+J48</f>
        <v>0</v>
      </c>
      <c r="L48" s="2940"/>
      <c r="M48" s="2941"/>
      <c r="N48" s="2941"/>
      <c r="O48" s="2941"/>
      <c r="P48" s="3403" t="str">
        <f>A48</f>
        <v>比较价值（元/平方米）</v>
      </c>
      <c r="Q48" s="3403"/>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699"/>
      <c r="Y48" s="699"/>
      <c r="Z48" s="699"/>
      <c r="AA48" s="699"/>
      <c r="AB48" s="699"/>
      <c r="AC48" s="699"/>
    </row>
    <row r="49" spans="1:29" ht="15.75" thickBot="1">
      <c r="A49" s="449" t="s">
        <v>2398</v>
      </c>
      <c r="B49" s="450"/>
      <c r="C49" s="1316" t="e">
        <f>R49</f>
        <v>#DIV/0!</v>
      </c>
      <c r="D49" s="1317"/>
      <c r="E49" s="1317"/>
      <c r="F49" s="1317"/>
      <c r="G49" s="1317"/>
      <c r="H49" s="1317"/>
      <c r="I49" s="1317"/>
      <c r="J49" s="1317"/>
      <c r="K49" s="2090"/>
      <c r="L49" s="2940"/>
      <c r="M49" s="2941"/>
      <c r="N49" s="2941"/>
      <c r="O49" s="2941"/>
      <c r="P49" s="3423" t="str">
        <f>A49</f>
        <v>估价对象XX用房的比较价值（楼面单价，元/平方米）</v>
      </c>
      <c r="Q49" s="3424"/>
      <c r="R49" s="3466" t="e">
        <f>IF(F1="售价",ROUND(IF(D48="简单平均",AVERAGE(R48:V48),R48*F48+T48*H48+V48*J48),0),ROUND(IF(D48="简单平均",AVERAGE(R48:V48),R48*F48+T48*H48+V48*J48),1))</f>
        <v>#DIV/0!</v>
      </c>
      <c r="S49" s="3466"/>
      <c r="T49" s="3466"/>
      <c r="U49" s="3466"/>
      <c r="V49" s="3466"/>
      <c r="W49" s="3466"/>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092"/>
    </row>
    <row r="55" spans="1:29" s="459" customFormat="1">
      <c r="A55" s="2944"/>
      <c r="B55" s="2947"/>
      <c r="C55" s="2948"/>
      <c r="D55" s="2944"/>
      <c r="E55" s="2944"/>
      <c r="F55" s="2944"/>
      <c r="G55" s="2944"/>
      <c r="H55" s="2944"/>
      <c r="I55" s="2944"/>
      <c r="J55" s="2944"/>
      <c r="K55" s="2949"/>
      <c r="L55" s="2943"/>
      <c r="M55" s="2944"/>
      <c r="N55" s="2944"/>
      <c r="O55" s="2944"/>
      <c r="P55" s="2092"/>
    </row>
    <row r="56" spans="1:29">
      <c r="A56" s="2941"/>
      <c r="B56" s="2947"/>
      <c r="C56" s="2948"/>
      <c r="D56" s="2941"/>
      <c r="E56" s="2941"/>
      <c r="F56" s="2941"/>
      <c r="G56" s="2941"/>
      <c r="H56" s="2941"/>
      <c r="I56" s="2941"/>
      <c r="J56" s="2941"/>
      <c r="K56" s="2946"/>
      <c r="L56" s="2942"/>
      <c r="M56" s="2941"/>
      <c r="N56" s="2941"/>
      <c r="O56" s="2941"/>
    </row>
    <row r="57" spans="1:29" ht="21.75" thickBot="1">
      <c r="A57" s="703" t="s">
        <v>2402</v>
      </c>
      <c r="B57" s="699"/>
      <c r="C57" s="704"/>
      <c r="D57" s="704"/>
      <c r="E57" s="704"/>
      <c r="F57" s="705"/>
      <c r="G57" s="705"/>
      <c r="H57" s="704"/>
      <c r="I57" s="704"/>
      <c r="J57" s="704"/>
      <c r="K57" s="1065"/>
      <c r="L57" s="1066"/>
      <c r="M57" s="1064"/>
      <c r="N57" s="1064"/>
      <c r="O57" s="1064"/>
      <c r="P57" s="2093"/>
      <c r="Q57" s="461"/>
    </row>
    <row r="58" spans="1:29" s="465" customFormat="1" ht="15">
      <c r="A58" s="462" t="s">
        <v>2403</v>
      </c>
      <c r="B58" s="463"/>
      <c r="C58" s="1339" t="str">
        <f>YEAR(C7)&amp;"-"&amp;MONTH(C7)</f>
        <v>2021-11</v>
      </c>
      <c r="D58" s="1338">
        <f>EDATE(C58,-1)</f>
        <v>44470</v>
      </c>
      <c r="E58" s="1338">
        <f>EDATE(D58,-1)</f>
        <v>44440</v>
      </c>
      <c r="F58" s="1338">
        <f t="shared" ref="F58:O58" si="19">EDATE(E58,-1)</f>
        <v>44409</v>
      </c>
      <c r="G58" s="1338">
        <f t="shared" si="19"/>
        <v>44378</v>
      </c>
      <c r="H58" s="1338">
        <f t="shared" si="19"/>
        <v>44348</v>
      </c>
      <c r="I58" s="1338">
        <f t="shared" si="19"/>
        <v>44317</v>
      </c>
      <c r="J58" s="1338">
        <f t="shared" si="19"/>
        <v>44287</v>
      </c>
      <c r="K58" s="1338">
        <f t="shared" si="19"/>
        <v>44256</v>
      </c>
      <c r="L58" s="1338">
        <f t="shared" si="19"/>
        <v>44228</v>
      </c>
      <c r="M58" s="1338">
        <f t="shared" si="19"/>
        <v>44197</v>
      </c>
      <c r="N58" s="1338">
        <f t="shared" si="19"/>
        <v>44166</v>
      </c>
      <c r="O58" s="1338">
        <f t="shared" si="19"/>
        <v>44136</v>
      </c>
      <c r="P58" s="1334"/>
    </row>
    <row r="59" spans="1:29" s="113" customFormat="1" ht="15">
      <c r="A59" s="466"/>
      <c r="B59" s="2094"/>
      <c r="C59" s="1336">
        <v>100</v>
      </c>
      <c r="D59" s="468"/>
      <c r="E59" s="469"/>
      <c r="F59" s="469"/>
      <c r="G59" s="469"/>
      <c r="H59" s="469"/>
      <c r="I59" s="469"/>
      <c r="J59" s="469"/>
      <c r="K59" s="469"/>
      <c r="L59" s="469"/>
      <c r="M59" s="470"/>
      <c r="N59" s="469"/>
      <c r="O59" s="470"/>
      <c r="P59" s="2095"/>
    </row>
    <row r="60" spans="1:29" s="113" customFormat="1" ht="15.75" thickBot="1">
      <c r="A60" s="472" t="s">
        <v>2404</v>
      </c>
      <c r="B60" s="473"/>
      <c r="C60" s="474"/>
      <c r="D60" s="475"/>
      <c r="E60" s="475"/>
      <c r="F60" s="475"/>
      <c r="G60" s="475"/>
      <c r="H60" s="475"/>
      <c r="I60" s="475"/>
      <c r="J60" s="475"/>
      <c r="K60" s="475"/>
      <c r="L60" s="475"/>
      <c r="M60" s="476"/>
      <c r="N60" s="475"/>
      <c r="O60" s="476"/>
      <c r="P60" s="2095"/>
      <c r="Q60" s="461"/>
    </row>
    <row r="61" spans="1:29" s="113" customFormat="1" ht="15">
      <c r="A61" s="478" t="s">
        <v>2405</v>
      </c>
      <c r="B61" s="467"/>
      <c r="C61" s="479" t="s">
        <v>2406</v>
      </c>
      <c r="D61" s="480"/>
      <c r="E61" s="480"/>
      <c r="F61" s="480"/>
      <c r="G61" s="480"/>
      <c r="H61" s="480"/>
      <c r="I61" s="480"/>
      <c r="J61" s="480"/>
      <c r="K61" s="480"/>
      <c r="L61" s="481"/>
      <c r="M61" s="482"/>
      <c r="N61" s="1056"/>
      <c r="O61" s="1056"/>
      <c r="P61" s="2096"/>
      <c r="Q61" s="461"/>
    </row>
    <row r="62" spans="1:29" s="113" customFormat="1" ht="15.75" thickBot="1">
      <c r="A62" s="478"/>
      <c r="B62" s="467"/>
      <c r="C62" s="468">
        <v>100</v>
      </c>
      <c r="D62" s="469"/>
      <c r="E62" s="469"/>
      <c r="F62" s="469"/>
      <c r="G62" s="469"/>
      <c r="H62" s="469"/>
      <c r="I62" s="469"/>
      <c r="J62" s="469"/>
      <c r="K62" s="469"/>
      <c r="L62" s="469"/>
      <c r="M62" s="471"/>
      <c r="N62" s="1056"/>
      <c r="O62" s="1056"/>
      <c r="P62" s="2095"/>
      <c r="Q62" s="461"/>
    </row>
    <row r="63" spans="1:29">
      <c r="A63" s="484" t="s">
        <v>2407</v>
      </c>
      <c r="B63" s="485" t="s">
        <v>2373</v>
      </c>
      <c r="C63" s="486">
        <f>C9</f>
        <v>0</v>
      </c>
      <c r="D63" s="487"/>
      <c r="E63" s="487"/>
      <c r="F63" s="487"/>
      <c r="G63" s="487"/>
      <c r="H63" s="487"/>
      <c r="I63" s="487"/>
      <c r="J63" s="487"/>
      <c r="K63" s="488"/>
      <c r="L63" s="489"/>
      <c r="M63" s="490"/>
      <c r="N63" s="1057"/>
      <c r="O63" s="1057"/>
      <c r="P63" s="2097"/>
      <c r="Q63" s="461"/>
    </row>
    <row r="64" spans="1:29" ht="15.75" thickBot="1">
      <c r="A64" s="491"/>
      <c r="B64" s="492"/>
      <c r="C64" s="493">
        <v>100</v>
      </c>
      <c r="D64" s="493"/>
      <c r="E64" s="493"/>
      <c r="F64" s="493"/>
      <c r="G64" s="493"/>
      <c r="H64" s="493"/>
      <c r="I64" s="493"/>
      <c r="J64" s="493"/>
      <c r="K64" s="493"/>
      <c r="L64" s="493"/>
      <c r="M64" s="494"/>
      <c r="N64" s="1058"/>
      <c r="O64" s="1058"/>
      <c r="P64" s="209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57"/>
      <c r="O65" s="1057"/>
      <c r="P65" s="209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7"/>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7"/>
      <c r="Q67" s="461"/>
    </row>
    <row r="68" spans="1:17" ht="15">
      <c r="A68" s="491"/>
      <c r="B68" s="505"/>
      <c r="C68" s="506"/>
      <c r="D68" s="506"/>
      <c r="E68" s="506"/>
      <c r="F68" s="506"/>
      <c r="G68" s="506"/>
      <c r="H68" s="506"/>
      <c r="I68" s="506"/>
      <c r="J68" s="506"/>
      <c r="K68" s="507"/>
      <c r="L68" s="508"/>
      <c r="M68" s="509"/>
      <c r="N68" s="1057"/>
      <c r="O68" s="1057"/>
      <c r="P68" s="209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7"/>
      <c r="Q69" s="461"/>
    </row>
    <row r="70" spans="1:17" s="430" customFormat="1" ht="15.75" thickTop="1">
      <c r="A70" s="510"/>
      <c r="B70" s="495">
        <f>B12</f>
        <v>111</v>
      </c>
      <c r="C70" s="511"/>
      <c r="D70" s="511"/>
      <c r="E70" s="511"/>
      <c r="F70" s="511"/>
      <c r="G70" s="511"/>
      <c r="H70" s="512"/>
      <c r="I70" s="512"/>
      <c r="J70" s="512"/>
      <c r="K70" s="512"/>
      <c r="L70" s="513"/>
      <c r="M70" s="514"/>
      <c r="N70" s="1059"/>
      <c r="O70" s="1059"/>
      <c r="P70" s="2098"/>
      <c r="Q70" s="516"/>
    </row>
    <row r="71" spans="1:17" s="430" customFormat="1" ht="15.75" thickBot="1">
      <c r="A71" s="510"/>
      <c r="B71" s="500"/>
      <c r="C71" s="517"/>
      <c r="D71" s="493"/>
      <c r="E71" s="493"/>
      <c r="F71" s="493"/>
      <c r="G71" s="493"/>
      <c r="H71" s="493"/>
      <c r="I71" s="493"/>
      <c r="J71" s="493"/>
      <c r="K71" s="493"/>
      <c r="L71" s="493"/>
      <c r="M71" s="494"/>
      <c r="N71" s="1058"/>
      <c r="O71" s="1058"/>
      <c r="P71" s="2098"/>
      <c r="Q71" s="516"/>
    </row>
    <row r="72" spans="1:17" s="430" customFormat="1" ht="15.75" thickTop="1">
      <c r="A72" s="510"/>
      <c r="B72" s="495">
        <f>B13</f>
        <v>111</v>
      </c>
      <c r="C72" s="511"/>
      <c r="D72" s="511"/>
      <c r="E72" s="511"/>
      <c r="F72" s="511"/>
      <c r="G72" s="511"/>
      <c r="H72" s="512"/>
      <c r="I72" s="512"/>
      <c r="J72" s="512"/>
      <c r="K72" s="512"/>
      <c r="L72" s="513"/>
      <c r="M72" s="514"/>
      <c r="N72" s="1059"/>
      <c r="O72" s="1059"/>
      <c r="P72" s="2099"/>
      <c r="Q72" s="518"/>
    </row>
    <row r="73" spans="1:17" s="430" customFormat="1" ht="15.75" thickBot="1">
      <c r="A73" s="510"/>
      <c r="B73" s="500"/>
      <c r="C73" s="517"/>
      <c r="D73" s="517"/>
      <c r="E73" s="517"/>
      <c r="F73" s="517"/>
      <c r="G73" s="517"/>
      <c r="H73" s="519"/>
      <c r="I73" s="519"/>
      <c r="J73" s="519"/>
      <c r="K73" s="519"/>
      <c r="L73" s="519"/>
      <c r="M73" s="520"/>
      <c r="N73" s="1059"/>
      <c r="O73" s="1059"/>
      <c r="P73" s="2098"/>
      <c r="Q73" s="516"/>
    </row>
    <row r="74" spans="1:17" s="430" customFormat="1" ht="15.75" thickTop="1">
      <c r="A74" s="510"/>
      <c r="B74" s="503">
        <f>B14</f>
        <v>111</v>
      </c>
      <c r="C74" s="511"/>
      <c r="D74" s="511"/>
      <c r="E74" s="511"/>
      <c r="F74" s="511"/>
      <c r="G74" s="480"/>
      <c r="H74" s="521"/>
      <c r="I74" s="521"/>
      <c r="J74" s="521"/>
      <c r="K74" s="521"/>
      <c r="L74" s="522"/>
      <c r="M74" s="523"/>
      <c r="N74" s="1059"/>
      <c r="O74" s="1059"/>
      <c r="P74" s="2100"/>
      <c r="Q74" s="516"/>
    </row>
    <row r="75" spans="1:17" s="430" customFormat="1" ht="15.75" thickBot="1">
      <c r="A75" s="525"/>
      <c r="B75" s="526"/>
      <c r="C75" s="527"/>
      <c r="D75" s="527"/>
      <c r="E75" s="527"/>
      <c r="F75" s="527"/>
      <c r="G75" s="527"/>
      <c r="H75" s="528"/>
      <c r="I75" s="528"/>
      <c r="J75" s="528"/>
      <c r="K75" s="528"/>
      <c r="L75" s="528"/>
      <c r="M75" s="529"/>
      <c r="N75" s="1059"/>
      <c r="O75" s="1059"/>
      <c r="P75" s="209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57"/>
      <c r="O76" s="1057"/>
      <c r="P76" s="210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57"/>
      <c r="O78" s="1057"/>
      <c r="P78" s="209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57"/>
      <c r="O80" s="1057"/>
      <c r="P80" s="209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7"/>
      <c r="Q81" s="461"/>
    </row>
    <row r="82" spans="1:17" ht="15.75" thickTop="1">
      <c r="A82" s="491"/>
      <c r="B82" s="503" t="s">
        <v>1945</v>
      </c>
      <c r="C82" s="496" t="s">
        <v>2423</v>
      </c>
      <c r="D82" s="496" t="s">
        <v>2424</v>
      </c>
      <c r="E82" s="496" t="s">
        <v>2425</v>
      </c>
      <c r="F82" s="496" t="s">
        <v>2426</v>
      </c>
      <c r="G82" s="496" t="s">
        <v>2427</v>
      </c>
      <c r="H82" s="496"/>
      <c r="I82" s="496"/>
      <c r="J82" s="496"/>
      <c r="K82" s="496"/>
      <c r="L82" s="496"/>
      <c r="M82" s="1283"/>
      <c r="N82" s="1058"/>
      <c r="O82" s="1058"/>
      <c r="P82" s="209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09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57"/>
      <c r="O84" s="1057"/>
      <c r="P84" s="209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7"/>
      <c r="Q85" s="461"/>
    </row>
    <row r="86" spans="1:17" s="113" customFormat="1" ht="15.75" thickTop="1">
      <c r="A86" s="536"/>
      <c r="B86" s="495" t="s">
        <v>2429</v>
      </c>
      <c r="C86" s="511"/>
      <c r="D86" s="511"/>
      <c r="E86" s="511"/>
      <c r="F86" s="511"/>
      <c r="G86" s="511"/>
      <c r="H86" s="511"/>
      <c r="I86" s="511"/>
      <c r="J86" s="511"/>
      <c r="K86" s="511"/>
      <c r="L86" s="537"/>
      <c r="M86" s="538"/>
      <c r="N86" s="1056"/>
      <c r="O86" s="1056"/>
      <c r="P86" s="209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7"/>
      <c r="Q87" s="461"/>
    </row>
    <row r="88" spans="1:17" s="113" customFormat="1" ht="15.75" thickTop="1">
      <c r="A88" s="536"/>
      <c r="B88" s="495" t="s">
        <v>2430</v>
      </c>
      <c r="C88" s="511"/>
      <c r="D88" s="511"/>
      <c r="E88" s="511"/>
      <c r="F88" s="2102"/>
      <c r="G88" s="511"/>
      <c r="H88" s="511"/>
      <c r="I88" s="511"/>
      <c r="J88" s="511"/>
      <c r="K88" s="511"/>
      <c r="L88" s="511"/>
      <c r="M88" s="538"/>
      <c r="N88" s="1056"/>
      <c r="O88" s="1056"/>
      <c r="P88" s="209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7"/>
      <c r="Q89" s="461"/>
    </row>
    <row r="90" spans="1:17" s="430" customFormat="1" ht="15.75" thickTop="1">
      <c r="A90" s="510"/>
      <c r="B90" s="495">
        <f>B27</f>
        <v>111</v>
      </c>
      <c r="C90" s="511"/>
      <c r="D90" s="511"/>
      <c r="E90" s="511"/>
      <c r="F90" s="511"/>
      <c r="G90" s="511"/>
      <c r="H90" s="512"/>
      <c r="I90" s="512"/>
      <c r="J90" s="512"/>
      <c r="K90" s="512"/>
      <c r="L90" s="513"/>
      <c r="M90" s="514"/>
      <c r="N90" s="1059"/>
      <c r="O90" s="1059"/>
      <c r="P90" s="2098"/>
      <c r="Q90" s="516"/>
    </row>
    <row r="91" spans="1:17" s="430" customFormat="1" ht="15.75" thickBot="1">
      <c r="A91" s="510"/>
      <c r="B91" s="500"/>
      <c r="C91" s="517"/>
      <c r="D91" s="517"/>
      <c r="E91" s="517"/>
      <c r="F91" s="517"/>
      <c r="G91" s="517"/>
      <c r="H91" s="519"/>
      <c r="I91" s="519"/>
      <c r="J91" s="519"/>
      <c r="K91" s="519"/>
      <c r="L91" s="519"/>
      <c r="M91" s="520"/>
      <c r="N91" s="1059"/>
      <c r="O91" s="1059"/>
      <c r="P91" s="2098"/>
      <c r="Q91" s="516"/>
    </row>
    <row r="92" spans="1:17" ht="15.75" thickTop="1">
      <c r="A92" s="491"/>
      <c r="B92" s="495">
        <f>B28</f>
        <v>111</v>
      </c>
      <c r="C92" s="511"/>
      <c r="D92" s="511"/>
      <c r="E92" s="511"/>
      <c r="F92" s="511"/>
      <c r="G92" s="540"/>
      <c r="H92" s="540"/>
      <c r="I92" s="540"/>
      <c r="J92" s="540"/>
      <c r="K92" s="541"/>
      <c r="L92" s="542"/>
      <c r="M92" s="543"/>
      <c r="N92" s="1057"/>
      <c r="O92" s="1057"/>
      <c r="P92" s="2097"/>
      <c r="Q92" s="461"/>
    </row>
    <row r="93" spans="1:17" ht="15.75" thickBot="1">
      <c r="A93" s="491"/>
      <c r="B93" s="500"/>
      <c r="C93" s="517"/>
      <c r="D93" s="493"/>
      <c r="E93" s="493"/>
      <c r="F93" s="493"/>
      <c r="G93" s="493"/>
      <c r="H93" s="493"/>
      <c r="I93" s="493"/>
      <c r="J93" s="493"/>
      <c r="K93" s="493"/>
      <c r="L93" s="493"/>
      <c r="M93" s="494"/>
      <c r="N93" s="1058"/>
      <c r="O93" s="1058"/>
      <c r="P93" s="2097"/>
      <c r="Q93" s="461"/>
    </row>
    <row r="94" spans="1:17" ht="15.75" thickTop="1">
      <c r="A94" s="491"/>
      <c r="B94" s="495">
        <f>B29</f>
        <v>111</v>
      </c>
      <c r="C94" s="511"/>
      <c r="D94" s="511"/>
      <c r="E94" s="511"/>
      <c r="F94" s="511"/>
      <c r="G94" s="540"/>
      <c r="H94" s="540"/>
      <c r="I94" s="540"/>
      <c r="J94" s="540"/>
      <c r="K94" s="541"/>
      <c r="L94" s="542"/>
      <c r="M94" s="543"/>
      <c r="N94" s="1057"/>
      <c r="O94" s="1057"/>
      <c r="P94" s="2097"/>
      <c r="Q94" s="461"/>
    </row>
    <row r="95" spans="1:17" ht="15.75" thickBot="1">
      <c r="A95" s="491"/>
      <c r="B95" s="500"/>
      <c r="C95" s="517"/>
      <c r="D95" s="517"/>
      <c r="E95" s="517"/>
      <c r="F95" s="517"/>
      <c r="G95" s="493"/>
      <c r="H95" s="493"/>
      <c r="I95" s="493"/>
      <c r="J95" s="493"/>
      <c r="K95" s="493"/>
      <c r="L95" s="493"/>
      <c r="M95" s="494"/>
      <c r="N95" s="1058"/>
      <c r="O95" s="1058"/>
      <c r="P95" s="2097"/>
      <c r="Q95" s="461"/>
    </row>
    <row r="96" spans="1:17" ht="15.75" thickTop="1">
      <c r="A96" s="491"/>
      <c r="B96" s="495">
        <f>B30</f>
        <v>111</v>
      </c>
      <c r="C96" s="511"/>
      <c r="D96" s="511"/>
      <c r="E96" s="511"/>
      <c r="F96" s="511"/>
      <c r="G96" s="540"/>
      <c r="H96" s="540"/>
      <c r="I96" s="540"/>
      <c r="J96" s="540"/>
      <c r="K96" s="541"/>
      <c r="L96" s="542"/>
      <c r="M96" s="543"/>
      <c r="N96" s="1057"/>
      <c r="O96" s="1057"/>
      <c r="P96" s="2097"/>
      <c r="Q96" s="461"/>
    </row>
    <row r="97" spans="1:17" ht="15.75" thickBot="1">
      <c r="A97" s="491"/>
      <c r="B97" s="500"/>
      <c r="C97" s="527"/>
      <c r="D97" s="527"/>
      <c r="E97" s="527"/>
      <c r="F97" s="527"/>
      <c r="G97" s="493"/>
      <c r="H97" s="493"/>
      <c r="I97" s="493"/>
      <c r="J97" s="493"/>
      <c r="K97" s="493"/>
      <c r="L97" s="493"/>
      <c r="M97" s="494"/>
      <c r="N97" s="1058"/>
      <c r="O97" s="1058"/>
      <c r="P97" s="2097"/>
      <c r="Q97" s="461"/>
    </row>
    <row r="98" spans="1:17" ht="15.75" thickTop="1">
      <c r="A98" s="491"/>
      <c r="B98" s="503">
        <f>B31</f>
        <v>111</v>
      </c>
      <c r="C98" s="544"/>
      <c r="D98" s="544"/>
      <c r="E98" s="544"/>
      <c r="F98" s="544"/>
      <c r="G98" s="544"/>
      <c r="H98" s="544"/>
      <c r="I98" s="544"/>
      <c r="J98" s="544"/>
      <c r="K98" s="545"/>
      <c r="L98" s="546"/>
      <c r="M98" s="547"/>
      <c r="N98" s="1057"/>
      <c r="O98" s="1057"/>
      <c r="P98" s="2097"/>
      <c r="Q98" s="461"/>
    </row>
    <row r="99" spans="1:17" ht="15.75" thickBot="1">
      <c r="A99" s="2103"/>
      <c r="B99" s="526"/>
      <c r="C99" s="548"/>
      <c r="D99" s="548"/>
      <c r="E99" s="548"/>
      <c r="F99" s="548"/>
      <c r="G99" s="548"/>
      <c r="H99" s="548"/>
      <c r="I99" s="548"/>
      <c r="J99" s="548"/>
      <c r="K99" s="548"/>
      <c r="L99" s="548"/>
      <c r="M99" s="549"/>
      <c r="N99" s="1058"/>
      <c r="O99" s="1058"/>
      <c r="P99" s="2097"/>
      <c r="Q99" s="461"/>
    </row>
    <row r="100" spans="1:17">
      <c r="A100" s="484" t="s">
        <v>2382</v>
      </c>
      <c r="B100" s="485" t="s">
        <v>2431</v>
      </c>
      <c r="C100" s="487"/>
      <c r="D100" s="487"/>
      <c r="E100" s="487"/>
      <c r="F100" s="487"/>
      <c r="G100" s="487"/>
      <c r="H100" s="487"/>
      <c r="I100" s="487"/>
      <c r="J100" s="487"/>
      <c r="K100" s="488"/>
      <c r="L100" s="489"/>
      <c r="M100" s="490"/>
      <c r="N100" s="1057"/>
      <c r="O100" s="1057"/>
      <c r="P100" s="209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7"/>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7"/>
      <c r="Q102" s="461"/>
    </row>
    <row r="103" spans="1:17" s="430" customFormat="1">
      <c r="A103" s="550"/>
      <c r="B103" s="551"/>
      <c r="C103" s="552"/>
      <c r="D103" s="552"/>
      <c r="E103" s="552"/>
      <c r="F103" s="552"/>
      <c r="G103" s="552"/>
      <c r="H103" s="552"/>
      <c r="I103" s="552"/>
      <c r="J103" s="553"/>
      <c r="K103" s="553"/>
      <c r="L103" s="554"/>
      <c r="M103" s="555"/>
      <c r="N103" s="1059"/>
      <c r="O103" s="1059"/>
      <c r="P103" s="2098"/>
      <c r="Q103" s="516"/>
    </row>
    <row r="104" spans="1:17" s="430" customFormat="1" ht="15.75" thickBot="1">
      <c r="A104" s="510"/>
      <c r="B104" s="500"/>
      <c r="C104" s="517"/>
      <c r="D104" s="493"/>
      <c r="E104" s="493"/>
      <c r="F104" s="493"/>
      <c r="G104" s="493"/>
      <c r="H104" s="493"/>
      <c r="I104" s="493"/>
      <c r="J104" s="493"/>
      <c r="K104" s="493"/>
      <c r="L104" s="493"/>
      <c r="M104" s="493"/>
      <c r="N104" s="1058"/>
      <c r="O104" s="1058"/>
      <c r="P104" s="2098"/>
      <c r="Q104" s="516"/>
    </row>
    <row r="105" spans="1:17" ht="15" thickTop="1">
      <c r="A105" s="556"/>
      <c r="B105" s="495" t="s">
        <v>2433</v>
      </c>
      <c r="C105" s="511"/>
      <c r="D105" s="511"/>
      <c r="E105" s="540"/>
      <c r="F105" s="540"/>
      <c r="G105" s="540"/>
      <c r="H105" s="540"/>
      <c r="I105" s="540"/>
      <c r="J105" s="540"/>
      <c r="K105" s="541"/>
      <c r="L105" s="542"/>
      <c r="M105" s="543"/>
      <c r="N105" s="1057"/>
      <c r="O105" s="1057"/>
      <c r="P105" s="209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7"/>
      <c r="Q106" s="461"/>
    </row>
    <row r="107" spans="1:17" ht="15" thickTop="1">
      <c r="A107" s="556"/>
      <c r="B107" s="495" t="s">
        <v>2434</v>
      </c>
      <c r="C107" s="540"/>
      <c r="D107" s="540"/>
      <c r="E107" s="540"/>
      <c r="F107" s="540"/>
      <c r="G107" s="540"/>
      <c r="H107" s="540"/>
      <c r="I107" s="540"/>
      <c r="J107" s="540"/>
      <c r="K107" s="541"/>
      <c r="L107" s="542"/>
      <c r="M107" s="543"/>
      <c r="N107" s="1057"/>
      <c r="O107" s="1057"/>
      <c r="P107" s="209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7"/>
      <c r="Q108" s="461"/>
    </row>
    <row r="109" spans="1:17" ht="15" thickTop="1">
      <c r="A109" s="556"/>
      <c r="B109" s="495" t="s">
        <v>2435</v>
      </c>
      <c r="C109" s="511"/>
      <c r="D109" s="511"/>
      <c r="E109" s="511"/>
      <c r="F109" s="540"/>
      <c r="G109" s="540"/>
      <c r="H109" s="540"/>
      <c r="I109" s="540"/>
      <c r="J109" s="540"/>
      <c r="K109" s="541"/>
      <c r="L109" s="542"/>
      <c r="M109" s="543"/>
      <c r="N109" s="1057"/>
      <c r="O109" s="1057"/>
      <c r="P109" s="209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09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09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098"/>
      <c r="Q113" s="516"/>
    </row>
    <row r="114" spans="1:17" ht="15" thickTop="1">
      <c r="A114" s="556"/>
      <c r="B114" s="495" t="s">
        <v>2436</v>
      </c>
      <c r="C114" s="511"/>
      <c r="D114" s="511"/>
      <c r="E114" s="540"/>
      <c r="F114" s="540"/>
      <c r="G114" s="540"/>
      <c r="H114" s="540"/>
      <c r="I114" s="540"/>
      <c r="J114" s="540"/>
      <c r="K114" s="541"/>
      <c r="L114" s="542"/>
      <c r="M114" s="543"/>
      <c r="N114" s="1057"/>
      <c r="O114" s="1057"/>
      <c r="P114" s="209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7"/>
      <c r="Q115" s="461"/>
    </row>
    <row r="116" spans="1:17" ht="15" thickTop="1">
      <c r="A116" s="556"/>
      <c r="B116" s="495" t="s">
        <v>2437</v>
      </c>
      <c r="C116" s="511"/>
      <c r="D116" s="511"/>
      <c r="E116" s="511"/>
      <c r="F116" s="511"/>
      <c r="G116" s="511"/>
      <c r="H116" s="540"/>
      <c r="I116" s="540"/>
      <c r="J116" s="540"/>
      <c r="K116" s="541"/>
      <c r="L116" s="542"/>
      <c r="M116" s="543"/>
      <c r="N116" s="1057"/>
      <c r="O116" s="1057"/>
      <c r="P116" s="209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7"/>
      <c r="Q117" s="461"/>
    </row>
    <row r="118" spans="1:17" ht="15" thickTop="1">
      <c r="A118" s="556"/>
      <c r="B118" s="495" t="s">
        <v>2438</v>
      </c>
      <c r="C118" s="540"/>
      <c r="D118" s="540"/>
      <c r="E118" s="540"/>
      <c r="F118" s="540"/>
      <c r="G118" s="540"/>
      <c r="H118" s="540"/>
      <c r="I118" s="540"/>
      <c r="J118" s="540"/>
      <c r="K118" s="541"/>
      <c r="L118" s="542"/>
      <c r="M118" s="543"/>
      <c r="N118" s="1057"/>
      <c r="O118" s="1057"/>
      <c r="P118" s="209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7"/>
      <c r="Q119" s="461"/>
    </row>
    <row r="120" spans="1:17" s="430" customFormat="1" ht="28.5" thickTop="1">
      <c r="A120" s="550"/>
      <c r="B120" s="495" t="s">
        <v>2393</v>
      </c>
      <c r="C120" s="511"/>
      <c r="D120" s="511"/>
      <c r="E120" s="511"/>
      <c r="F120" s="511"/>
      <c r="G120" s="511"/>
      <c r="H120" s="511"/>
      <c r="I120" s="511"/>
      <c r="J120" s="511"/>
      <c r="K120" s="511"/>
      <c r="L120" s="537"/>
      <c r="M120" s="538"/>
      <c r="N120" s="1059"/>
      <c r="O120" s="1059"/>
      <c r="P120" s="2098"/>
      <c r="Q120" s="516"/>
    </row>
    <row r="121" spans="1:17" s="430" customFormat="1" ht="15.75" thickBot="1">
      <c r="A121" s="510"/>
      <c r="B121" s="492"/>
      <c r="C121" s="517"/>
      <c r="D121" s="493"/>
      <c r="E121" s="493"/>
      <c r="F121" s="493"/>
      <c r="G121" s="493"/>
      <c r="H121" s="493"/>
      <c r="I121" s="493"/>
      <c r="J121" s="493"/>
      <c r="K121" s="493"/>
      <c r="L121" s="493"/>
      <c r="M121" s="493"/>
      <c r="N121" s="1059"/>
      <c r="O121" s="1059"/>
      <c r="P121" s="2098"/>
      <c r="Q121" s="516"/>
    </row>
    <row r="122" spans="1:17" ht="15" thickTop="1">
      <c r="A122" s="556"/>
      <c r="B122" s="495" t="s">
        <v>2439</v>
      </c>
      <c r="C122" s="511"/>
      <c r="D122" s="511"/>
      <c r="E122" s="511"/>
      <c r="F122" s="540"/>
      <c r="G122" s="540"/>
      <c r="H122" s="540"/>
      <c r="I122" s="540"/>
      <c r="J122" s="540"/>
      <c r="K122" s="541"/>
      <c r="L122" s="542"/>
      <c r="M122" s="543"/>
      <c r="N122" s="1057"/>
      <c r="O122" s="1057"/>
      <c r="P122" s="209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57"/>
      <c r="O124" s="1057"/>
      <c r="P124" s="209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7"/>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098"/>
      <c r="Q126" s="516"/>
    </row>
    <row r="127" spans="1:17" s="430" customFormat="1" ht="15.75" thickBot="1">
      <c r="A127" s="510"/>
      <c r="B127" s="500"/>
      <c r="C127" s="517"/>
      <c r="D127" s="493"/>
      <c r="E127" s="493"/>
      <c r="F127" s="493"/>
      <c r="G127" s="517"/>
      <c r="H127" s="519"/>
      <c r="I127" s="519"/>
      <c r="J127" s="519"/>
      <c r="K127" s="519"/>
      <c r="L127" s="519"/>
      <c r="M127" s="520"/>
      <c r="N127" s="1059"/>
      <c r="O127" s="1059"/>
      <c r="P127" s="2098"/>
      <c r="Q127" s="516"/>
    </row>
    <row r="128" spans="1:17" ht="15" thickTop="1">
      <c r="A128" s="556"/>
      <c r="B128" s="495">
        <f>B45</f>
        <v>111</v>
      </c>
      <c r="C128" s="511"/>
      <c r="D128" s="511"/>
      <c r="E128" s="511"/>
      <c r="F128" s="511"/>
      <c r="G128" s="540"/>
      <c r="H128" s="540"/>
      <c r="I128" s="540"/>
      <c r="J128" s="540"/>
      <c r="K128" s="541"/>
      <c r="L128" s="542"/>
      <c r="M128" s="543"/>
      <c r="N128" s="1057"/>
      <c r="O128" s="1057"/>
      <c r="P128" s="2097"/>
      <c r="Q128" s="461"/>
    </row>
    <row r="129" spans="1:17" ht="15.75" thickBot="1">
      <c r="A129" s="491"/>
      <c r="B129" s="500"/>
      <c r="C129" s="517"/>
      <c r="D129" s="517"/>
      <c r="E129" s="517"/>
      <c r="F129" s="517"/>
      <c r="G129" s="493"/>
      <c r="H129" s="493"/>
      <c r="I129" s="493"/>
      <c r="J129" s="493"/>
      <c r="K129" s="493"/>
      <c r="L129" s="493"/>
      <c r="M129" s="494"/>
      <c r="N129" s="1058"/>
      <c r="O129" s="1058"/>
      <c r="P129" s="2097"/>
      <c r="Q129" s="461"/>
    </row>
    <row r="130" spans="1:17" ht="15" thickTop="1">
      <c r="A130" s="556"/>
      <c r="B130" s="503">
        <f>B46</f>
        <v>111</v>
      </c>
      <c r="C130" s="511"/>
      <c r="D130" s="511"/>
      <c r="E130" s="511"/>
      <c r="F130" s="511"/>
      <c r="G130" s="544"/>
      <c r="H130" s="544"/>
      <c r="I130" s="544"/>
      <c r="J130" s="544"/>
      <c r="K130" s="480"/>
      <c r="L130" s="481"/>
      <c r="M130" s="547"/>
      <c r="N130" s="1057"/>
      <c r="O130" s="1057"/>
      <c r="P130" s="2097"/>
      <c r="Q130" s="461"/>
    </row>
    <row r="131" spans="1:17" ht="15.75" thickBot="1">
      <c r="A131" s="2103"/>
      <c r="B131" s="526"/>
      <c r="C131" s="527"/>
      <c r="D131" s="527"/>
      <c r="E131" s="527"/>
      <c r="F131" s="527"/>
      <c r="G131" s="548"/>
      <c r="H131" s="548"/>
      <c r="I131" s="548"/>
      <c r="J131" s="548"/>
      <c r="K131" s="548"/>
      <c r="L131" s="548"/>
      <c r="M131" s="549"/>
      <c r="N131" s="1058"/>
      <c r="O131" s="1058"/>
      <c r="P131" s="2097"/>
      <c r="Q131" s="461"/>
    </row>
    <row r="136" spans="1:17" ht="15" thickBot="1">
      <c r="B136" s="2104" t="s">
        <v>2441</v>
      </c>
    </row>
    <row r="137" spans="1:17" ht="15">
      <c r="B137" s="2105" t="s">
        <v>2442</v>
      </c>
      <c r="C137" s="2106"/>
      <c r="D137" s="2106"/>
      <c r="E137" s="2106"/>
      <c r="F137" s="2106"/>
      <c r="G137" s="2107"/>
      <c r="H137" s="2108"/>
      <c r="I137" s="2109" t="s">
        <v>2443</v>
      </c>
      <c r="J137" s="2106"/>
      <c r="K137" s="2110"/>
    </row>
    <row r="138" spans="1:17" ht="15">
      <c r="B138" s="2111"/>
      <c r="C138" s="142" t="s">
        <v>2444</v>
      </c>
      <c r="D138" s="142" t="s">
        <v>2445</v>
      </c>
      <c r="E138" s="2112" t="s">
        <v>2446</v>
      </c>
      <c r="F138" s="2113" t="s">
        <v>2447</v>
      </c>
      <c r="G138" s="142" t="s">
        <v>2445</v>
      </c>
      <c r="H138" s="143" t="s">
        <v>2446</v>
      </c>
      <c r="I138" s="2114"/>
      <c r="J138" s="142" t="s">
        <v>2448</v>
      </c>
      <c r="K138" s="143" t="s">
        <v>2449</v>
      </c>
    </row>
    <row r="139" spans="1:17" ht="15">
      <c r="B139" s="992">
        <v>6</v>
      </c>
      <c r="C139" s="993">
        <v>96</v>
      </c>
      <c r="D139" s="2115" t="s">
        <v>2450</v>
      </c>
      <c r="E139" s="994">
        <v>100</v>
      </c>
      <c r="F139" s="995">
        <v>102.5</v>
      </c>
      <c r="G139" s="2115" t="s">
        <v>2450</v>
      </c>
      <c r="H139" s="996">
        <v>105</v>
      </c>
      <c r="I139" s="2116" t="s">
        <v>2451</v>
      </c>
      <c r="J139" s="993">
        <v>20</v>
      </c>
      <c r="K139" s="997">
        <f>C145/(J139-2)</f>
        <v>4.0555555555555553E-3</v>
      </c>
    </row>
    <row r="140" spans="1:17" ht="15">
      <c r="B140" s="998">
        <v>5</v>
      </c>
      <c r="C140" s="999">
        <v>100</v>
      </c>
      <c r="D140" s="999"/>
      <c r="E140" s="1000"/>
      <c r="F140" s="1001">
        <v>102</v>
      </c>
      <c r="G140" s="999"/>
      <c r="H140" s="1002"/>
      <c r="I140" s="2117" t="s">
        <v>2452</v>
      </c>
      <c r="J140" s="277">
        <f>ROUNDUP((J139-1)/2,0)</f>
        <v>10</v>
      </c>
      <c r="K140" s="1003">
        <v>100</v>
      </c>
    </row>
    <row r="141" spans="1:17" ht="15">
      <c r="B141" s="998">
        <v>4</v>
      </c>
      <c r="C141" s="999">
        <v>102</v>
      </c>
      <c r="D141" s="999"/>
      <c r="E141" s="1000"/>
      <c r="F141" s="1001">
        <v>101.5</v>
      </c>
      <c r="G141" s="999"/>
      <c r="H141" s="1002"/>
      <c r="I141" s="2117" t="s">
        <v>2453</v>
      </c>
      <c r="J141" s="277">
        <v>1</v>
      </c>
      <c r="K141" s="1004">
        <f>ROUND(100+(J141-J140)*K139*100,1)</f>
        <v>96.4</v>
      </c>
    </row>
    <row r="142" spans="1:17" ht="15">
      <c r="B142" s="998">
        <v>3</v>
      </c>
      <c r="C142" s="999">
        <v>103</v>
      </c>
      <c r="D142" s="999"/>
      <c r="E142" s="1000"/>
      <c r="F142" s="1001">
        <v>101</v>
      </c>
      <c r="G142" s="999"/>
      <c r="H142" s="1002"/>
      <c r="I142" s="2117" t="s">
        <v>2454</v>
      </c>
      <c r="J142" s="277">
        <f>J139</f>
        <v>20</v>
      </c>
      <c r="K142" s="1005">
        <v>95</v>
      </c>
    </row>
    <row r="143" spans="1:17" ht="15">
      <c r="B143" s="998">
        <v>2</v>
      </c>
      <c r="C143" s="999">
        <v>100</v>
      </c>
      <c r="D143" s="999"/>
      <c r="E143" s="1000"/>
      <c r="F143" s="1001">
        <v>100.5</v>
      </c>
      <c r="G143" s="999"/>
      <c r="H143" s="1002"/>
      <c r="I143" s="2117" t="s">
        <v>2455</v>
      </c>
      <c r="J143" s="999">
        <v>15</v>
      </c>
      <c r="K143" s="1004">
        <f>ROUND(100+(J143-J140)*K139*100,1)</f>
        <v>102</v>
      </c>
    </row>
    <row r="144" spans="1:17" ht="15">
      <c r="B144" s="998">
        <v>1</v>
      </c>
      <c r="C144" s="999">
        <v>98</v>
      </c>
      <c r="D144" s="2118" t="s">
        <v>2456</v>
      </c>
      <c r="E144" s="1000">
        <v>102</v>
      </c>
      <c r="F144" s="1006">
        <v>100</v>
      </c>
      <c r="G144" s="2118" t="s">
        <v>2456</v>
      </c>
      <c r="H144" s="1002">
        <v>105</v>
      </c>
      <c r="I144" s="2117" t="s">
        <v>2455</v>
      </c>
      <c r="J144" s="999">
        <v>18</v>
      </c>
      <c r="K144" s="1004">
        <f>ROUND(100+(J144-J140)*K139*100,1)</f>
        <v>103.2</v>
      </c>
    </row>
    <row r="145" spans="2:11" ht="15.75" thickBot="1">
      <c r="B145" s="2119" t="s">
        <v>2457</v>
      </c>
      <c r="C145" s="1007">
        <f>ROUND(MAX(C139:C144)/MIN(C139:C144)-1,3)</f>
        <v>7.2999999999999995E-2</v>
      </c>
      <c r="D145" s="1008"/>
      <c r="E145" s="1008"/>
      <c r="F145" s="2120" t="s">
        <v>2458</v>
      </c>
      <c r="G145" s="2121"/>
      <c r="H145" s="2122"/>
      <c r="I145" s="2123" t="s">
        <v>2455</v>
      </c>
      <c r="J145" s="1009">
        <v>8</v>
      </c>
      <c r="K145" s="1010">
        <f>ROUND(100+(J145-J140)*K139*100,1)</f>
        <v>99.2</v>
      </c>
    </row>
    <row r="147" spans="2:11">
      <c r="B147" s="2104" t="s">
        <v>2459</v>
      </c>
    </row>
    <row r="148" spans="2:11">
      <c r="B148" s="2104"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132" t="s">
        <v>2505</v>
      </c>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IF(C2="——",ROUND(C50*D3/10000,0),ROUND(C50*D3/10000,0)-D2)</f>
        <v>#DIV/0!</v>
      </c>
      <c r="C2" s="2056"/>
      <c r="D2" s="1267" t="e">
        <f ca="1">SUMIF(INDIRECT("'"&amp;F2&amp;"'"&amp;"!A:A"),"承租人权益价值",INDIRECT("'"&amp;F2&amp;"'"&amp;"!c:c"))</f>
        <v>#REF!</v>
      </c>
      <c r="E2" s="2057" t="s">
        <v>2147</v>
      </c>
      <c r="F2" s="2058"/>
      <c r="G2" s="1032"/>
      <c r="H2" s="1032"/>
      <c r="I2" s="1032"/>
      <c r="J2" s="1032"/>
      <c r="K2" s="1032"/>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998.81000000000006</v>
      </c>
      <c r="E3" s="2129"/>
      <c r="F3" s="1033"/>
      <c r="G3" s="1032"/>
      <c r="H3" s="1032"/>
      <c r="I3" s="1032"/>
      <c r="J3" s="1032"/>
      <c r="K3" s="1034"/>
      <c r="L3" s="2950"/>
      <c r="M3" s="2951"/>
      <c r="N3" s="2951"/>
      <c r="O3" s="2951"/>
      <c r="P3" s="708"/>
      <c r="Q3" s="708"/>
      <c r="R3" s="708"/>
      <c r="S3" s="708"/>
      <c r="T3" s="708"/>
      <c r="U3" s="708"/>
      <c r="V3" s="708"/>
      <c r="W3" s="708"/>
      <c r="X3" s="708"/>
      <c r="Y3" s="708"/>
      <c r="Z3" s="708"/>
      <c r="AA3" s="708"/>
      <c r="AB3" s="708"/>
      <c r="AC3" s="709"/>
    </row>
    <row r="4" spans="1:29" ht="15">
      <c r="A4" s="361" t="s">
        <v>2464</v>
      </c>
      <c r="B4" s="362"/>
      <c r="C4" s="3404" t="s">
        <v>2465</v>
      </c>
      <c r="D4" s="3405"/>
      <c r="E4" s="3406" t="s">
        <v>2466</v>
      </c>
      <c r="F4" s="3407"/>
      <c r="G4" s="3404" t="s">
        <v>2467</v>
      </c>
      <c r="H4" s="3405"/>
      <c r="I4" s="3404" t="s">
        <v>2468</v>
      </c>
      <c r="J4" s="3405"/>
      <c r="K4" s="567" t="s">
        <v>2469</v>
      </c>
      <c r="L4" s="2931"/>
      <c r="M4" s="2932"/>
      <c r="N4" s="2932"/>
      <c r="O4" s="2932"/>
      <c r="P4" s="3507" t="s">
        <v>2470</v>
      </c>
      <c r="Q4" s="3508"/>
      <c r="R4" s="3502" t="s">
        <v>2466</v>
      </c>
      <c r="S4" s="3503"/>
      <c r="T4" s="3502" t="s">
        <v>2467</v>
      </c>
      <c r="U4" s="3503"/>
      <c r="V4" s="3511" t="s">
        <v>2468</v>
      </c>
      <c r="W4" s="3511"/>
      <c r="X4" s="2133"/>
      <c r="Y4" s="3502" t="s">
        <v>2470</v>
      </c>
      <c r="Z4" s="3503"/>
      <c r="AA4" s="3501" t="s">
        <v>2466</v>
      </c>
      <c r="AB4" s="3501" t="s">
        <v>2467</v>
      </c>
      <c r="AC4" s="3504" t="s">
        <v>2468</v>
      </c>
    </row>
    <row r="5" spans="1:29" ht="15">
      <c r="A5" s="364"/>
      <c r="B5" s="365"/>
      <c r="C5" s="3397" t="s">
        <v>2361</v>
      </c>
      <c r="D5" s="3398"/>
      <c r="E5" s="3395" t="s">
        <v>2362</v>
      </c>
      <c r="F5" s="3396"/>
      <c r="G5" s="3397" t="s">
        <v>2363</v>
      </c>
      <c r="H5" s="3398"/>
      <c r="I5" s="3397" t="s">
        <v>2364</v>
      </c>
      <c r="J5" s="3398"/>
      <c r="K5" s="567"/>
      <c r="L5" s="2931"/>
      <c r="M5" s="2932"/>
      <c r="N5" s="2932"/>
      <c r="O5" s="2932"/>
      <c r="P5" s="3509"/>
      <c r="Q5" s="3411"/>
      <c r="R5" s="3393"/>
      <c r="S5" s="3394"/>
      <c r="T5" s="3393"/>
      <c r="U5" s="3394"/>
      <c r="V5" s="3416"/>
      <c r="W5" s="3416"/>
      <c r="X5" s="1529"/>
      <c r="Y5" s="3393"/>
      <c r="Z5" s="3394"/>
      <c r="AA5" s="3387"/>
      <c r="AB5" s="3387"/>
      <c r="AC5" s="3505"/>
    </row>
    <row r="6" spans="1:29" ht="15.75" thickBot="1">
      <c r="A6" s="366"/>
      <c r="B6" s="367"/>
      <c r="C6" s="3399" t="s">
        <v>2365</v>
      </c>
      <c r="D6" s="3400"/>
      <c r="E6" s="3401" t="s">
        <v>2365</v>
      </c>
      <c r="F6" s="3402"/>
      <c r="G6" s="3399" t="s">
        <v>2365</v>
      </c>
      <c r="H6" s="3400"/>
      <c r="I6" s="3399" t="s">
        <v>2365</v>
      </c>
      <c r="J6" s="3400"/>
      <c r="K6" s="567" t="s">
        <v>2366</v>
      </c>
      <c r="L6" s="2931"/>
      <c r="M6" s="2932"/>
      <c r="N6" s="2932"/>
      <c r="O6" s="2932"/>
      <c r="P6" s="3510"/>
      <c r="Q6" s="3413"/>
      <c r="R6" s="3393"/>
      <c r="S6" s="3394"/>
      <c r="T6" s="3414"/>
      <c r="U6" s="3415"/>
      <c r="V6" s="3416"/>
      <c r="W6" s="3416"/>
      <c r="X6" s="1529"/>
      <c r="Y6" s="3414"/>
      <c r="Z6" s="3415"/>
      <c r="AA6" s="3388"/>
      <c r="AB6" s="3388"/>
      <c r="AC6" s="3506"/>
    </row>
    <row r="7" spans="1:29" s="113" customFormat="1" ht="15.75" thickBot="1">
      <c r="A7" s="368" t="s">
        <v>2367</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3"/>
      <c r="M7" s="2934"/>
      <c r="N7" s="2934"/>
      <c r="O7" s="2934"/>
      <c r="P7" s="3512" t="s">
        <v>2368</v>
      </c>
      <c r="Q7" s="3417"/>
      <c r="R7" s="710" t="s">
        <v>17</v>
      </c>
      <c r="S7" s="711">
        <f t="shared" ref="S7:S15" si="0">F7</f>
        <v>0</v>
      </c>
      <c r="T7" s="710" t="s">
        <v>17</v>
      </c>
      <c r="U7" s="711">
        <f t="shared" ref="U7:U15" si="1">H7</f>
        <v>0</v>
      </c>
      <c r="V7" s="710" t="s">
        <v>17</v>
      </c>
      <c r="W7" s="711">
        <f t="shared" ref="W7:W15" si="2">J7</f>
        <v>0</v>
      </c>
      <c r="X7" s="712"/>
      <c r="Y7" s="3389" t="s">
        <v>2368</v>
      </c>
      <c r="Z7" s="3390"/>
      <c r="AA7" s="713" t="e">
        <f>D7/F7</f>
        <v>#DIV/0!</v>
      </c>
      <c r="AB7" s="713" t="e">
        <f>D7/H7</f>
        <v>#DIV/0!</v>
      </c>
      <c r="AC7" s="213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512" t="s">
        <v>2371</v>
      </c>
      <c r="Q8" s="3390"/>
      <c r="R8" s="710" t="s">
        <v>17</v>
      </c>
      <c r="S8" s="711">
        <f t="shared" si="0"/>
        <v>0</v>
      </c>
      <c r="T8" s="710" t="s">
        <v>17</v>
      </c>
      <c r="U8" s="711">
        <f t="shared" si="1"/>
        <v>0</v>
      </c>
      <c r="V8" s="710" t="s">
        <v>17</v>
      </c>
      <c r="W8" s="711">
        <f t="shared" si="2"/>
        <v>0</v>
      </c>
      <c r="X8" s="712"/>
      <c r="Y8" s="3389" t="s">
        <v>2371</v>
      </c>
      <c r="Z8" s="3390"/>
      <c r="AA8" s="713" t="e">
        <f t="shared" ref="AA8:AA47" si="3">D8/F8</f>
        <v>#DIV/0!</v>
      </c>
      <c r="AB8" s="713" t="e">
        <f t="shared" ref="AB8:AB47" si="4">D8/H8</f>
        <v>#DIV/0!</v>
      </c>
      <c r="AC8" s="213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427"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213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427"/>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13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427"/>
      <c r="Q11" s="1517"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134" t="e">
        <f t="shared" si="5"/>
        <v>#N/A</v>
      </c>
    </row>
    <row r="12" spans="1:29" s="113" customFormat="1" ht="15">
      <c r="A12" s="390"/>
      <c r="B12" s="2068">
        <v>111</v>
      </c>
      <c r="C12" s="391"/>
      <c r="D12" s="392">
        <v>100</v>
      </c>
      <c r="E12" s="391"/>
      <c r="F12" s="132">
        <f>SUMIF(71:71,E12,72:72)-SUMIF(71:71,C12,72:72)+100</f>
        <v>100</v>
      </c>
      <c r="G12" s="2135"/>
      <c r="H12" s="132">
        <f>SUMIF(71:71,G12,72:72)-SUMIF(71:71,C12,72:72)+100</f>
        <v>100</v>
      </c>
      <c r="I12" s="391"/>
      <c r="J12" s="132">
        <f>SUMIF(71:71,I12,72:72)-SUMIF(71:71,C12,72:72)+100</f>
        <v>100</v>
      </c>
      <c r="K12" s="570"/>
      <c r="L12" s="2933"/>
      <c r="M12" s="2934"/>
      <c r="N12" s="2934"/>
      <c r="O12" s="2934"/>
      <c r="P12" s="3427"/>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134">
        <f>D12/J12</f>
        <v>1</v>
      </c>
    </row>
    <row r="13" spans="1:29" ht="15">
      <c r="A13" s="387"/>
      <c r="B13" s="2068">
        <v>111</v>
      </c>
      <c r="C13" s="393"/>
      <c r="D13" s="394">
        <v>100</v>
      </c>
      <c r="E13" s="391"/>
      <c r="F13" s="132">
        <f>SUMIF(73:73,E13,74:74)-SUMIF(73:73,C13,74:74)+100</f>
        <v>100</v>
      </c>
      <c r="G13" s="2135"/>
      <c r="H13" s="394">
        <f>SUMIF(73:73,G13,74:74)-SUMIF(73:73,C13,74:74)+100</f>
        <v>100</v>
      </c>
      <c r="I13" s="391"/>
      <c r="J13" s="394">
        <f>SUMIF(73:73,I13,74:74)-SUMIF(73:73,C13,74:74)+100</f>
        <v>100</v>
      </c>
      <c r="K13" s="570"/>
      <c r="L13" s="2938"/>
      <c r="M13" s="2932"/>
      <c r="N13" s="2932"/>
      <c r="O13" s="2932"/>
      <c r="P13" s="3427"/>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134">
        <f t="shared" si="5"/>
        <v>1</v>
      </c>
    </row>
    <row r="14" spans="1:29" ht="15.75" thickBot="1">
      <c r="A14" s="395"/>
      <c r="B14" s="2070">
        <v>111</v>
      </c>
      <c r="C14" s="396"/>
      <c r="D14" s="397">
        <v>100</v>
      </c>
      <c r="E14" s="584"/>
      <c r="F14" s="397">
        <f>SUMIF(75:75,E14,76:76)-SUMIF(75:75,C14,76:76)+100</f>
        <v>100</v>
      </c>
      <c r="G14" s="2135"/>
      <c r="H14" s="397">
        <f>SUMIF(75:75,G14,76:76)-SUMIF(75:75,C14,76:76)+100</f>
        <v>100</v>
      </c>
      <c r="I14" s="391"/>
      <c r="J14" s="397">
        <f>SUMIF(75:75,I14,76:76)-SUMIF(75:75,C14,76:76)+100</f>
        <v>100</v>
      </c>
      <c r="K14" s="570"/>
      <c r="L14" s="2938"/>
      <c r="M14" s="2932"/>
      <c r="N14" s="2932"/>
      <c r="O14" s="2932"/>
      <c r="P14" s="3427"/>
      <c r="Q14" s="1517">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134">
        <f t="shared" si="5"/>
        <v>1</v>
      </c>
    </row>
    <row r="15" spans="1:29" ht="15">
      <c r="A15" s="399" t="s">
        <v>2378</v>
      </c>
      <c r="B15" s="585" t="s">
        <v>2506</v>
      </c>
      <c r="C15" s="2136"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459" t="s">
        <v>2379</v>
      </c>
      <c r="Q15" s="1526" t="str">
        <f t="shared" si="6"/>
        <v>办公集聚程度</v>
      </c>
      <c r="R15" s="714" t="s">
        <v>17</v>
      </c>
      <c r="S15" s="715">
        <f t="shared" si="0"/>
        <v>100</v>
      </c>
      <c r="T15" s="714" t="s">
        <v>17</v>
      </c>
      <c r="U15" s="715">
        <f t="shared" si="1"/>
        <v>100</v>
      </c>
      <c r="V15" s="714" t="s">
        <v>17</v>
      </c>
      <c r="W15" s="715">
        <f t="shared" si="2"/>
        <v>100</v>
      </c>
      <c r="X15" s="1529"/>
      <c r="Y15" s="3418" t="s">
        <v>2379</v>
      </c>
      <c r="Z15" s="1530" t="str">
        <f t="shared" si="7"/>
        <v>办公集聚程度</v>
      </c>
      <c r="AA15" s="1527">
        <f t="shared" si="3"/>
        <v>1</v>
      </c>
      <c r="AB15" s="1527">
        <f t="shared" si="4"/>
        <v>1</v>
      </c>
      <c r="AC15" s="2137">
        <f t="shared" si="5"/>
        <v>1</v>
      </c>
    </row>
    <row r="16" spans="1:29" ht="15">
      <c r="A16" s="387"/>
      <c r="B16" s="586"/>
      <c r="C16" s="2079"/>
      <c r="D16" s="407"/>
      <c r="E16" s="406"/>
      <c r="F16" s="407"/>
      <c r="G16" s="2079"/>
      <c r="H16" s="409"/>
      <c r="I16" s="406"/>
      <c r="J16" s="407"/>
      <c r="K16" s="572"/>
      <c r="L16" s="2938"/>
      <c r="M16" s="2932"/>
      <c r="N16" s="2932"/>
      <c r="O16" s="2932"/>
      <c r="P16" s="3460"/>
      <c r="Q16" s="1526"/>
      <c r="R16" s="714"/>
      <c r="S16" s="715"/>
      <c r="T16" s="714"/>
      <c r="U16" s="715"/>
      <c r="V16" s="714"/>
      <c r="W16" s="715"/>
      <c r="X16" s="1529"/>
      <c r="Y16" s="3419"/>
      <c r="Z16" s="1530"/>
      <c r="AA16" s="1527">
        <v>1</v>
      </c>
      <c r="AB16" s="1527">
        <v>1</v>
      </c>
      <c r="AC16" s="2137">
        <v>1</v>
      </c>
    </row>
    <row r="17" spans="1:29" ht="15">
      <c r="A17" s="387"/>
      <c r="B17" s="587" t="s">
        <v>1944</v>
      </c>
      <c r="C17" s="2138"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460"/>
      <c r="Q17" s="1526" t="str">
        <f>B17</f>
        <v>交通便捷度</v>
      </c>
      <c r="R17" s="714" t="s">
        <v>17</v>
      </c>
      <c r="S17" s="715">
        <f>F17</f>
        <v>100</v>
      </c>
      <c r="T17" s="714" t="s">
        <v>17</v>
      </c>
      <c r="U17" s="715">
        <f>H17</f>
        <v>100</v>
      </c>
      <c r="V17" s="714" t="s">
        <v>17</v>
      </c>
      <c r="W17" s="715">
        <f>J17</f>
        <v>100</v>
      </c>
      <c r="X17" s="1529"/>
      <c r="Y17" s="3419"/>
      <c r="Z17" s="1530" t="str">
        <f>Q17</f>
        <v>交通便捷度</v>
      </c>
      <c r="AA17" s="1527">
        <f t="shared" si="3"/>
        <v>1</v>
      </c>
      <c r="AB17" s="1527">
        <f t="shared" si="4"/>
        <v>1</v>
      </c>
      <c r="AC17" s="2137">
        <f t="shared" si="5"/>
        <v>1</v>
      </c>
    </row>
    <row r="18" spans="1:29" ht="15">
      <c r="A18" s="387"/>
      <c r="B18" s="588"/>
      <c r="C18" s="2139"/>
      <c r="D18" s="409"/>
      <c r="E18" s="2077"/>
      <c r="F18" s="409"/>
      <c r="G18" s="2078"/>
      <c r="H18" s="407"/>
      <c r="I18" s="2078"/>
      <c r="J18" s="407"/>
      <c r="K18" s="572"/>
      <c r="L18" s="2938"/>
      <c r="M18" s="2932"/>
      <c r="N18" s="2932"/>
      <c r="O18" s="2932"/>
      <c r="P18" s="3460"/>
      <c r="Q18" s="1526"/>
      <c r="R18" s="714"/>
      <c r="S18" s="715"/>
      <c r="T18" s="714"/>
      <c r="U18" s="715"/>
      <c r="V18" s="714"/>
      <c r="W18" s="715"/>
      <c r="X18" s="1529"/>
      <c r="Y18" s="3419"/>
      <c r="Z18" s="1530"/>
      <c r="AA18" s="1527">
        <v>1</v>
      </c>
      <c r="AB18" s="1527">
        <v>1</v>
      </c>
      <c r="AC18" s="2137">
        <v>1</v>
      </c>
    </row>
    <row r="19" spans="1:29" ht="15">
      <c r="A19" s="387"/>
      <c r="B19" s="587" t="s">
        <v>2507</v>
      </c>
      <c r="C19" s="2138"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460"/>
      <c r="Q19" s="1526" t="str">
        <f>B19</f>
        <v>公共配套设施</v>
      </c>
      <c r="R19" s="714" t="s">
        <v>17</v>
      </c>
      <c r="S19" s="715">
        <f>F19</f>
        <v>100</v>
      </c>
      <c r="T19" s="714" t="s">
        <v>17</v>
      </c>
      <c r="U19" s="715">
        <f>H19</f>
        <v>100</v>
      </c>
      <c r="V19" s="714" t="s">
        <v>17</v>
      </c>
      <c r="W19" s="715">
        <f>J19</f>
        <v>100</v>
      </c>
      <c r="X19" s="1529"/>
      <c r="Y19" s="3419"/>
      <c r="Z19" s="1530" t="str">
        <f>Q19</f>
        <v>公共配套设施</v>
      </c>
      <c r="AA19" s="1527">
        <f t="shared" si="3"/>
        <v>1</v>
      </c>
      <c r="AB19" s="1527">
        <f t="shared" si="4"/>
        <v>1</v>
      </c>
      <c r="AC19" s="2137">
        <f t="shared" si="5"/>
        <v>1</v>
      </c>
    </row>
    <row r="20" spans="1:29" ht="15">
      <c r="A20" s="387"/>
      <c r="B20" s="588"/>
      <c r="C20" s="2079"/>
      <c r="D20" s="407"/>
      <c r="E20" s="2072"/>
      <c r="F20" s="407"/>
      <c r="G20" s="2073"/>
      <c r="H20" s="407"/>
      <c r="I20" s="2073"/>
      <c r="J20" s="407"/>
      <c r="K20" s="572"/>
      <c r="L20" s="2938"/>
      <c r="M20" s="2932"/>
      <c r="N20" s="2932"/>
      <c r="O20" s="2932"/>
      <c r="P20" s="3460"/>
      <c r="Q20" s="1526"/>
      <c r="R20" s="714"/>
      <c r="S20" s="715"/>
      <c r="T20" s="714"/>
      <c r="U20" s="715"/>
      <c r="V20" s="714"/>
      <c r="W20" s="715"/>
      <c r="X20" s="1529"/>
      <c r="Y20" s="3419"/>
      <c r="Z20" s="1530"/>
      <c r="AA20" s="1527">
        <v>1</v>
      </c>
      <c r="AB20" s="1527">
        <v>1</v>
      </c>
      <c r="AC20" s="2137">
        <v>1</v>
      </c>
    </row>
    <row r="21" spans="1:29" ht="15">
      <c r="A21" s="387"/>
      <c r="B21" s="589" t="s">
        <v>2508</v>
      </c>
      <c r="C21" s="213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460"/>
      <c r="Q21" s="1526" t="str">
        <f>B21</f>
        <v>基础设施水平</v>
      </c>
      <c r="R21" s="714" t="s">
        <v>17</v>
      </c>
      <c r="S21" s="715">
        <f>F21</f>
        <v>100</v>
      </c>
      <c r="T21" s="714" t="s">
        <v>17</v>
      </c>
      <c r="U21" s="715">
        <f>H21</f>
        <v>100</v>
      </c>
      <c r="V21" s="714" t="s">
        <v>17</v>
      </c>
      <c r="W21" s="715">
        <f>J21</f>
        <v>100</v>
      </c>
      <c r="X21" s="1529"/>
      <c r="Y21" s="3419"/>
      <c r="Z21" s="1530" t="str">
        <f>Q21</f>
        <v>基础设施水平</v>
      </c>
      <c r="AA21" s="1527">
        <f t="shared" ref="AA21" si="8">D21/F21</f>
        <v>1</v>
      </c>
      <c r="AB21" s="1527">
        <f t="shared" ref="AB21" si="9">D21/H21</f>
        <v>1</v>
      </c>
      <c r="AC21" s="2137">
        <f t="shared" ref="AC21" si="10">D21/J21</f>
        <v>1</v>
      </c>
    </row>
    <row r="22" spans="1:29" ht="15">
      <c r="A22" s="387"/>
      <c r="B22" s="589"/>
      <c r="C22" s="2139"/>
      <c r="D22" s="407"/>
      <c r="E22" s="406"/>
      <c r="F22" s="407"/>
      <c r="G22" s="2079"/>
      <c r="H22" s="407"/>
      <c r="I22" s="2079"/>
      <c r="J22" s="407"/>
      <c r="K22" s="1284"/>
      <c r="L22" s="2938"/>
      <c r="M22" s="2932"/>
      <c r="N22" s="2932"/>
      <c r="O22" s="2932"/>
      <c r="P22" s="3460"/>
      <c r="Q22" s="1526"/>
      <c r="R22" s="714"/>
      <c r="S22" s="715"/>
      <c r="T22" s="714"/>
      <c r="U22" s="715"/>
      <c r="V22" s="714"/>
      <c r="W22" s="715"/>
      <c r="X22" s="1529"/>
      <c r="Y22" s="3419"/>
      <c r="Z22" s="1530"/>
      <c r="AA22" s="1527">
        <v>1</v>
      </c>
      <c r="AB22" s="1527">
        <v>1</v>
      </c>
      <c r="AC22" s="2137">
        <v>1</v>
      </c>
    </row>
    <row r="23" spans="1:29" ht="15">
      <c r="A23" s="387"/>
      <c r="B23" s="587" t="s">
        <v>2509</v>
      </c>
      <c r="C23" s="2138"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460"/>
      <c r="Q23" s="1526" t="str">
        <f>B23</f>
        <v>环境质量</v>
      </c>
      <c r="R23" s="714" t="s">
        <v>17</v>
      </c>
      <c r="S23" s="715">
        <f>F23</f>
        <v>100</v>
      </c>
      <c r="T23" s="714" t="s">
        <v>17</v>
      </c>
      <c r="U23" s="715">
        <f>H23</f>
        <v>100</v>
      </c>
      <c r="V23" s="714" t="s">
        <v>17</v>
      </c>
      <c r="W23" s="715">
        <f>J23</f>
        <v>100</v>
      </c>
      <c r="X23" s="1529"/>
      <c r="Y23" s="3419"/>
      <c r="Z23" s="1530" t="str">
        <f>Q23</f>
        <v>环境质量</v>
      </c>
      <c r="AA23" s="1527">
        <f t="shared" si="3"/>
        <v>1</v>
      </c>
      <c r="AB23" s="1527">
        <f t="shared" si="4"/>
        <v>1</v>
      </c>
      <c r="AC23" s="2137">
        <f t="shared" si="5"/>
        <v>1</v>
      </c>
    </row>
    <row r="24" spans="1:29" ht="15">
      <c r="A24" s="387"/>
      <c r="B24" s="589"/>
      <c r="C24" s="2079"/>
      <c r="D24" s="407"/>
      <c r="E24" s="2072"/>
      <c r="F24" s="407"/>
      <c r="G24" s="2073"/>
      <c r="H24" s="407"/>
      <c r="I24" s="2073"/>
      <c r="J24" s="407"/>
      <c r="K24" s="572"/>
      <c r="L24" s="2938"/>
      <c r="M24" s="2932"/>
      <c r="N24" s="2932"/>
      <c r="O24" s="2932"/>
      <c r="P24" s="3460"/>
      <c r="Q24" s="1526"/>
      <c r="R24" s="714"/>
      <c r="S24" s="715"/>
      <c r="T24" s="714"/>
      <c r="U24" s="715"/>
      <c r="V24" s="714"/>
      <c r="W24" s="715"/>
      <c r="X24" s="1529"/>
      <c r="Y24" s="3419"/>
      <c r="Z24" s="1530"/>
      <c r="AA24" s="1527">
        <v>1</v>
      </c>
      <c r="AB24" s="1527">
        <v>1</v>
      </c>
      <c r="AC24" s="2137">
        <v>1</v>
      </c>
    </row>
    <row r="25" spans="1:29" ht="27">
      <c r="A25" s="364"/>
      <c r="B25" s="587" t="s">
        <v>2510</v>
      </c>
      <c r="C25" s="2083"/>
      <c r="D25" s="394">
        <v>100</v>
      </c>
      <c r="E25" s="393"/>
      <c r="F25" s="394">
        <f>SUMIF(87:87,E26,88:88)-SUMIF(87:87,C26,88:88)+100</f>
        <v>100</v>
      </c>
      <c r="G25" s="2083"/>
      <c r="H25" s="394">
        <f>SUMIF(87:87,G26,88:88)-SUMIF(87:87,C26,88:88)+100</f>
        <v>100</v>
      </c>
      <c r="I25" s="393"/>
      <c r="J25" s="394">
        <f>SUMIF(87:87,I26,88:88)-SUMIF(87:87,C26,88:88)+100</f>
        <v>100</v>
      </c>
      <c r="K25" s="571"/>
      <c r="L25" s="2938"/>
      <c r="M25" s="2932"/>
      <c r="N25" s="2932"/>
      <c r="O25" s="2932"/>
      <c r="P25" s="3460"/>
      <c r="Q25" s="1526" t="str">
        <f>B25</f>
        <v>毗邻道路的类型与等级</v>
      </c>
      <c r="R25" s="714" t="s">
        <v>17</v>
      </c>
      <c r="S25" s="715">
        <f>F25</f>
        <v>100</v>
      </c>
      <c r="T25" s="714" t="s">
        <v>17</v>
      </c>
      <c r="U25" s="715">
        <f>H25</f>
        <v>100</v>
      </c>
      <c r="V25" s="714" t="s">
        <v>17</v>
      </c>
      <c r="W25" s="715">
        <f>J25</f>
        <v>100</v>
      </c>
      <c r="X25" s="1529"/>
      <c r="Y25" s="3419"/>
      <c r="Z25" s="1530" t="str">
        <f>Q25</f>
        <v>毗邻道路的类型与等级</v>
      </c>
      <c r="AA25" s="1527">
        <f t="shared" si="3"/>
        <v>1</v>
      </c>
      <c r="AB25" s="1527">
        <f t="shared" si="4"/>
        <v>1</v>
      </c>
      <c r="AC25" s="2137">
        <f t="shared" si="5"/>
        <v>1</v>
      </c>
    </row>
    <row r="26" spans="1:29" ht="15">
      <c r="A26" s="364"/>
      <c r="B26" s="588"/>
      <c r="C26" s="590"/>
      <c r="D26" s="394"/>
      <c r="E26" s="573"/>
      <c r="F26" s="394"/>
      <c r="G26" s="590"/>
      <c r="H26" s="394"/>
      <c r="I26" s="573"/>
      <c r="J26" s="394"/>
      <c r="K26" s="572"/>
      <c r="L26" s="2938"/>
      <c r="M26" s="2932"/>
      <c r="N26" s="2932"/>
      <c r="O26" s="2932"/>
      <c r="P26" s="3460"/>
      <c r="Q26" s="1526"/>
      <c r="R26" s="714"/>
      <c r="S26" s="715"/>
      <c r="T26" s="714"/>
      <c r="U26" s="715"/>
      <c r="V26" s="714"/>
      <c r="W26" s="715"/>
      <c r="X26" s="1529"/>
      <c r="Y26" s="3419"/>
      <c r="Z26" s="1530"/>
      <c r="AA26" s="1527">
        <v>1</v>
      </c>
      <c r="AB26" s="1527">
        <v>1</v>
      </c>
      <c r="AC26" s="213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460"/>
      <c r="Q27" s="1526" t="str">
        <f t="shared" ref="Q27:Q47" si="11">B27</f>
        <v>楼层</v>
      </c>
      <c r="R27" s="714" t="s">
        <v>17</v>
      </c>
      <c r="S27" s="715">
        <f>F27</f>
        <v>100</v>
      </c>
      <c r="T27" s="714" t="s">
        <v>17</v>
      </c>
      <c r="U27" s="715">
        <f>H27</f>
        <v>100</v>
      </c>
      <c r="V27" s="714" t="s">
        <v>17</v>
      </c>
      <c r="W27" s="715">
        <f>J27</f>
        <v>100</v>
      </c>
      <c r="X27" s="1529"/>
      <c r="Y27" s="3419"/>
      <c r="Z27" s="1530" t="str">
        <f>Q27</f>
        <v>楼层</v>
      </c>
      <c r="AA27" s="1527">
        <f t="shared" si="3"/>
        <v>1</v>
      </c>
      <c r="AB27" s="1527">
        <f t="shared" si="4"/>
        <v>1</v>
      </c>
      <c r="AC27" s="2137">
        <f t="shared" si="5"/>
        <v>1</v>
      </c>
    </row>
    <row r="28" spans="1:29" s="113" customFormat="1" ht="15">
      <c r="A28" s="390"/>
      <c r="B28" s="587" t="s">
        <v>2511</v>
      </c>
      <c r="C28" s="2140"/>
      <c r="D28" s="421">
        <v>100</v>
      </c>
      <c r="E28" s="2131"/>
      <c r="F28" s="421">
        <f>SUMIF(91:91,E28,92:92)-SUMIF(91:91,C28,92:92)+100</f>
        <v>100</v>
      </c>
      <c r="G28" s="2140"/>
      <c r="H28" s="421">
        <f>SUMIF(91:91,G28,92:92)-SUMIF(91:91,C28,92:92)+100</f>
        <v>100</v>
      </c>
      <c r="I28" s="2131"/>
      <c r="J28" s="421">
        <f>SUMIF(91:91,I28,92:92)-SUMIF(91:91,C28,92:92)+100</f>
        <v>100</v>
      </c>
      <c r="K28" s="569"/>
      <c r="L28" s="2933"/>
      <c r="M28" s="2934"/>
      <c r="N28" s="2934"/>
      <c r="O28" s="2934"/>
      <c r="P28" s="3460"/>
      <c r="Q28" s="1517" t="str">
        <f t="shared" si="11"/>
        <v>朝向</v>
      </c>
      <c r="R28" s="710" t="s">
        <v>17</v>
      </c>
      <c r="S28" s="711">
        <f>F28</f>
        <v>100</v>
      </c>
      <c r="T28" s="710" t="s">
        <v>17</v>
      </c>
      <c r="U28" s="711">
        <f>H28</f>
        <v>100</v>
      </c>
      <c r="V28" s="710" t="s">
        <v>17</v>
      </c>
      <c r="W28" s="711">
        <f>J28</f>
        <v>100</v>
      </c>
      <c r="X28" s="712"/>
      <c r="Y28" s="3419"/>
      <c r="Z28" s="55" t="str">
        <f>Q28</f>
        <v>朝向</v>
      </c>
      <c r="AA28" s="1527">
        <f>D28/F28</f>
        <v>1</v>
      </c>
      <c r="AB28" s="1527">
        <f>D28/H28</f>
        <v>1</v>
      </c>
      <c r="AC28" s="2137">
        <f>D28/J28</f>
        <v>1</v>
      </c>
    </row>
    <row r="29" spans="1:29" ht="15">
      <c r="A29" s="387"/>
      <c r="B29" s="2141">
        <v>111</v>
      </c>
      <c r="C29" s="2083"/>
      <c r="D29" s="394">
        <v>100</v>
      </c>
      <c r="E29" s="391"/>
      <c r="F29" s="394">
        <f>SUMIF(93:93,E29,94:94)-SUMIF(93:93,C29,94:94)+100</f>
        <v>100</v>
      </c>
      <c r="G29" s="2135"/>
      <c r="H29" s="394">
        <f>SUMIF(93:93,G29,94:94)-SUMIF(93:93,C29,94:94)+100</f>
        <v>100</v>
      </c>
      <c r="I29" s="391"/>
      <c r="J29" s="394">
        <f>SUMIF(93:93,I29,94:94)-SUMIF(93:93,C29,94:94)+100</f>
        <v>100</v>
      </c>
      <c r="K29" s="570"/>
      <c r="L29" s="2938"/>
      <c r="M29" s="2932"/>
      <c r="N29" s="2932"/>
      <c r="O29" s="2932"/>
      <c r="P29" s="3460"/>
      <c r="Q29" s="1526">
        <f t="shared" si="11"/>
        <v>111</v>
      </c>
      <c r="R29" s="714" t="s">
        <v>17</v>
      </c>
      <c r="S29" s="715">
        <f t="shared" ref="S29:S47" si="12">F29</f>
        <v>100</v>
      </c>
      <c r="T29" s="714" t="s">
        <v>17</v>
      </c>
      <c r="U29" s="715">
        <f t="shared" ref="U29:U47" si="13">H29</f>
        <v>100</v>
      </c>
      <c r="V29" s="714" t="s">
        <v>17</v>
      </c>
      <c r="W29" s="715">
        <f t="shared" ref="W29:W47" si="14">J29</f>
        <v>100</v>
      </c>
      <c r="X29" s="1529"/>
      <c r="Y29" s="3419"/>
      <c r="Z29" s="1530">
        <f t="shared" ref="Z29:Z47" si="15">Q29</f>
        <v>111</v>
      </c>
      <c r="AA29" s="1527">
        <f t="shared" si="3"/>
        <v>1</v>
      </c>
      <c r="AB29" s="1527">
        <f t="shared" si="4"/>
        <v>1</v>
      </c>
      <c r="AC29" s="2137">
        <f t="shared" si="5"/>
        <v>1</v>
      </c>
    </row>
    <row r="30" spans="1:29" ht="15">
      <c r="A30" s="387"/>
      <c r="B30" s="2141">
        <v>111</v>
      </c>
      <c r="C30" s="2083"/>
      <c r="D30" s="394">
        <v>100</v>
      </c>
      <c r="E30" s="391"/>
      <c r="F30" s="394">
        <f>SUMIF(95:95,E30,96:96)-SUMIF(95:95,C30,96:96)+100</f>
        <v>100</v>
      </c>
      <c r="G30" s="2135"/>
      <c r="H30" s="394">
        <f>SUMIF(95:95,G30,96:96)-SUMIF(95:95,C30,96:96)+100</f>
        <v>100</v>
      </c>
      <c r="I30" s="391"/>
      <c r="J30" s="394">
        <f>SUMIF(95:95,I30,96:96)-SUMIF(95:95,C30,96:96)+100</f>
        <v>100</v>
      </c>
      <c r="K30" s="570"/>
      <c r="L30" s="2938"/>
      <c r="M30" s="2932"/>
      <c r="N30" s="2932"/>
      <c r="O30" s="2932"/>
      <c r="P30" s="3460"/>
      <c r="Q30" s="1526">
        <f t="shared" si="11"/>
        <v>111</v>
      </c>
      <c r="R30" s="714" t="s">
        <v>17</v>
      </c>
      <c r="S30" s="715">
        <f t="shared" si="12"/>
        <v>100</v>
      </c>
      <c r="T30" s="714" t="s">
        <v>17</v>
      </c>
      <c r="U30" s="715">
        <f t="shared" si="13"/>
        <v>100</v>
      </c>
      <c r="V30" s="714" t="s">
        <v>17</v>
      </c>
      <c r="W30" s="715">
        <f t="shared" si="14"/>
        <v>100</v>
      </c>
      <c r="X30" s="1529"/>
      <c r="Y30" s="3419"/>
      <c r="Z30" s="1530">
        <f t="shared" si="15"/>
        <v>111</v>
      </c>
      <c r="AA30" s="1527">
        <f t="shared" si="3"/>
        <v>1</v>
      </c>
      <c r="AB30" s="1527">
        <f t="shared" si="4"/>
        <v>1</v>
      </c>
      <c r="AC30" s="2137">
        <f t="shared" si="5"/>
        <v>1</v>
      </c>
    </row>
    <row r="31" spans="1:29" ht="15">
      <c r="A31" s="387"/>
      <c r="B31" s="2141">
        <v>111</v>
      </c>
      <c r="C31" s="2083"/>
      <c r="D31" s="394">
        <v>100</v>
      </c>
      <c r="E31" s="391"/>
      <c r="F31" s="394">
        <f>SUMIF(97:97,E31,98:98)-SUMIF(97:97,C31,98:98)+100</f>
        <v>100</v>
      </c>
      <c r="G31" s="2135"/>
      <c r="H31" s="394">
        <f>SUMIF(97:97,G31,98:98)-SUMIF(97:97,C31,98:98)+100</f>
        <v>100</v>
      </c>
      <c r="I31" s="391"/>
      <c r="J31" s="394">
        <f>SUMIF(97:97,I31,98:98)-SUMIF(97:97,C31,98:98)+100</f>
        <v>100</v>
      </c>
      <c r="K31" s="570"/>
      <c r="L31" s="2938"/>
      <c r="M31" s="2932"/>
      <c r="N31" s="2932"/>
      <c r="O31" s="2932"/>
      <c r="P31" s="3460"/>
      <c r="Q31" s="1526">
        <f t="shared" si="11"/>
        <v>111</v>
      </c>
      <c r="R31" s="714" t="s">
        <v>17</v>
      </c>
      <c r="S31" s="715">
        <f t="shared" si="12"/>
        <v>100</v>
      </c>
      <c r="T31" s="714" t="s">
        <v>17</v>
      </c>
      <c r="U31" s="715">
        <f t="shared" si="13"/>
        <v>100</v>
      </c>
      <c r="V31" s="714" t="s">
        <v>17</v>
      </c>
      <c r="W31" s="715">
        <f t="shared" si="14"/>
        <v>100</v>
      </c>
      <c r="X31" s="1529"/>
      <c r="Y31" s="3419"/>
      <c r="Z31" s="1530">
        <f t="shared" si="15"/>
        <v>111</v>
      </c>
      <c r="AA31" s="1527">
        <f t="shared" si="3"/>
        <v>1</v>
      </c>
      <c r="AB31" s="1527">
        <f t="shared" si="4"/>
        <v>1</v>
      </c>
      <c r="AC31" s="2137">
        <f t="shared" si="5"/>
        <v>1</v>
      </c>
    </row>
    <row r="32" spans="1:29" ht="15.75" thickBot="1">
      <c r="A32" s="395"/>
      <c r="B32" s="591">
        <v>111</v>
      </c>
      <c r="C32" s="2084"/>
      <c r="D32" s="397">
        <v>100</v>
      </c>
      <c r="E32" s="584"/>
      <c r="F32" s="397">
        <f>SUMIF(99:99,E32,100:100)-SUMIF(99:99,C32,100:100)+100</f>
        <v>100</v>
      </c>
      <c r="G32" s="2135"/>
      <c r="H32" s="397">
        <f>SUMIF(99:99,G32,100:100)-SUMIF(99:99,C32,100:100)+100</f>
        <v>100</v>
      </c>
      <c r="I32" s="391"/>
      <c r="J32" s="397">
        <f>SUMIF(99:99,I32,100:100)-SUMIF(99:99,C32,100:100)+100</f>
        <v>100</v>
      </c>
      <c r="K32" s="570"/>
      <c r="L32" s="2938"/>
      <c r="M32" s="2932"/>
      <c r="N32" s="2932"/>
      <c r="O32" s="2932"/>
      <c r="P32" s="3460"/>
      <c r="Q32" s="1526">
        <f t="shared" si="11"/>
        <v>111</v>
      </c>
      <c r="R32" s="714" t="s">
        <v>17</v>
      </c>
      <c r="S32" s="715">
        <f t="shared" si="12"/>
        <v>100</v>
      </c>
      <c r="T32" s="714" t="s">
        <v>17</v>
      </c>
      <c r="U32" s="715">
        <f t="shared" si="13"/>
        <v>100</v>
      </c>
      <c r="V32" s="714" t="s">
        <v>17</v>
      </c>
      <c r="W32" s="715">
        <f t="shared" si="14"/>
        <v>100</v>
      </c>
      <c r="X32" s="1529"/>
      <c r="Y32" s="3419"/>
      <c r="Z32" s="1530">
        <f t="shared" si="15"/>
        <v>111</v>
      </c>
      <c r="AA32" s="1527">
        <f t="shared" si="3"/>
        <v>1</v>
      </c>
      <c r="AB32" s="1527">
        <f t="shared" si="4"/>
        <v>1</v>
      </c>
      <c r="AC32" s="2137">
        <f t="shared" si="5"/>
        <v>1</v>
      </c>
    </row>
    <row r="33" spans="1:29" ht="15">
      <c r="A33" s="399" t="s">
        <v>2382</v>
      </c>
      <c r="B33" s="67" t="s">
        <v>2512</v>
      </c>
      <c r="C33" s="2142"/>
      <c r="D33" s="426">
        <v>100</v>
      </c>
      <c r="E33" s="2142"/>
      <c r="F33" s="420">
        <f>SUMIF(101:101,E33,102:102)-SUMIF(101:101,C33,102:102)+100</f>
        <v>100</v>
      </c>
      <c r="G33" s="2142"/>
      <c r="H33" s="394">
        <f>SUMIF(101:101,G33,102:102)-SUMIF(101:101,C33,102:102)+100</f>
        <v>100</v>
      </c>
      <c r="I33" s="2142"/>
      <c r="J33" s="426">
        <f>SUMIF(101:101,I33,102:102)-SUMIF(101:101,C33,102:102)+100</f>
        <v>100</v>
      </c>
      <c r="K33" s="569"/>
      <c r="L33" s="2938"/>
      <c r="M33" s="2932"/>
      <c r="N33" s="2932"/>
      <c r="O33" s="2932"/>
      <c r="P33" s="3461" t="s">
        <v>2384</v>
      </c>
      <c r="Q33" s="1526" t="str">
        <f t="shared" si="11"/>
        <v>建筑类型</v>
      </c>
      <c r="R33" s="714" t="s">
        <v>17</v>
      </c>
      <c r="S33" s="715">
        <f t="shared" si="12"/>
        <v>100</v>
      </c>
      <c r="T33" s="714" t="s">
        <v>17</v>
      </c>
      <c r="U33" s="715">
        <f t="shared" si="13"/>
        <v>100</v>
      </c>
      <c r="V33" s="714" t="s">
        <v>17</v>
      </c>
      <c r="W33" s="715">
        <f t="shared" si="14"/>
        <v>100</v>
      </c>
      <c r="X33" s="1529"/>
      <c r="Y33" s="3421" t="s">
        <v>2384</v>
      </c>
      <c r="Z33" s="1530" t="str">
        <f t="shared" si="15"/>
        <v>建筑类型</v>
      </c>
      <c r="AA33" s="1527">
        <f t="shared" si="3"/>
        <v>1</v>
      </c>
      <c r="AB33" s="1527">
        <f t="shared" si="4"/>
        <v>1</v>
      </c>
      <c r="AC33" s="213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462"/>
      <c r="Q34" s="716" t="str">
        <f t="shared" si="11"/>
        <v>项目建筑规模</v>
      </c>
      <c r="R34" s="717" t="s">
        <v>17</v>
      </c>
      <c r="S34" s="718" t="e">
        <f t="shared" si="12"/>
        <v>#N/A</v>
      </c>
      <c r="T34" s="717" t="s">
        <v>17</v>
      </c>
      <c r="U34" s="718" t="e">
        <f t="shared" si="13"/>
        <v>#N/A</v>
      </c>
      <c r="V34" s="717" t="s">
        <v>17</v>
      </c>
      <c r="W34" s="718" t="e">
        <f t="shared" si="14"/>
        <v>#N/A</v>
      </c>
      <c r="X34" s="719"/>
      <c r="Y34" s="3421"/>
      <c r="Z34" s="720" t="str">
        <f t="shared" si="15"/>
        <v>项目建筑规模</v>
      </c>
      <c r="AA34" s="1527" t="e">
        <f t="shared" si="3"/>
        <v>#N/A</v>
      </c>
      <c r="AB34" s="1527" t="e">
        <f t="shared" si="4"/>
        <v>#N/A</v>
      </c>
      <c r="AC34" s="213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462"/>
      <c r="Q35" s="1526" t="str">
        <f t="shared" si="11"/>
        <v>建筑结构</v>
      </c>
      <c r="R35" s="714" t="s">
        <v>17</v>
      </c>
      <c r="S35" s="715">
        <f t="shared" si="12"/>
        <v>100</v>
      </c>
      <c r="T35" s="714" t="s">
        <v>17</v>
      </c>
      <c r="U35" s="715">
        <f t="shared" si="13"/>
        <v>100</v>
      </c>
      <c r="V35" s="714" t="s">
        <v>17</v>
      </c>
      <c r="W35" s="715">
        <f t="shared" si="14"/>
        <v>100</v>
      </c>
      <c r="X35" s="1529"/>
      <c r="Y35" s="3421"/>
      <c r="Z35" s="1530" t="str">
        <f t="shared" si="15"/>
        <v>建筑结构</v>
      </c>
      <c r="AA35" s="1527">
        <f t="shared" si="3"/>
        <v>1</v>
      </c>
      <c r="AB35" s="1527">
        <f t="shared" si="4"/>
        <v>1</v>
      </c>
      <c r="AC35" s="213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462"/>
      <c r="Q36" s="1526" t="str">
        <f t="shared" si="11"/>
        <v>公共部分装修</v>
      </c>
      <c r="R36" s="714" t="s">
        <v>17</v>
      </c>
      <c r="S36" s="715">
        <f t="shared" si="12"/>
        <v>100</v>
      </c>
      <c r="T36" s="714" t="s">
        <v>17</v>
      </c>
      <c r="U36" s="715">
        <f t="shared" si="13"/>
        <v>100</v>
      </c>
      <c r="V36" s="714" t="s">
        <v>17</v>
      </c>
      <c r="W36" s="715">
        <f t="shared" si="14"/>
        <v>100</v>
      </c>
      <c r="X36" s="1529"/>
      <c r="Y36" s="3421"/>
      <c r="Z36" s="1530" t="str">
        <f t="shared" si="15"/>
        <v>公共部分装修</v>
      </c>
      <c r="AA36" s="1527">
        <f t="shared" si="3"/>
        <v>1</v>
      </c>
      <c r="AB36" s="1527">
        <f t="shared" si="4"/>
        <v>1</v>
      </c>
      <c r="AC36" s="213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462"/>
      <c r="Q37" s="1526" t="str">
        <f t="shared" si="11"/>
        <v>成新度</v>
      </c>
      <c r="R37" s="714" t="s">
        <v>17</v>
      </c>
      <c r="S37" s="715" t="e">
        <f t="shared" si="12"/>
        <v>#N/A</v>
      </c>
      <c r="T37" s="714" t="s">
        <v>17</v>
      </c>
      <c r="U37" s="715" t="e">
        <f t="shared" si="13"/>
        <v>#N/A</v>
      </c>
      <c r="V37" s="714" t="s">
        <v>17</v>
      </c>
      <c r="W37" s="715" t="e">
        <f t="shared" si="14"/>
        <v>#N/A</v>
      </c>
      <c r="X37" s="1529"/>
      <c r="Y37" s="3421"/>
      <c r="Z37" s="1530" t="str">
        <f t="shared" si="15"/>
        <v>成新度</v>
      </c>
      <c r="AA37" s="1527" t="e">
        <f t="shared" si="3"/>
        <v>#N/A</v>
      </c>
      <c r="AB37" s="1527" t="e">
        <f t="shared" si="4"/>
        <v>#N/A</v>
      </c>
      <c r="AC37" s="213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462"/>
      <c r="Q38" s="1517" t="str">
        <f t="shared" si="11"/>
        <v>写字楼等级</v>
      </c>
      <c r="R38" s="710" t="s">
        <v>17</v>
      </c>
      <c r="S38" s="711">
        <f t="shared" si="12"/>
        <v>100</v>
      </c>
      <c r="T38" s="710" t="s">
        <v>17</v>
      </c>
      <c r="U38" s="711">
        <f t="shared" si="13"/>
        <v>100</v>
      </c>
      <c r="V38" s="710" t="s">
        <v>17</v>
      </c>
      <c r="W38" s="711">
        <f t="shared" si="14"/>
        <v>100</v>
      </c>
      <c r="X38" s="712"/>
      <c r="Y38" s="3421"/>
      <c r="Z38" s="55" t="str">
        <f t="shared" si="15"/>
        <v>写字楼等级</v>
      </c>
      <c r="AA38" s="713">
        <f t="shared" si="3"/>
        <v>1</v>
      </c>
      <c r="AB38" s="713">
        <f t="shared" si="4"/>
        <v>1</v>
      </c>
      <c r="AC38" s="213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462" t="s">
        <v>2384</v>
      </c>
      <c r="Q39" s="1526" t="str">
        <f t="shared" si="11"/>
        <v>物业管理</v>
      </c>
      <c r="R39" s="714" t="s">
        <v>17</v>
      </c>
      <c r="S39" s="715">
        <f t="shared" si="12"/>
        <v>100</v>
      </c>
      <c r="T39" s="714" t="s">
        <v>17</v>
      </c>
      <c r="U39" s="715">
        <f t="shared" si="13"/>
        <v>100</v>
      </c>
      <c r="V39" s="714" t="s">
        <v>17</v>
      </c>
      <c r="W39" s="715">
        <f t="shared" si="14"/>
        <v>100</v>
      </c>
      <c r="X39" s="1529"/>
      <c r="Y39" s="3421" t="s">
        <v>2384</v>
      </c>
      <c r="Z39" s="1530" t="str">
        <f t="shared" si="15"/>
        <v>物业管理</v>
      </c>
      <c r="AA39" s="1527">
        <f t="shared" si="3"/>
        <v>1</v>
      </c>
      <c r="AB39" s="1527">
        <f t="shared" si="4"/>
        <v>1</v>
      </c>
      <c r="AC39" s="213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462"/>
      <c r="Q40" s="1526" t="str">
        <f t="shared" si="11"/>
        <v>市政基础设施</v>
      </c>
      <c r="R40" s="714" t="s">
        <v>17</v>
      </c>
      <c r="S40" s="715">
        <f t="shared" si="12"/>
        <v>100</v>
      </c>
      <c r="T40" s="714" t="s">
        <v>17</v>
      </c>
      <c r="U40" s="715">
        <f t="shared" si="13"/>
        <v>100</v>
      </c>
      <c r="V40" s="714" t="s">
        <v>17</v>
      </c>
      <c r="W40" s="715">
        <f t="shared" si="14"/>
        <v>100</v>
      </c>
      <c r="X40" s="1529"/>
      <c r="Y40" s="3421"/>
      <c r="Z40" s="1530" t="str">
        <f t="shared" si="15"/>
        <v>市政基础设施</v>
      </c>
      <c r="AA40" s="1527">
        <f t="shared" si="3"/>
        <v>1</v>
      </c>
      <c r="AB40" s="1527">
        <f t="shared" si="4"/>
        <v>1</v>
      </c>
      <c r="AC40" s="213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462"/>
      <c r="Q41" s="1526" t="str">
        <f t="shared" si="11"/>
        <v>层高</v>
      </c>
      <c r="R41" s="714" t="s">
        <v>17</v>
      </c>
      <c r="S41" s="715">
        <f t="shared" si="12"/>
        <v>100</v>
      </c>
      <c r="T41" s="714" t="s">
        <v>17</v>
      </c>
      <c r="U41" s="715">
        <f t="shared" si="13"/>
        <v>100</v>
      </c>
      <c r="V41" s="714" t="s">
        <v>17</v>
      </c>
      <c r="W41" s="715">
        <f t="shared" si="14"/>
        <v>100</v>
      </c>
      <c r="X41" s="1529"/>
      <c r="Y41" s="3421"/>
      <c r="Z41" s="1530" t="str">
        <f t="shared" si="15"/>
        <v>层高</v>
      </c>
      <c r="AA41" s="1527">
        <f t="shared" si="3"/>
        <v>1</v>
      </c>
      <c r="AB41" s="1527">
        <f t="shared" si="4"/>
        <v>1</v>
      </c>
      <c r="AC41" s="2137">
        <f t="shared" si="5"/>
        <v>1</v>
      </c>
    </row>
    <row r="42" spans="1:29" s="430" customFormat="1" ht="15">
      <c r="A42" s="427"/>
      <c r="B42" s="152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462"/>
      <c r="Q42" s="716" t="str">
        <f t="shared" si="11"/>
        <v>单套建筑面积</v>
      </c>
      <c r="R42" s="717" t="s">
        <v>17</v>
      </c>
      <c r="S42" s="718">
        <f t="shared" si="12"/>
        <v>100</v>
      </c>
      <c r="T42" s="717" t="s">
        <v>17</v>
      </c>
      <c r="U42" s="718">
        <f t="shared" si="13"/>
        <v>100</v>
      </c>
      <c r="V42" s="717" t="s">
        <v>17</v>
      </c>
      <c r="W42" s="718">
        <f t="shared" si="14"/>
        <v>100</v>
      </c>
      <c r="X42" s="719"/>
      <c r="Y42" s="3421"/>
      <c r="Z42" s="720" t="str">
        <f t="shared" si="15"/>
        <v>单套建筑面积</v>
      </c>
      <c r="AA42" s="1527">
        <f t="shared" si="3"/>
        <v>1</v>
      </c>
      <c r="AB42" s="1527">
        <f t="shared" si="4"/>
        <v>1</v>
      </c>
      <c r="AC42" s="213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462"/>
      <c r="Q43" s="1526" t="str">
        <f t="shared" si="11"/>
        <v>内部装修</v>
      </c>
      <c r="R43" s="714" t="s">
        <v>17</v>
      </c>
      <c r="S43" s="715">
        <f t="shared" si="12"/>
        <v>100</v>
      </c>
      <c r="T43" s="714" t="s">
        <v>17</v>
      </c>
      <c r="U43" s="715">
        <f t="shared" si="13"/>
        <v>100</v>
      </c>
      <c r="V43" s="714" t="s">
        <v>17</v>
      </c>
      <c r="W43" s="715">
        <f t="shared" si="14"/>
        <v>100</v>
      </c>
      <c r="X43" s="1529"/>
      <c r="Y43" s="3421"/>
      <c r="Z43" s="1530" t="str">
        <f t="shared" si="15"/>
        <v>内部装修</v>
      </c>
      <c r="AA43" s="1527">
        <f t="shared" si="3"/>
        <v>1</v>
      </c>
      <c r="AB43" s="1527">
        <f t="shared" si="4"/>
        <v>1</v>
      </c>
      <c r="AC43" s="2137">
        <f t="shared" si="5"/>
        <v>1</v>
      </c>
    </row>
    <row r="44" spans="1:29" ht="15">
      <c r="A44" s="431"/>
      <c r="B44" s="381" t="s">
        <v>2395</v>
      </c>
      <c r="C44" s="419"/>
      <c r="D44" s="394">
        <v>100</v>
      </c>
      <c r="E44" s="2081"/>
      <c r="F44" s="420">
        <f>SUMIF(125:125,E44,126:126)-SUMIF(125:125,C44,126:126)+100</f>
        <v>100</v>
      </c>
      <c r="G44" s="2081"/>
      <c r="H44" s="394">
        <f>SUMIF(125:125,G44,126:126)-SUMIF(125:125,C44,126:126)+100</f>
        <v>100</v>
      </c>
      <c r="I44" s="2081"/>
      <c r="J44" s="394">
        <f>SUMIF(125:125,I44,126:126)-SUMIF(125:125,C44,126:126)+100</f>
        <v>100</v>
      </c>
      <c r="K44" s="569"/>
      <c r="L44" s="2938"/>
      <c r="M44" s="2932"/>
      <c r="N44" s="2932"/>
      <c r="O44" s="2932"/>
      <c r="P44" s="3462"/>
      <c r="Q44" s="1526" t="str">
        <f t="shared" si="11"/>
        <v>内部装修维护情况</v>
      </c>
      <c r="R44" s="714" t="s">
        <v>17</v>
      </c>
      <c r="S44" s="715">
        <f t="shared" si="12"/>
        <v>100</v>
      </c>
      <c r="T44" s="714" t="s">
        <v>17</v>
      </c>
      <c r="U44" s="715">
        <f t="shared" si="13"/>
        <v>100</v>
      </c>
      <c r="V44" s="714" t="s">
        <v>17</v>
      </c>
      <c r="W44" s="715">
        <f t="shared" si="14"/>
        <v>100</v>
      </c>
      <c r="X44" s="1529"/>
      <c r="Y44" s="3421"/>
      <c r="Z44" s="1530" t="str">
        <f t="shared" si="15"/>
        <v>内部装修维护情况</v>
      </c>
      <c r="AA44" s="1527">
        <f t="shared" si="3"/>
        <v>1</v>
      </c>
      <c r="AB44" s="1527">
        <f t="shared" si="4"/>
        <v>1</v>
      </c>
      <c r="AC44" s="2137">
        <f t="shared" si="5"/>
        <v>1</v>
      </c>
    </row>
    <row r="45" spans="1:29" s="113" customFormat="1" ht="15">
      <c r="A45" s="432"/>
      <c r="B45" s="128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462"/>
      <c r="Q45" s="1517">
        <f t="shared" si="11"/>
        <v>111</v>
      </c>
      <c r="R45" s="710" t="s">
        <v>17</v>
      </c>
      <c r="S45" s="711">
        <f t="shared" si="12"/>
        <v>100</v>
      </c>
      <c r="T45" s="710" t="s">
        <v>17</v>
      </c>
      <c r="U45" s="711">
        <f t="shared" si="13"/>
        <v>100</v>
      </c>
      <c r="V45" s="710" t="s">
        <v>17</v>
      </c>
      <c r="W45" s="711">
        <f t="shared" si="14"/>
        <v>100</v>
      </c>
      <c r="X45" s="712"/>
      <c r="Y45" s="3421"/>
      <c r="Z45" s="55">
        <f t="shared" si="15"/>
        <v>111</v>
      </c>
      <c r="AA45" s="713">
        <f t="shared" si="3"/>
        <v>1</v>
      </c>
      <c r="AB45" s="713">
        <f t="shared" si="4"/>
        <v>1</v>
      </c>
      <c r="AC45" s="2134">
        <f t="shared" si="5"/>
        <v>1</v>
      </c>
    </row>
    <row r="46" spans="1:29" ht="15">
      <c r="A46" s="431"/>
      <c r="B46" s="128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462"/>
      <c r="Q46" s="1526">
        <f t="shared" si="11"/>
        <v>111</v>
      </c>
      <c r="R46" s="714" t="s">
        <v>17</v>
      </c>
      <c r="S46" s="715">
        <f t="shared" si="12"/>
        <v>100</v>
      </c>
      <c r="T46" s="714" t="s">
        <v>17</v>
      </c>
      <c r="U46" s="715">
        <f t="shared" si="13"/>
        <v>100</v>
      </c>
      <c r="V46" s="714" t="s">
        <v>17</v>
      </c>
      <c r="W46" s="715">
        <f t="shared" si="14"/>
        <v>100</v>
      </c>
      <c r="X46" s="1529"/>
      <c r="Y46" s="3421"/>
      <c r="Z46" s="1530">
        <f t="shared" si="15"/>
        <v>111</v>
      </c>
      <c r="AA46" s="1527">
        <f t="shared" si="3"/>
        <v>1</v>
      </c>
      <c r="AB46" s="1527">
        <f t="shared" si="4"/>
        <v>1</v>
      </c>
      <c r="AC46" s="2137">
        <f t="shared" si="5"/>
        <v>1</v>
      </c>
    </row>
    <row r="47" spans="1:29" ht="15.75" thickBot="1">
      <c r="A47" s="437"/>
      <c r="B47" s="207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463"/>
      <c r="Q47" s="1526">
        <f t="shared" si="11"/>
        <v>111</v>
      </c>
      <c r="R47" s="714" t="s">
        <v>17</v>
      </c>
      <c r="S47" s="715">
        <f t="shared" si="12"/>
        <v>100</v>
      </c>
      <c r="T47" s="714" t="s">
        <v>17</v>
      </c>
      <c r="U47" s="715">
        <f t="shared" si="13"/>
        <v>100</v>
      </c>
      <c r="V47" s="714" t="s">
        <v>17</v>
      </c>
      <c r="W47" s="715">
        <f t="shared" si="14"/>
        <v>100</v>
      </c>
      <c r="X47" s="1529"/>
      <c r="Y47" s="3464"/>
      <c r="Z47" s="1530">
        <f t="shared" si="15"/>
        <v>111</v>
      </c>
      <c r="AA47" s="1527">
        <f t="shared" si="3"/>
        <v>1</v>
      </c>
      <c r="AB47" s="1527">
        <f t="shared" si="4"/>
        <v>1</v>
      </c>
      <c r="AC47" s="2137">
        <f t="shared" si="5"/>
        <v>1</v>
      </c>
    </row>
    <row r="48" spans="1:29" ht="15">
      <c r="A48" s="438" t="s">
        <v>2396</v>
      </c>
      <c r="B48" s="439"/>
      <c r="C48" s="1308" t="s">
        <v>1</v>
      </c>
      <c r="D48" s="1309"/>
      <c r="E48" s="1310"/>
      <c r="F48" s="1311"/>
      <c r="G48" s="1312"/>
      <c r="H48" s="1313"/>
      <c r="I48" s="1310"/>
      <c r="J48" s="444"/>
      <c r="K48" s="723"/>
      <c r="L48" s="2940"/>
      <c r="M48" s="2932"/>
      <c r="N48" s="2932"/>
      <c r="O48" s="2932"/>
      <c r="P48" s="3427" t="str">
        <f>A48</f>
        <v>成交单价（元/平方米）</v>
      </c>
      <c r="Q48" s="3403"/>
      <c r="R48" s="3465">
        <f>E48</f>
        <v>0</v>
      </c>
      <c r="S48" s="3465"/>
      <c r="T48" s="3465">
        <f>G48</f>
        <v>0</v>
      </c>
      <c r="U48" s="3465"/>
      <c r="V48" s="3465">
        <f>I48</f>
        <v>0</v>
      </c>
      <c r="W48" s="3465"/>
      <c r="X48" s="405"/>
      <c r="Y48" s="721"/>
      <c r="Z48" s="405"/>
      <c r="AA48" s="405"/>
      <c r="AB48" s="405"/>
      <c r="AC48" s="586"/>
    </row>
    <row r="49" spans="1:29" ht="15.75" thickBot="1">
      <c r="A49" s="445" t="s">
        <v>2488</v>
      </c>
      <c r="B49" s="446"/>
      <c r="C49" s="1314" t="e">
        <f>R50</f>
        <v>#DIV/0!</v>
      </c>
      <c r="D49" s="2527" t="s">
        <v>2872</v>
      </c>
      <c r="E49" s="1315" t="e">
        <f>R49</f>
        <v>#DIV/0!</v>
      </c>
      <c r="F49" s="2528"/>
      <c r="G49" s="1314" t="e">
        <f>T49</f>
        <v>#DIV/0!</v>
      </c>
      <c r="H49" s="2528"/>
      <c r="I49" s="1315" t="e">
        <f>V49</f>
        <v>#DIV/0!</v>
      </c>
      <c r="J49" s="2528"/>
      <c r="K49" s="2530">
        <f>F49+H49+J49</f>
        <v>0</v>
      </c>
      <c r="L49" s="2940"/>
      <c r="M49" s="2932"/>
      <c r="N49" s="2932"/>
      <c r="O49" s="2932"/>
      <c r="P49" s="3427" t="str">
        <f>A49</f>
        <v>比较价值（元/平方米）</v>
      </c>
      <c r="Q49" s="3403"/>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405"/>
      <c r="Y49" s="405"/>
      <c r="Z49" s="405"/>
      <c r="AA49" s="405"/>
      <c r="AB49" s="405"/>
      <c r="AC49" s="586"/>
    </row>
    <row r="50" spans="1:29" ht="15.75" thickBot="1">
      <c r="A50" s="449" t="s">
        <v>2489</v>
      </c>
      <c r="B50" s="450"/>
      <c r="C50" s="1317" t="e">
        <f>R50</f>
        <v>#DIV/0!</v>
      </c>
      <c r="D50" s="1317"/>
      <c r="E50" s="1317"/>
      <c r="F50" s="1317"/>
      <c r="G50" s="1317"/>
      <c r="H50" s="1317"/>
      <c r="I50" s="1317"/>
      <c r="J50" s="451"/>
      <c r="K50" s="724"/>
      <c r="L50" s="2940"/>
      <c r="M50" s="2932"/>
      <c r="N50" s="2932"/>
      <c r="O50" s="2932"/>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121"/>
      <c r="Y50" s="2121"/>
      <c r="Z50" s="2121"/>
      <c r="AA50" s="2121"/>
      <c r="AB50" s="2121"/>
      <c r="AC50" s="2122"/>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2493</v>
      </c>
      <c r="B58" s="699"/>
      <c r="C58" s="704"/>
      <c r="D58" s="704"/>
      <c r="E58" s="704"/>
      <c r="F58" s="705"/>
      <c r="G58" s="705"/>
      <c r="H58" s="704"/>
      <c r="I58" s="704"/>
      <c r="J58" s="704"/>
      <c r="K58" s="706"/>
      <c r="L58" s="1066"/>
      <c r="M58" s="1064"/>
      <c r="N58" s="2985"/>
      <c r="O58" s="2985"/>
      <c r="P58" s="2974"/>
      <c r="Q58" s="2955"/>
      <c r="R58" s="2941"/>
      <c r="S58" s="2941"/>
      <c r="T58" s="2941"/>
      <c r="U58" s="2941"/>
      <c r="V58" s="2941"/>
      <c r="W58" s="2941"/>
      <c r="X58" s="2941"/>
      <c r="Y58" s="2941"/>
      <c r="Z58" s="2941"/>
      <c r="AA58" s="2941"/>
      <c r="AB58" s="2941"/>
      <c r="AC58" s="2941"/>
    </row>
    <row r="59" spans="1:29" s="465" customFormat="1" ht="15">
      <c r="A59" s="462" t="s">
        <v>2367</v>
      </c>
      <c r="B59" s="463"/>
      <c r="C59" s="1337" t="str">
        <f>YEAR(C7)&amp;"-"&amp;MONTH(C7)</f>
        <v>2021-11</v>
      </c>
      <c r="D59" s="1338">
        <f>EDATE(C59,-1)</f>
        <v>44470</v>
      </c>
      <c r="E59" s="1338">
        <f>EDATE(D59,-1)</f>
        <v>44440</v>
      </c>
      <c r="F59" s="1338">
        <f t="shared" ref="F59:O59" si="16">EDATE(E59,-1)</f>
        <v>44409</v>
      </c>
      <c r="G59" s="1338">
        <f t="shared" si="16"/>
        <v>44378</v>
      </c>
      <c r="H59" s="1338">
        <f t="shared" si="16"/>
        <v>44348</v>
      </c>
      <c r="I59" s="1338">
        <f t="shared" si="16"/>
        <v>44317</v>
      </c>
      <c r="J59" s="1338">
        <f t="shared" si="16"/>
        <v>44287</v>
      </c>
      <c r="K59" s="1338">
        <f t="shared" si="16"/>
        <v>44256</v>
      </c>
      <c r="L59" s="1338">
        <f t="shared" si="16"/>
        <v>44228</v>
      </c>
      <c r="M59" s="1338">
        <f t="shared" si="16"/>
        <v>44197</v>
      </c>
      <c r="N59" s="1338">
        <f t="shared" si="16"/>
        <v>44166</v>
      </c>
      <c r="O59" s="1338">
        <f t="shared" si="16"/>
        <v>44136</v>
      </c>
      <c r="P59" s="2975"/>
      <c r="Q59" s="2957"/>
      <c r="R59" s="2957"/>
      <c r="S59" s="2957"/>
      <c r="T59" s="2957"/>
      <c r="U59" s="2957"/>
      <c r="V59" s="2957"/>
      <c r="W59" s="2957"/>
      <c r="X59" s="2957"/>
      <c r="Y59" s="2957"/>
      <c r="Z59" s="2957"/>
      <c r="AA59" s="2957"/>
      <c r="AB59" s="2957"/>
      <c r="AC59" s="2957"/>
    </row>
    <row r="60" spans="1:29" s="113" customFormat="1" ht="15">
      <c r="A60" s="466"/>
      <c r="B60" s="467"/>
      <c r="C60" s="1336">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2404</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2369</v>
      </c>
      <c r="B62" s="467"/>
      <c r="C62" s="479" t="s">
        <v>2471</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2407</v>
      </c>
      <c r="B64" s="485" t="s">
        <v>2373</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2378</v>
      </c>
      <c r="B77" s="485" t="s">
        <v>2516</v>
      </c>
      <c r="C77" s="530" t="s">
        <v>2416</v>
      </c>
      <c r="D77" s="530" t="s">
        <v>2417</v>
      </c>
      <c r="E77" s="530" t="s">
        <v>2418</v>
      </c>
      <c r="F77" s="530" t="s">
        <v>2419</v>
      </c>
      <c r="G77" s="530" t="s">
        <v>2420</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2421</v>
      </c>
      <c r="C79" s="535" t="s">
        <v>2416</v>
      </c>
      <c r="D79" s="535" t="s">
        <v>2417</v>
      </c>
      <c r="E79" s="535" t="s">
        <v>2418</v>
      </c>
      <c r="F79" s="535" t="s">
        <v>2419</v>
      </c>
      <c r="G79" s="535" t="s">
        <v>2420</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2422</v>
      </c>
      <c r="C81" s="535" t="s">
        <v>2416</v>
      </c>
      <c r="D81" s="535" t="s">
        <v>2417</v>
      </c>
      <c r="E81" s="535" t="s">
        <v>2418</v>
      </c>
      <c r="F81" s="535" t="s">
        <v>2419</v>
      </c>
      <c r="G81" s="535" t="s">
        <v>2420</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2508</v>
      </c>
      <c r="C83" s="616" t="s">
        <v>2494</v>
      </c>
      <c r="D83" s="616" t="s">
        <v>2495</v>
      </c>
      <c r="E83" s="616" t="s">
        <v>2496</v>
      </c>
      <c r="F83" s="616" t="s">
        <v>2497</v>
      </c>
      <c r="G83" s="616" t="s">
        <v>2498</v>
      </c>
      <c r="H83" s="496"/>
      <c r="I83" s="496"/>
      <c r="J83" s="496"/>
      <c r="K83" s="496"/>
      <c r="L83" s="496"/>
      <c r="M83" s="1283"/>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2517</v>
      </c>
      <c r="C85" s="535" t="s">
        <v>2416</v>
      </c>
      <c r="D85" s="535" t="s">
        <v>2417</v>
      </c>
      <c r="E85" s="535" t="s">
        <v>2418</v>
      </c>
      <c r="F85" s="535" t="s">
        <v>2419</v>
      </c>
      <c r="G85" s="535" t="s">
        <v>2420</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2518</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02"/>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3"/>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2382</v>
      </c>
      <c r="B101" s="485" t="s">
        <v>2431</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2433</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2435</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2519</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2436</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2437</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2520</v>
      </c>
      <c r="C119" s="540"/>
      <c r="D119" s="540"/>
      <c r="E119" s="540"/>
      <c r="F119" s="540"/>
      <c r="G119" s="540"/>
      <c r="H119" s="540"/>
      <c r="I119" s="540"/>
      <c r="J119" s="540"/>
      <c r="K119" s="540"/>
      <c r="L119" s="2143"/>
      <c r="M119" s="2144"/>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2503</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2439</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3"/>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132" t="s">
        <v>2521</v>
      </c>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IF(C2="——",ROUND(C43*D3/10000,0),ROUND(C43*D3/10000,0)-D2)</f>
        <v>#DIV/0!</v>
      </c>
      <c r="C2" s="2056"/>
      <c r="D2" s="1031" t="e">
        <f ca="1">SUMIF(INDIRECT("'"&amp;F2&amp;"'"&amp;"!A:A"),"承租人权益价值",INDIRECT("'"&amp;F2&amp;"'"&amp;"!c:c"))</f>
        <v>#REF!</v>
      </c>
      <c r="E2" s="2057" t="s">
        <v>2147</v>
      </c>
      <c r="F2" s="2058"/>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998.81000000000006</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2464</v>
      </c>
      <c r="B4" s="362"/>
      <c r="C4" s="3404" t="s">
        <v>2465</v>
      </c>
      <c r="D4" s="3405"/>
      <c r="E4" s="3406" t="s">
        <v>2466</v>
      </c>
      <c r="F4" s="3407"/>
      <c r="G4" s="3404" t="s">
        <v>2467</v>
      </c>
      <c r="H4" s="3405"/>
      <c r="I4" s="3404" t="s">
        <v>2468</v>
      </c>
      <c r="J4" s="3405"/>
      <c r="K4" s="567" t="s">
        <v>2469</v>
      </c>
      <c r="L4" s="1037"/>
      <c r="M4" s="1038"/>
      <c r="N4" s="1038"/>
      <c r="O4" s="1038"/>
      <c r="P4" s="3408" t="s">
        <v>2470</v>
      </c>
      <c r="Q4" s="3409"/>
      <c r="R4" s="3391" t="s">
        <v>2466</v>
      </c>
      <c r="S4" s="3392"/>
      <c r="T4" s="3391" t="s">
        <v>2467</v>
      </c>
      <c r="U4" s="3392"/>
      <c r="V4" s="3416" t="s">
        <v>2468</v>
      </c>
      <c r="W4" s="3416"/>
      <c r="X4" s="1529"/>
      <c r="Y4" s="3391" t="s">
        <v>2470</v>
      </c>
      <c r="Z4" s="3392"/>
      <c r="AA4" s="3386" t="s">
        <v>2466</v>
      </c>
      <c r="AB4" s="3387" t="s">
        <v>2467</v>
      </c>
      <c r="AC4" s="3386" t="s">
        <v>2468</v>
      </c>
    </row>
    <row r="5" spans="1:29" ht="15">
      <c r="A5" s="364"/>
      <c r="B5" s="365"/>
      <c r="C5" s="3397" t="s">
        <v>2361</v>
      </c>
      <c r="D5" s="3398"/>
      <c r="E5" s="3395" t="s">
        <v>2362</v>
      </c>
      <c r="F5" s="3396"/>
      <c r="G5" s="3397" t="s">
        <v>2363</v>
      </c>
      <c r="H5" s="3398"/>
      <c r="I5" s="3397" t="s">
        <v>2364</v>
      </c>
      <c r="J5" s="3398"/>
      <c r="K5" s="567"/>
      <c r="L5" s="1037"/>
      <c r="M5" s="1038"/>
      <c r="N5" s="1038"/>
      <c r="O5" s="1038"/>
      <c r="P5" s="3410"/>
      <c r="Q5" s="3411"/>
      <c r="R5" s="3393"/>
      <c r="S5" s="3394"/>
      <c r="T5" s="3393"/>
      <c r="U5" s="3394"/>
      <c r="V5" s="3416"/>
      <c r="W5" s="3416"/>
      <c r="X5" s="1529"/>
      <c r="Y5" s="3393"/>
      <c r="Z5" s="3394"/>
      <c r="AA5" s="3387"/>
      <c r="AB5" s="3387"/>
      <c r="AC5" s="3387"/>
    </row>
    <row r="6" spans="1:29" ht="15.75" thickBot="1">
      <c r="A6" s="366"/>
      <c r="B6" s="367"/>
      <c r="C6" s="3399" t="s">
        <v>2365</v>
      </c>
      <c r="D6" s="3400"/>
      <c r="E6" s="3401" t="s">
        <v>2365</v>
      </c>
      <c r="F6" s="3402"/>
      <c r="G6" s="3399" t="s">
        <v>2365</v>
      </c>
      <c r="H6" s="3400"/>
      <c r="I6" s="3399" t="s">
        <v>2365</v>
      </c>
      <c r="J6" s="3400"/>
      <c r="K6" s="567" t="s">
        <v>2366</v>
      </c>
      <c r="L6" s="1037"/>
      <c r="M6" s="1038"/>
      <c r="N6" s="1038"/>
      <c r="O6" s="1038"/>
      <c r="P6" s="3412"/>
      <c r="Q6" s="3413"/>
      <c r="R6" s="3393"/>
      <c r="S6" s="3394"/>
      <c r="T6" s="3414"/>
      <c r="U6" s="3415"/>
      <c r="V6" s="3416"/>
      <c r="W6" s="3416"/>
      <c r="X6" s="1529"/>
      <c r="Y6" s="3414"/>
      <c r="Z6" s="3415"/>
      <c r="AA6" s="3388"/>
      <c r="AB6" s="3388"/>
      <c r="AC6" s="3388"/>
    </row>
    <row r="7" spans="1:29" s="113" customFormat="1" ht="15.75" thickBot="1">
      <c r="A7" s="368" t="s">
        <v>2367</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39"/>
      <c r="M7" s="1040"/>
      <c r="N7" s="1040"/>
      <c r="O7" s="1040"/>
      <c r="P7" s="3389" t="s">
        <v>2368</v>
      </c>
      <c r="Q7" s="3417"/>
      <c r="R7" s="710" t="s">
        <v>17</v>
      </c>
      <c r="S7" s="711">
        <f t="shared" ref="S7:S15" si="0">F7</f>
        <v>0</v>
      </c>
      <c r="T7" s="710" t="s">
        <v>17</v>
      </c>
      <c r="U7" s="711">
        <f t="shared" ref="U7:U15" si="1">H7</f>
        <v>0</v>
      </c>
      <c r="V7" s="710" t="s">
        <v>17</v>
      </c>
      <c r="W7" s="711">
        <f t="shared" ref="W7:W15" si="2">J7</f>
        <v>0</v>
      </c>
      <c r="X7" s="712"/>
      <c r="Y7" s="3389" t="s">
        <v>2368</v>
      </c>
      <c r="Z7" s="3390"/>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389" t="s">
        <v>2371</v>
      </c>
      <c r="Q8" s="3390"/>
      <c r="R8" s="710" t="s">
        <v>17</v>
      </c>
      <c r="S8" s="711">
        <f t="shared" si="0"/>
        <v>0</v>
      </c>
      <c r="T8" s="710" t="s">
        <v>17</v>
      </c>
      <c r="U8" s="711">
        <f t="shared" si="1"/>
        <v>0</v>
      </c>
      <c r="V8" s="710" t="s">
        <v>17</v>
      </c>
      <c r="W8" s="711">
        <f t="shared" si="2"/>
        <v>0</v>
      </c>
      <c r="X8" s="712"/>
      <c r="Y8" s="3389" t="s">
        <v>2371</v>
      </c>
      <c r="Z8" s="3390"/>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403"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403"/>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403"/>
      <c r="Q11" s="1517"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68">
        <v>111</v>
      </c>
      <c r="C12" s="391"/>
      <c r="D12" s="392">
        <v>100</v>
      </c>
      <c r="E12" s="393"/>
      <c r="F12" s="132">
        <f>SUMIF(64:64,E12,65:65)-SUMIF(64:64,C12,65:65)+100</f>
        <v>100</v>
      </c>
      <c r="G12" s="2145"/>
      <c r="H12" s="132">
        <f>SUMIF(64:64,G12,65:65)-SUMIF(64:64,C12,65:65)+100</f>
        <v>100</v>
      </c>
      <c r="I12" s="428"/>
      <c r="J12" s="132">
        <f>SUMIF(64:64,I12,65:65)-SUMIF(64:64,C12,65:65)+100</f>
        <v>100</v>
      </c>
      <c r="K12" s="570"/>
      <c r="L12" s="1039"/>
      <c r="M12" s="1040"/>
      <c r="N12" s="1040"/>
      <c r="O12" s="1041"/>
      <c r="P12" s="3403"/>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68">
        <v>111</v>
      </c>
      <c r="C13" s="393"/>
      <c r="D13" s="394">
        <v>100</v>
      </c>
      <c r="E13" s="393"/>
      <c r="F13" s="132">
        <f>SUMIF(66:66,E13,67:67)-SUMIF(66:66,C13,67:67)+100</f>
        <v>100</v>
      </c>
      <c r="G13" s="2145"/>
      <c r="H13" s="394">
        <f>SUMIF(66:66,G13,67:67)-SUMIF(66:66,C13,67:67)+100</f>
        <v>100</v>
      </c>
      <c r="I13" s="428"/>
      <c r="J13" s="394">
        <f>SUMIF(66:66,I13,67:67)-SUMIF(66:66,C13,67:67)+100</f>
        <v>100</v>
      </c>
      <c r="K13" s="570"/>
      <c r="L13" s="1047"/>
      <c r="M13" s="1038"/>
      <c r="N13" s="1038"/>
      <c r="O13" s="1046"/>
      <c r="P13" s="3403"/>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70">
        <v>111</v>
      </c>
      <c r="C14" s="396"/>
      <c r="D14" s="397">
        <v>100</v>
      </c>
      <c r="E14" s="396"/>
      <c r="F14" s="397">
        <f>SUMIF(68:68,E14,69:69)-SUMIF(68:68,C14,69:69)+100</f>
        <v>100</v>
      </c>
      <c r="G14" s="2145"/>
      <c r="H14" s="397">
        <f>SUMIF(68:68,G14,69:69)-SUMIF(68:68,C14,69:69)+100</f>
        <v>100</v>
      </c>
      <c r="I14" s="428"/>
      <c r="J14" s="397">
        <f>SUMIF(68:68,I14,69:69)-SUMIF(68:68,C14,69:69)+100</f>
        <v>100</v>
      </c>
      <c r="K14" s="570"/>
      <c r="L14" s="1047"/>
      <c r="M14" s="1038"/>
      <c r="N14" s="1038"/>
      <c r="O14" s="1046"/>
      <c r="P14" s="3403"/>
      <c r="Q14" s="1517">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2378</v>
      </c>
      <c r="B15" s="65" t="s">
        <v>2522</v>
      </c>
      <c r="C15" s="214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418" t="s">
        <v>2379</v>
      </c>
      <c r="Q15" s="1526" t="str">
        <f t="shared" si="6"/>
        <v>产业集聚程度</v>
      </c>
      <c r="R15" s="714" t="s">
        <v>17</v>
      </c>
      <c r="S15" s="715">
        <f t="shared" si="0"/>
        <v>100</v>
      </c>
      <c r="T15" s="714" t="s">
        <v>17</v>
      </c>
      <c r="U15" s="715">
        <f t="shared" si="1"/>
        <v>100</v>
      </c>
      <c r="V15" s="714" t="s">
        <v>17</v>
      </c>
      <c r="W15" s="715">
        <f t="shared" si="2"/>
        <v>100</v>
      </c>
      <c r="X15" s="1529"/>
      <c r="Y15" s="3418" t="s">
        <v>2379</v>
      </c>
      <c r="Z15" s="1530" t="str">
        <f t="shared" si="7"/>
        <v>产业集聚程度</v>
      </c>
      <c r="AA15" s="1527">
        <f t="shared" si="3"/>
        <v>1</v>
      </c>
      <c r="AB15" s="1527">
        <f t="shared" si="4"/>
        <v>1</v>
      </c>
      <c r="AC15" s="1527">
        <f t="shared" si="5"/>
        <v>1</v>
      </c>
    </row>
    <row r="16" spans="1:29" ht="15">
      <c r="A16" s="387"/>
      <c r="B16" s="405"/>
      <c r="C16" s="406"/>
      <c r="D16" s="407"/>
      <c r="E16" s="406"/>
      <c r="F16" s="408"/>
      <c r="G16" s="406"/>
      <c r="H16" s="409"/>
      <c r="I16" s="406"/>
      <c r="J16" s="407"/>
      <c r="K16" s="572"/>
      <c r="L16" s="1047"/>
      <c r="M16" s="1038"/>
      <c r="N16" s="1038"/>
      <c r="O16" s="1046"/>
      <c r="P16" s="3419"/>
      <c r="Q16" s="1526"/>
      <c r="R16" s="714"/>
      <c r="S16" s="715"/>
      <c r="T16" s="714"/>
      <c r="U16" s="715"/>
      <c r="V16" s="714"/>
      <c r="W16" s="715"/>
      <c r="X16" s="1529"/>
      <c r="Y16" s="3419"/>
      <c r="Z16" s="1530"/>
      <c r="AA16" s="1527">
        <v>1</v>
      </c>
      <c r="AB16" s="1527">
        <v>1</v>
      </c>
      <c r="AC16" s="1527">
        <v>1</v>
      </c>
    </row>
    <row r="17" spans="1:29" ht="85.5">
      <c r="A17" s="387"/>
      <c r="B17" s="410" t="s">
        <v>1944</v>
      </c>
      <c r="C17" s="207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419"/>
      <c r="Q17" s="1526" t="str">
        <f>B17</f>
        <v>交通便捷度</v>
      </c>
      <c r="R17" s="714" t="s">
        <v>17</v>
      </c>
      <c r="S17" s="715">
        <f>F17</f>
        <v>100</v>
      </c>
      <c r="T17" s="714" t="s">
        <v>17</v>
      </c>
      <c r="U17" s="715">
        <f>H17</f>
        <v>100</v>
      </c>
      <c r="V17" s="714" t="s">
        <v>17</v>
      </c>
      <c r="W17" s="715">
        <f>J17</f>
        <v>100</v>
      </c>
      <c r="X17" s="1529"/>
      <c r="Y17" s="3419"/>
      <c r="Z17" s="1530" t="str">
        <f>Q17</f>
        <v>交通便捷度</v>
      </c>
      <c r="AA17" s="1527">
        <f t="shared" si="3"/>
        <v>1</v>
      </c>
      <c r="AB17" s="1527">
        <f t="shared" si="4"/>
        <v>1</v>
      </c>
      <c r="AC17" s="1527">
        <f t="shared" si="5"/>
        <v>1</v>
      </c>
    </row>
    <row r="18" spans="1:29" ht="15">
      <c r="A18" s="387"/>
      <c r="B18" s="415"/>
      <c r="C18" s="2076"/>
      <c r="D18" s="409"/>
      <c r="E18" s="2078"/>
      <c r="F18" s="412"/>
      <c r="G18" s="2077"/>
      <c r="H18" s="407"/>
      <c r="I18" s="2078"/>
      <c r="J18" s="407"/>
      <c r="K18" s="572"/>
      <c r="L18" s="1047"/>
      <c r="M18" s="1038"/>
      <c r="N18" s="1038"/>
      <c r="O18" s="1046"/>
      <c r="P18" s="3419"/>
      <c r="Q18" s="1526"/>
      <c r="R18" s="714"/>
      <c r="S18" s="715"/>
      <c r="T18" s="714"/>
      <c r="U18" s="715"/>
      <c r="V18" s="714"/>
      <c r="W18" s="715"/>
      <c r="X18" s="1529"/>
      <c r="Y18" s="3419"/>
      <c r="Z18" s="1530"/>
      <c r="AA18" s="1527">
        <v>1</v>
      </c>
      <c r="AB18" s="1527">
        <v>1</v>
      </c>
      <c r="AC18" s="1527">
        <v>1</v>
      </c>
    </row>
    <row r="19" spans="1:29" ht="42.75">
      <c r="A19" s="387"/>
      <c r="B19" s="410" t="s">
        <v>2507</v>
      </c>
      <c r="C19" s="207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419"/>
      <c r="Q19" s="1526" t="str">
        <f>B19</f>
        <v>公共配套设施</v>
      </c>
      <c r="R19" s="714" t="s">
        <v>17</v>
      </c>
      <c r="S19" s="715">
        <f>F19</f>
        <v>100</v>
      </c>
      <c r="T19" s="714" t="s">
        <v>17</v>
      </c>
      <c r="U19" s="715">
        <f>H19</f>
        <v>100</v>
      </c>
      <c r="V19" s="714" t="s">
        <v>17</v>
      </c>
      <c r="W19" s="715">
        <f>J19</f>
        <v>100</v>
      </c>
      <c r="X19" s="1529"/>
      <c r="Y19" s="3419"/>
      <c r="Z19" s="1530" t="str">
        <f>Q19</f>
        <v>公共配套设施</v>
      </c>
      <c r="AA19" s="1527">
        <f t="shared" si="3"/>
        <v>1</v>
      </c>
      <c r="AB19" s="1527">
        <f t="shared" si="4"/>
        <v>1</v>
      </c>
      <c r="AC19" s="1527">
        <f t="shared" si="5"/>
        <v>1</v>
      </c>
    </row>
    <row r="20" spans="1:29" ht="15">
      <c r="A20" s="387"/>
      <c r="B20" s="415"/>
      <c r="C20" s="406"/>
      <c r="D20" s="407"/>
      <c r="E20" s="2073"/>
      <c r="F20" s="408"/>
      <c r="G20" s="2072"/>
      <c r="H20" s="407"/>
      <c r="I20" s="2073"/>
      <c r="J20" s="407"/>
      <c r="K20" s="572"/>
      <c r="L20" s="1047"/>
      <c r="M20" s="1038"/>
      <c r="N20" s="1038"/>
      <c r="O20" s="1046"/>
      <c r="P20" s="3419"/>
      <c r="Q20" s="1526"/>
      <c r="R20" s="714"/>
      <c r="S20" s="715"/>
      <c r="T20" s="714"/>
      <c r="U20" s="715"/>
      <c r="V20" s="714"/>
      <c r="W20" s="715"/>
      <c r="X20" s="1529"/>
      <c r="Y20" s="3419"/>
      <c r="Z20" s="1530"/>
      <c r="AA20" s="1527">
        <v>1</v>
      </c>
      <c r="AB20" s="1527">
        <v>1</v>
      </c>
      <c r="AC20" s="1527">
        <v>1</v>
      </c>
    </row>
    <row r="21" spans="1:29" ht="28.5">
      <c r="A21" s="387"/>
      <c r="B21" s="1285" t="s">
        <v>2508</v>
      </c>
      <c r="C21" s="207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419"/>
      <c r="Q21" s="1526" t="str">
        <f>B21</f>
        <v>基础设施水平</v>
      </c>
      <c r="R21" s="714" t="s">
        <v>17</v>
      </c>
      <c r="S21" s="715">
        <f>F21</f>
        <v>100</v>
      </c>
      <c r="T21" s="714" t="s">
        <v>17</v>
      </c>
      <c r="U21" s="715">
        <f>H21</f>
        <v>100</v>
      </c>
      <c r="V21" s="714" t="s">
        <v>17</v>
      </c>
      <c r="W21" s="715">
        <f>J21</f>
        <v>100</v>
      </c>
      <c r="X21" s="1529"/>
      <c r="Y21" s="3419"/>
      <c r="Z21" s="1530" t="str">
        <f>Q21</f>
        <v>基础设施水平</v>
      </c>
      <c r="AA21" s="1527">
        <f t="shared" ref="AA21" si="8">D21/F21</f>
        <v>1</v>
      </c>
      <c r="AB21" s="1527">
        <f t="shared" ref="AB21" si="9">D21/H21</f>
        <v>1</v>
      </c>
      <c r="AC21" s="1527">
        <f t="shared" ref="AC21" si="10">D21/J21</f>
        <v>1</v>
      </c>
    </row>
    <row r="22" spans="1:29" ht="15">
      <c r="A22" s="387"/>
      <c r="B22" s="1285"/>
      <c r="C22" s="2076"/>
      <c r="D22" s="407"/>
      <c r="E22" s="406"/>
      <c r="F22" s="408"/>
      <c r="G22" s="406"/>
      <c r="H22" s="407"/>
      <c r="I22" s="406"/>
      <c r="J22" s="407"/>
      <c r="K22" s="1284"/>
      <c r="L22" s="1047"/>
      <c r="M22" s="1038"/>
      <c r="N22" s="1038"/>
      <c r="O22" s="1046"/>
      <c r="P22" s="3419"/>
      <c r="Q22" s="1526"/>
      <c r="R22" s="714"/>
      <c r="S22" s="715"/>
      <c r="T22" s="714"/>
      <c r="U22" s="715"/>
      <c r="V22" s="714"/>
      <c r="W22" s="715"/>
      <c r="X22" s="1529"/>
      <c r="Y22" s="3419"/>
      <c r="Z22" s="1530"/>
      <c r="AA22" s="1527">
        <v>1</v>
      </c>
      <c r="AB22" s="1527">
        <v>1</v>
      </c>
      <c r="AC22" s="1527">
        <v>1</v>
      </c>
    </row>
    <row r="23" spans="1:29" ht="71.25">
      <c r="A23" s="387"/>
      <c r="B23" s="410" t="s">
        <v>2509</v>
      </c>
      <c r="C23" s="207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419"/>
      <c r="Q23" s="1526" t="str">
        <f>B23</f>
        <v>环境质量</v>
      </c>
      <c r="R23" s="714" t="s">
        <v>17</v>
      </c>
      <c r="S23" s="715">
        <f>F23</f>
        <v>100</v>
      </c>
      <c r="T23" s="714" t="s">
        <v>17</v>
      </c>
      <c r="U23" s="715">
        <f>H23</f>
        <v>100</v>
      </c>
      <c r="V23" s="714" t="s">
        <v>17</v>
      </c>
      <c r="W23" s="715">
        <f>J23</f>
        <v>100</v>
      </c>
      <c r="X23" s="1529"/>
      <c r="Y23" s="3419"/>
      <c r="Z23" s="1530" t="str">
        <f>Q23</f>
        <v>环境质量</v>
      </c>
      <c r="AA23" s="1527">
        <f t="shared" si="3"/>
        <v>1</v>
      </c>
      <c r="AB23" s="1527">
        <f t="shared" si="4"/>
        <v>1</v>
      </c>
      <c r="AC23" s="1527">
        <f t="shared" si="5"/>
        <v>1</v>
      </c>
    </row>
    <row r="24" spans="1:29" ht="15">
      <c r="A24" s="387"/>
      <c r="B24" s="1285"/>
      <c r="C24" s="406"/>
      <c r="D24" s="407"/>
      <c r="E24" s="2073"/>
      <c r="F24" s="408"/>
      <c r="G24" s="2072"/>
      <c r="H24" s="407"/>
      <c r="I24" s="2073"/>
      <c r="J24" s="407"/>
      <c r="K24" s="572"/>
      <c r="L24" s="1047"/>
      <c r="M24" s="1038"/>
      <c r="N24" s="1038"/>
      <c r="O24" s="1046"/>
      <c r="P24" s="3419"/>
      <c r="Q24" s="1526"/>
      <c r="R24" s="714"/>
      <c r="S24" s="715"/>
      <c r="T24" s="714"/>
      <c r="U24" s="715"/>
      <c r="V24" s="714"/>
      <c r="W24" s="715"/>
      <c r="X24" s="1529"/>
      <c r="Y24" s="3419"/>
      <c r="Z24" s="1530"/>
      <c r="AA24" s="1527">
        <v>1</v>
      </c>
      <c r="AB24" s="1527">
        <v>1</v>
      </c>
      <c r="AC24" s="1527">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419"/>
      <c r="Q25" s="1526">
        <f>B25</f>
        <v>111</v>
      </c>
      <c r="R25" s="714" t="s">
        <v>17</v>
      </c>
      <c r="S25" s="715">
        <f>F25</f>
        <v>100</v>
      </c>
      <c r="T25" s="714" t="s">
        <v>17</v>
      </c>
      <c r="U25" s="715">
        <f>H25</f>
        <v>100</v>
      </c>
      <c r="V25" s="714" t="s">
        <v>17</v>
      </c>
      <c r="W25" s="715">
        <f>J25</f>
        <v>100</v>
      </c>
      <c r="X25" s="1529"/>
      <c r="Y25" s="3419"/>
      <c r="Z25" s="1530">
        <f>Q25</f>
        <v>111</v>
      </c>
      <c r="AA25" s="1527">
        <f t="shared" si="3"/>
        <v>1</v>
      </c>
      <c r="AB25" s="1527">
        <f t="shared" si="4"/>
        <v>1</v>
      </c>
      <c r="AC25" s="1527">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419"/>
      <c r="Q26" s="1526">
        <f t="shared" ref="Q26:Q40" si="11">B26</f>
        <v>111</v>
      </c>
      <c r="R26" s="714" t="s">
        <v>17</v>
      </c>
      <c r="S26" s="715">
        <f>F26</f>
        <v>100</v>
      </c>
      <c r="T26" s="714" t="s">
        <v>17</v>
      </c>
      <c r="U26" s="715">
        <f>H26</f>
        <v>100</v>
      </c>
      <c r="V26" s="714" t="s">
        <v>17</v>
      </c>
      <c r="W26" s="715">
        <f>J26</f>
        <v>100</v>
      </c>
      <c r="X26" s="1529"/>
      <c r="Y26" s="3419"/>
      <c r="Z26" s="1530">
        <f>Q26</f>
        <v>111</v>
      </c>
      <c r="AA26" s="1527">
        <f t="shared" si="3"/>
        <v>1</v>
      </c>
      <c r="AB26" s="1527">
        <f t="shared" si="4"/>
        <v>1</v>
      </c>
      <c r="AC26" s="1527">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419"/>
      <c r="Q27" s="1517">
        <f t="shared" si="11"/>
        <v>111</v>
      </c>
      <c r="R27" s="710" t="s">
        <v>17</v>
      </c>
      <c r="S27" s="711">
        <f>F27</f>
        <v>100</v>
      </c>
      <c r="T27" s="710" t="s">
        <v>17</v>
      </c>
      <c r="U27" s="711">
        <f>H27</f>
        <v>100</v>
      </c>
      <c r="V27" s="710" t="s">
        <v>17</v>
      </c>
      <c r="W27" s="711">
        <f>J27</f>
        <v>100</v>
      </c>
      <c r="X27" s="712"/>
      <c r="Y27" s="3419"/>
      <c r="Z27" s="55">
        <f>Q27</f>
        <v>111</v>
      </c>
      <c r="AA27" s="1527">
        <f>D27/F27</f>
        <v>1</v>
      </c>
      <c r="AB27" s="1527">
        <f>D27/H27</f>
        <v>1</v>
      </c>
      <c r="AC27" s="1527">
        <f>D27/J27</f>
        <v>1</v>
      </c>
    </row>
    <row r="28" spans="1:29" ht="15.75"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419"/>
      <c r="Q28" s="1526">
        <f t="shared" si="11"/>
        <v>111</v>
      </c>
      <c r="R28" s="714" t="s">
        <v>17</v>
      </c>
      <c r="S28" s="715">
        <f t="shared" ref="S28:S40" si="12">F28</f>
        <v>100</v>
      </c>
      <c r="T28" s="714" t="s">
        <v>17</v>
      </c>
      <c r="U28" s="715">
        <f t="shared" ref="U28:U40" si="13">H28</f>
        <v>100</v>
      </c>
      <c r="V28" s="714" t="s">
        <v>17</v>
      </c>
      <c r="W28" s="715">
        <f t="shared" ref="W28:W40" si="14">J28</f>
        <v>100</v>
      </c>
      <c r="X28" s="1529"/>
      <c r="Y28" s="3419"/>
      <c r="Z28" s="1530">
        <f t="shared" ref="Z28:Z40" si="15">Q28</f>
        <v>111</v>
      </c>
      <c r="AA28" s="1527">
        <f t="shared" si="3"/>
        <v>1</v>
      </c>
      <c r="AB28" s="1527">
        <f t="shared" si="4"/>
        <v>1</v>
      </c>
      <c r="AC28" s="1527">
        <f t="shared" si="5"/>
        <v>1</v>
      </c>
    </row>
    <row r="29" spans="1:29" ht="29.25">
      <c r="A29" s="425" t="s">
        <v>2382</v>
      </c>
      <c r="B29" s="67" t="s">
        <v>2512</v>
      </c>
      <c r="C29" s="2142"/>
      <c r="D29" s="426">
        <v>100</v>
      </c>
      <c r="E29" s="2142"/>
      <c r="F29" s="420">
        <f>SUMIF(88:88,E29,89:89)-SUMIF(88:88,C29,89:89)+100</f>
        <v>100</v>
      </c>
      <c r="G29" s="2142"/>
      <c r="H29" s="394">
        <f>SUMIF(88:88,G29,89:89)-SUMIF(88:88,C29,89:89)+100</f>
        <v>100</v>
      </c>
      <c r="I29" s="2142"/>
      <c r="J29" s="426">
        <f>SUMIF(88:88,I29,89:89)-SUMIF(88:88,C29,89:89)+100</f>
        <v>100</v>
      </c>
      <c r="K29" s="569"/>
      <c r="L29" s="1047"/>
      <c r="M29" s="1038"/>
      <c r="N29" s="1038"/>
      <c r="O29" s="1046"/>
      <c r="P29" s="3420" t="s">
        <v>2384</v>
      </c>
      <c r="Q29" s="1526" t="str">
        <f t="shared" si="11"/>
        <v>建筑类型</v>
      </c>
      <c r="R29" s="714" t="s">
        <v>17</v>
      </c>
      <c r="S29" s="715">
        <f t="shared" si="12"/>
        <v>100</v>
      </c>
      <c r="T29" s="714" t="s">
        <v>17</v>
      </c>
      <c r="U29" s="715">
        <f t="shared" si="13"/>
        <v>100</v>
      </c>
      <c r="V29" s="714" t="s">
        <v>17</v>
      </c>
      <c r="W29" s="715">
        <f t="shared" si="14"/>
        <v>100</v>
      </c>
      <c r="X29" s="1529"/>
      <c r="Y29" s="3421" t="s">
        <v>2384</v>
      </c>
      <c r="Z29" s="1530" t="str">
        <f t="shared" si="15"/>
        <v>建筑类型</v>
      </c>
      <c r="AA29" s="1527">
        <f t="shared" si="3"/>
        <v>1</v>
      </c>
      <c r="AB29" s="1527">
        <f t="shared" si="4"/>
        <v>1</v>
      </c>
      <c r="AC29" s="152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421"/>
      <c r="Q30" s="716" t="str">
        <f t="shared" si="11"/>
        <v>项目建筑规模</v>
      </c>
      <c r="R30" s="717" t="s">
        <v>17</v>
      </c>
      <c r="S30" s="718" t="e">
        <f t="shared" si="12"/>
        <v>#N/A</v>
      </c>
      <c r="T30" s="717" t="s">
        <v>17</v>
      </c>
      <c r="U30" s="718" t="e">
        <f t="shared" si="13"/>
        <v>#N/A</v>
      </c>
      <c r="V30" s="717" t="s">
        <v>17</v>
      </c>
      <c r="W30" s="718" t="e">
        <f t="shared" si="14"/>
        <v>#N/A</v>
      </c>
      <c r="X30" s="719"/>
      <c r="Y30" s="3421"/>
      <c r="Z30" s="720" t="str">
        <f t="shared" si="15"/>
        <v>项目建筑规模</v>
      </c>
      <c r="AA30" s="1527" t="e">
        <f t="shared" si="3"/>
        <v>#N/A</v>
      </c>
      <c r="AB30" s="1527" t="e">
        <f t="shared" si="4"/>
        <v>#N/A</v>
      </c>
      <c r="AC30" s="152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421"/>
      <c r="Q31" s="1526" t="str">
        <f t="shared" si="11"/>
        <v>建筑结构</v>
      </c>
      <c r="R31" s="714" t="s">
        <v>17</v>
      </c>
      <c r="S31" s="715">
        <f t="shared" si="12"/>
        <v>100</v>
      </c>
      <c r="T31" s="714" t="s">
        <v>17</v>
      </c>
      <c r="U31" s="715">
        <f t="shared" si="13"/>
        <v>100</v>
      </c>
      <c r="V31" s="714" t="s">
        <v>17</v>
      </c>
      <c r="W31" s="715">
        <f t="shared" si="14"/>
        <v>100</v>
      </c>
      <c r="X31" s="1529"/>
      <c r="Y31" s="3421"/>
      <c r="Z31" s="1530" t="str">
        <f t="shared" si="15"/>
        <v>建筑结构</v>
      </c>
      <c r="AA31" s="1527">
        <f t="shared" si="3"/>
        <v>1</v>
      </c>
      <c r="AB31" s="1527">
        <f t="shared" si="4"/>
        <v>1</v>
      </c>
      <c r="AC31" s="152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421"/>
      <c r="Q32" s="1526" t="str">
        <f t="shared" si="11"/>
        <v>公共部分装修</v>
      </c>
      <c r="R32" s="714" t="s">
        <v>17</v>
      </c>
      <c r="S32" s="715">
        <f t="shared" si="12"/>
        <v>100</v>
      </c>
      <c r="T32" s="714" t="s">
        <v>17</v>
      </c>
      <c r="U32" s="715">
        <f t="shared" si="13"/>
        <v>100</v>
      </c>
      <c r="V32" s="714" t="s">
        <v>17</v>
      </c>
      <c r="W32" s="715">
        <f t="shared" si="14"/>
        <v>100</v>
      </c>
      <c r="X32" s="1529"/>
      <c r="Y32" s="3421"/>
      <c r="Z32" s="1530" t="str">
        <f t="shared" si="15"/>
        <v>公共部分装修</v>
      </c>
      <c r="AA32" s="1527">
        <f t="shared" si="3"/>
        <v>1</v>
      </c>
      <c r="AB32" s="1527">
        <f t="shared" si="4"/>
        <v>1</v>
      </c>
      <c r="AC32" s="152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421"/>
      <c r="Q33" s="1526" t="str">
        <f t="shared" si="11"/>
        <v>成新度</v>
      </c>
      <c r="R33" s="714" t="s">
        <v>17</v>
      </c>
      <c r="S33" s="715" t="e">
        <f t="shared" si="12"/>
        <v>#N/A</v>
      </c>
      <c r="T33" s="714" t="s">
        <v>17</v>
      </c>
      <c r="U33" s="715" t="e">
        <f t="shared" si="13"/>
        <v>#N/A</v>
      </c>
      <c r="V33" s="714" t="s">
        <v>17</v>
      </c>
      <c r="W33" s="715" t="e">
        <f t="shared" si="14"/>
        <v>#N/A</v>
      </c>
      <c r="X33" s="1529"/>
      <c r="Y33" s="3421"/>
      <c r="Z33" s="1530" t="str">
        <f t="shared" si="15"/>
        <v>成新度</v>
      </c>
      <c r="AA33" s="1527" t="e">
        <f t="shared" si="3"/>
        <v>#N/A</v>
      </c>
      <c r="AB33" s="1527" t="e">
        <f t="shared" si="4"/>
        <v>#N/A</v>
      </c>
      <c r="AC33" s="152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421"/>
      <c r="Q34" s="1517" t="str">
        <f t="shared" si="11"/>
        <v>物业管理</v>
      </c>
      <c r="R34" s="710" t="s">
        <v>17</v>
      </c>
      <c r="S34" s="711">
        <f t="shared" si="12"/>
        <v>100</v>
      </c>
      <c r="T34" s="710" t="s">
        <v>17</v>
      </c>
      <c r="U34" s="711">
        <f t="shared" si="13"/>
        <v>100</v>
      </c>
      <c r="V34" s="710" t="s">
        <v>17</v>
      </c>
      <c r="W34" s="711">
        <f t="shared" si="14"/>
        <v>100</v>
      </c>
      <c r="X34" s="712"/>
      <c r="Y34" s="3421"/>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421" t="s">
        <v>2384</v>
      </c>
      <c r="Q35" s="1526" t="str">
        <f t="shared" si="11"/>
        <v>市政基础设施</v>
      </c>
      <c r="R35" s="714" t="s">
        <v>17</v>
      </c>
      <c r="S35" s="715">
        <f t="shared" si="12"/>
        <v>100</v>
      </c>
      <c r="T35" s="714" t="s">
        <v>17</v>
      </c>
      <c r="U35" s="715">
        <f t="shared" si="13"/>
        <v>100</v>
      </c>
      <c r="V35" s="714" t="s">
        <v>17</v>
      </c>
      <c r="W35" s="715">
        <f t="shared" si="14"/>
        <v>100</v>
      </c>
      <c r="X35" s="1529"/>
      <c r="Y35" s="3421" t="s">
        <v>2384</v>
      </c>
      <c r="Z35" s="1530" t="str">
        <f t="shared" si="15"/>
        <v>市政基础设施</v>
      </c>
      <c r="AA35" s="1527">
        <f t="shared" si="3"/>
        <v>1</v>
      </c>
      <c r="AB35" s="1527">
        <f t="shared" si="4"/>
        <v>1</v>
      </c>
      <c r="AC35" s="152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421"/>
      <c r="Q36" s="1526" t="str">
        <f t="shared" si="11"/>
        <v>内部装修</v>
      </c>
      <c r="R36" s="714" t="s">
        <v>17</v>
      </c>
      <c r="S36" s="715">
        <f t="shared" si="12"/>
        <v>100</v>
      </c>
      <c r="T36" s="714" t="s">
        <v>17</v>
      </c>
      <c r="U36" s="715">
        <f t="shared" si="13"/>
        <v>100</v>
      </c>
      <c r="V36" s="714" t="s">
        <v>17</v>
      </c>
      <c r="W36" s="715">
        <f t="shared" si="14"/>
        <v>100</v>
      </c>
      <c r="X36" s="1529"/>
      <c r="Y36" s="3421"/>
      <c r="Z36" s="1530" t="str">
        <f t="shared" si="15"/>
        <v>内部装修</v>
      </c>
      <c r="AA36" s="1527">
        <f t="shared" si="3"/>
        <v>1</v>
      </c>
      <c r="AB36" s="1527">
        <f t="shared" si="4"/>
        <v>1</v>
      </c>
      <c r="AC36" s="152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421"/>
      <c r="Q37" s="1526" t="str">
        <f t="shared" si="11"/>
        <v>内部装修状况</v>
      </c>
      <c r="R37" s="714" t="s">
        <v>17</v>
      </c>
      <c r="S37" s="715">
        <f t="shared" si="12"/>
        <v>100</v>
      </c>
      <c r="T37" s="714" t="s">
        <v>17</v>
      </c>
      <c r="U37" s="715">
        <f t="shared" si="13"/>
        <v>100</v>
      </c>
      <c r="V37" s="714" t="s">
        <v>17</v>
      </c>
      <c r="W37" s="715">
        <f t="shared" si="14"/>
        <v>100</v>
      </c>
      <c r="X37" s="1529"/>
      <c r="Y37" s="3421"/>
      <c r="Z37" s="1530" t="str">
        <f t="shared" si="15"/>
        <v>内部装修状况</v>
      </c>
      <c r="AA37" s="1527">
        <f t="shared" si="3"/>
        <v>1</v>
      </c>
      <c r="AB37" s="1527">
        <f t="shared" si="4"/>
        <v>1</v>
      </c>
      <c r="AC37" s="1527">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421"/>
      <c r="Q38" s="716">
        <f t="shared" si="11"/>
        <v>111</v>
      </c>
      <c r="R38" s="717" t="s">
        <v>17</v>
      </c>
      <c r="S38" s="718">
        <f t="shared" si="12"/>
        <v>100</v>
      </c>
      <c r="T38" s="717" t="s">
        <v>17</v>
      </c>
      <c r="U38" s="718">
        <f t="shared" si="13"/>
        <v>100</v>
      </c>
      <c r="V38" s="717" t="s">
        <v>17</v>
      </c>
      <c r="W38" s="718">
        <f t="shared" si="14"/>
        <v>100</v>
      </c>
      <c r="X38" s="719"/>
      <c r="Y38" s="3421"/>
      <c r="Z38" s="720">
        <f t="shared" si="15"/>
        <v>111</v>
      </c>
      <c r="AA38" s="1527">
        <f t="shared" si="3"/>
        <v>1</v>
      </c>
      <c r="AB38" s="1527">
        <f t="shared" si="4"/>
        <v>1</v>
      </c>
      <c r="AC38" s="1527">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421"/>
      <c r="Q39" s="1526">
        <f t="shared" si="11"/>
        <v>111</v>
      </c>
      <c r="R39" s="714" t="s">
        <v>17</v>
      </c>
      <c r="S39" s="715">
        <f t="shared" si="12"/>
        <v>100</v>
      </c>
      <c r="T39" s="714" t="s">
        <v>17</v>
      </c>
      <c r="U39" s="715">
        <f t="shared" si="13"/>
        <v>100</v>
      </c>
      <c r="V39" s="714" t="s">
        <v>17</v>
      </c>
      <c r="W39" s="715">
        <f t="shared" si="14"/>
        <v>100</v>
      </c>
      <c r="X39" s="1529"/>
      <c r="Y39" s="3421"/>
      <c r="Z39" s="1530">
        <f t="shared" si="15"/>
        <v>111</v>
      </c>
      <c r="AA39" s="1527">
        <f t="shared" si="3"/>
        <v>1</v>
      </c>
      <c r="AB39" s="1527">
        <f t="shared" si="4"/>
        <v>1</v>
      </c>
      <c r="AC39" s="1527">
        <f t="shared" si="5"/>
        <v>1</v>
      </c>
    </row>
    <row r="40" spans="1:29" ht="15.75" thickBot="1">
      <c r="A40" s="437"/>
      <c r="B40" s="207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464"/>
      <c r="Q40" s="1526">
        <f t="shared" si="11"/>
        <v>111</v>
      </c>
      <c r="R40" s="714" t="s">
        <v>17</v>
      </c>
      <c r="S40" s="715">
        <f t="shared" si="12"/>
        <v>100</v>
      </c>
      <c r="T40" s="714" t="s">
        <v>17</v>
      </c>
      <c r="U40" s="715">
        <f t="shared" si="13"/>
        <v>100</v>
      </c>
      <c r="V40" s="714" t="s">
        <v>17</v>
      </c>
      <c r="W40" s="715">
        <f t="shared" si="14"/>
        <v>100</v>
      </c>
      <c r="X40" s="1529"/>
      <c r="Y40" s="3464"/>
      <c r="Z40" s="1530">
        <f t="shared" si="15"/>
        <v>111</v>
      </c>
      <c r="AA40" s="1527">
        <f t="shared" si="3"/>
        <v>1</v>
      </c>
      <c r="AB40" s="1527">
        <f t="shared" si="4"/>
        <v>1</v>
      </c>
      <c r="AC40" s="1527">
        <f t="shared" si="5"/>
        <v>1</v>
      </c>
    </row>
    <row r="41" spans="1:29" ht="15">
      <c r="A41" s="438" t="s">
        <v>2396</v>
      </c>
      <c r="B41" s="439"/>
      <c r="C41" s="1308" t="s">
        <v>1</v>
      </c>
      <c r="D41" s="1309"/>
      <c r="E41" s="1310"/>
      <c r="F41" s="1311"/>
      <c r="G41" s="1312"/>
      <c r="H41" s="1313"/>
      <c r="I41" s="1310"/>
      <c r="J41" s="1313"/>
      <c r="K41" s="723"/>
      <c r="L41" s="1050"/>
      <c r="M41" s="1051"/>
      <c r="N41" s="1038"/>
      <c r="O41" s="1051"/>
      <c r="P41" s="3403" t="str">
        <f>A41</f>
        <v>成交单价（元/平方米）</v>
      </c>
      <c r="Q41" s="3403"/>
      <c r="R41" s="3465">
        <f>E41</f>
        <v>0</v>
      </c>
      <c r="S41" s="3465"/>
      <c r="T41" s="3465">
        <f>G41</f>
        <v>0</v>
      </c>
      <c r="U41" s="3465"/>
      <c r="V41" s="3465">
        <f>I41</f>
        <v>0</v>
      </c>
      <c r="W41" s="3465"/>
      <c r="X41" s="699"/>
      <c r="Y41" s="721"/>
      <c r="Z41" s="699"/>
      <c r="AA41" s="699"/>
      <c r="AB41" s="699"/>
      <c r="AC41" s="699"/>
    </row>
    <row r="42" spans="1:29" ht="15.75" thickBot="1">
      <c r="A42" s="445" t="s">
        <v>2488</v>
      </c>
      <c r="B42" s="446"/>
      <c r="C42" s="1314" t="e">
        <f>R43</f>
        <v>#DIV/0!</v>
      </c>
      <c r="D42" s="2527" t="s">
        <v>2872</v>
      </c>
      <c r="E42" s="1315" t="e">
        <f>R42</f>
        <v>#DIV/0!</v>
      </c>
      <c r="F42" s="2528"/>
      <c r="G42" s="1314" t="e">
        <f>T42</f>
        <v>#DIV/0!</v>
      </c>
      <c r="H42" s="2528"/>
      <c r="I42" s="1315" t="e">
        <f>V42</f>
        <v>#DIV/0!</v>
      </c>
      <c r="J42" s="2528"/>
      <c r="K42" s="2530">
        <f>F42+H42+J42</f>
        <v>0</v>
      </c>
      <c r="L42" s="1050"/>
      <c r="M42" s="1051"/>
      <c r="N42" s="1038"/>
      <c r="O42" s="1051"/>
      <c r="P42" s="3403" t="str">
        <f>A42</f>
        <v>比较价值（元/平方米）</v>
      </c>
      <c r="Q42" s="3403"/>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699"/>
      <c r="Y42" s="699"/>
      <c r="Z42" s="699"/>
      <c r="AA42" s="699"/>
      <c r="AB42" s="699"/>
      <c r="AC42" s="699"/>
    </row>
    <row r="43" spans="1:29" ht="15.75" thickBot="1">
      <c r="A43" s="449" t="s">
        <v>2489</v>
      </c>
      <c r="B43" s="450"/>
      <c r="C43" s="1317" t="e">
        <f>R43</f>
        <v>#DIV/0!</v>
      </c>
      <c r="D43" s="1317"/>
      <c r="E43" s="1317"/>
      <c r="F43" s="1317"/>
      <c r="G43" s="1317"/>
      <c r="H43" s="1317"/>
      <c r="I43" s="1317"/>
      <c r="J43" s="1317"/>
      <c r="K43" s="724"/>
      <c r="L43" s="1050"/>
      <c r="M43" s="1051"/>
      <c r="N43" s="1051"/>
      <c r="O43" s="1051"/>
      <c r="P43" s="3423" t="str">
        <f>A43</f>
        <v>估价对象XX用房的比较价值（楼面单价，元/平方米）</v>
      </c>
      <c r="Q43" s="3424"/>
      <c r="R43" s="3466" t="e">
        <f>IF(F1="售价",ROUND(IF(D42="简单平均",AVERAGE(R42:V42),R42*F42+T42*H42+V42*J42),0),ROUND(IF(D42="简单平均",AVERAGE(R42:V42),R42*F42+T42*H42+V42*J42),1))</f>
        <v>#DIV/0!</v>
      </c>
      <c r="S43" s="3466"/>
      <c r="T43" s="3466"/>
      <c r="U43" s="3466"/>
      <c r="V43" s="3466"/>
      <c r="W43" s="3466"/>
      <c r="X43" s="699"/>
      <c r="Y43" s="699"/>
      <c r="Z43" s="699"/>
      <c r="AA43" s="699"/>
      <c r="AB43" s="699"/>
      <c r="AC43" s="699"/>
    </row>
    <row r="44" spans="1:29">
      <c r="A44" s="2941"/>
      <c r="B44" s="2941"/>
      <c r="C44" s="2941"/>
      <c r="D44" s="2941"/>
      <c r="E44" s="2941"/>
      <c r="F44" s="2941"/>
      <c r="G44" s="2945"/>
      <c r="H44" s="2941"/>
      <c r="I44" s="2941"/>
      <c r="J44" s="2941"/>
      <c r="K44" s="2946"/>
      <c r="L44" s="1014"/>
      <c r="M44" s="1051"/>
      <c r="N44" s="1051"/>
      <c r="O44" s="1051"/>
    </row>
    <row r="45" spans="1:29">
      <c r="A45" s="2941"/>
      <c r="B45" s="2941"/>
      <c r="C45" s="2941"/>
      <c r="D45" s="2941"/>
      <c r="E45" s="2941"/>
      <c r="F45" s="2941"/>
      <c r="G45" s="2941"/>
      <c r="H45" s="2941"/>
      <c r="I45" s="2941"/>
      <c r="J45" s="2941"/>
      <c r="K45" s="2946"/>
      <c r="L45" s="1014"/>
      <c r="M45" s="1051"/>
      <c r="N45" s="1051"/>
      <c r="O45" s="1051"/>
    </row>
    <row r="46" spans="1:29" ht="13.5" customHeight="1">
      <c r="A46" s="2941"/>
      <c r="B46" s="294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4"/>
      <c r="M46" s="1051"/>
      <c r="N46" s="1051"/>
      <c r="O46" s="1051"/>
    </row>
    <row r="47" spans="1:29" ht="13.5" customHeight="1">
      <c r="A47" s="2941"/>
      <c r="B47" s="294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4"/>
      <c r="M47" s="1051"/>
      <c r="N47" s="1051"/>
      <c r="O47" s="1051"/>
    </row>
    <row r="48" spans="1:29" s="459" customFormat="1" ht="13.5" customHeight="1">
      <c r="A48" s="2944"/>
      <c r="B48" s="294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4"/>
      <c r="M48" s="1052"/>
      <c r="N48" s="1052"/>
      <c r="O48" s="1052"/>
    </row>
    <row r="49" spans="1:17" s="459" customFormat="1">
      <c r="A49" s="2944"/>
      <c r="B49" s="2947"/>
      <c r="C49" s="2948"/>
      <c r="D49" s="2944"/>
      <c r="E49" s="2944"/>
      <c r="F49" s="2944"/>
      <c r="G49" s="2944"/>
      <c r="H49" s="2944"/>
      <c r="I49" s="2944"/>
      <c r="J49" s="2944"/>
      <c r="K49" s="2949"/>
      <c r="L49" s="1054"/>
      <c r="M49" s="1052"/>
      <c r="N49" s="1052"/>
      <c r="O49" s="1052"/>
    </row>
    <row r="50" spans="1:17">
      <c r="A50" s="2941"/>
      <c r="B50" s="2947"/>
      <c r="C50" s="2948"/>
      <c r="D50" s="2941"/>
      <c r="E50" s="2941"/>
      <c r="F50" s="2941"/>
      <c r="G50" s="2941"/>
      <c r="H50" s="2941"/>
      <c r="I50" s="2941"/>
      <c r="J50" s="2941"/>
      <c r="K50" s="2946"/>
      <c r="L50" s="1014"/>
      <c r="M50" s="1051"/>
      <c r="N50" s="1051"/>
      <c r="O50" s="1051"/>
    </row>
    <row r="51" spans="1:17" ht="21.75" thickBot="1">
      <c r="A51" s="703" t="s">
        <v>2493</v>
      </c>
      <c r="B51" s="699"/>
      <c r="C51" s="704"/>
      <c r="D51" s="704"/>
      <c r="E51" s="704"/>
      <c r="F51" s="705"/>
      <c r="G51" s="705"/>
      <c r="H51" s="704"/>
      <c r="I51" s="704"/>
      <c r="J51" s="704"/>
      <c r="K51" s="1065"/>
      <c r="L51" s="1066"/>
      <c r="M51" s="1064"/>
      <c r="N51" s="1064"/>
      <c r="O51" s="1064"/>
      <c r="P51" s="460"/>
      <c r="Q51" s="461"/>
    </row>
    <row r="52" spans="1:17" s="465" customFormat="1" ht="15">
      <c r="A52" s="462" t="s">
        <v>2367</v>
      </c>
      <c r="B52" s="463"/>
      <c r="C52" s="1337" t="str">
        <f>YEAR(C7)&amp;"-"&amp;MONTH(C7)</f>
        <v>2021-11</v>
      </c>
      <c r="D52" s="1338">
        <f>EDATE(C52,-1)</f>
        <v>44470</v>
      </c>
      <c r="E52" s="1338">
        <f t="shared" ref="E52:O52" si="16">EDATE(D52,-1)</f>
        <v>44440</v>
      </c>
      <c r="F52" s="1338">
        <f t="shared" si="16"/>
        <v>44409</v>
      </c>
      <c r="G52" s="1338">
        <f t="shared" si="16"/>
        <v>44378</v>
      </c>
      <c r="H52" s="1338">
        <f t="shared" si="16"/>
        <v>44348</v>
      </c>
      <c r="I52" s="1338">
        <f t="shared" si="16"/>
        <v>44317</v>
      </c>
      <c r="J52" s="1338">
        <f t="shared" si="16"/>
        <v>44287</v>
      </c>
      <c r="K52" s="1338">
        <f t="shared" si="16"/>
        <v>44256</v>
      </c>
      <c r="L52" s="1338">
        <f t="shared" si="16"/>
        <v>44228</v>
      </c>
      <c r="M52" s="1338">
        <f t="shared" si="16"/>
        <v>44197</v>
      </c>
      <c r="N52" s="1338">
        <f t="shared" si="16"/>
        <v>44166</v>
      </c>
      <c r="O52" s="1338">
        <f t="shared" si="16"/>
        <v>44136</v>
      </c>
      <c r="P52" s="464"/>
    </row>
    <row r="53" spans="1:17" s="113" customFormat="1" ht="15">
      <c r="A53" s="466"/>
      <c r="B53" s="467"/>
      <c r="C53" s="1336">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6"/>
      <c r="O54" s="2987"/>
      <c r="P54" s="461"/>
      <c r="Q54" s="461"/>
    </row>
    <row r="55" spans="1:17" s="113" customFormat="1" ht="15">
      <c r="A55" s="478" t="s">
        <v>2369</v>
      </c>
      <c r="B55" s="467"/>
      <c r="C55" s="479" t="s">
        <v>2471</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2407</v>
      </c>
      <c r="B57" s="485" t="s">
        <v>2373</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83"/>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3"/>
      <c r="B87" s="526"/>
      <c r="C87" s="527"/>
      <c r="D87" s="527"/>
      <c r="E87" s="527"/>
      <c r="F87" s="527"/>
      <c r="G87" s="548"/>
      <c r="H87" s="548"/>
      <c r="I87" s="548"/>
      <c r="J87" s="548"/>
      <c r="K87" s="548"/>
      <c r="L87" s="548"/>
      <c r="M87" s="549"/>
      <c r="N87" s="1058"/>
      <c r="O87" s="1058"/>
      <c r="P87" s="45"/>
      <c r="Q87" s="461"/>
    </row>
    <row r="88" spans="1:17">
      <c r="A88" s="484" t="s">
        <v>2382</v>
      </c>
      <c r="B88" s="485" t="s">
        <v>2431</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2433</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2435</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2436</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2437</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2439</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3"/>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2526</v>
      </c>
      <c r="B1" s="1382"/>
      <c r="C1" s="1383" t="s">
        <v>2349</v>
      </c>
      <c r="D1" s="1384"/>
      <c r="E1" s="1385"/>
      <c r="F1" s="2054"/>
      <c r="G1" s="1386" t="s">
        <v>2462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8" customFormat="1" ht="28.5" customHeight="1" thickTop="1">
      <c r="A2" s="1380" t="s">
        <v>2146</v>
      </c>
      <c r="B2" s="1318" t="e">
        <f ca="1">IF(C2="——",IF(B37="元/平方米",ROUND(C39*D3/10000,0),ROUND(F3*C39/10000,0)),IF(B37="元/平方米",ROUND(C39*D3/10000,0),ROUND(F3*C39/10000,0))-D2)</f>
        <v>#DIV/0!</v>
      </c>
      <c r="C2" s="2056"/>
      <c r="D2" s="1031" t="e">
        <f ca="1">SUMIF(INDIRECT("'"&amp;F2&amp;"'"&amp;"!A:A"),"承租人权益价值",INDIRECT("'"&amp;F2&amp;"'"&amp;"!c:c"))</f>
        <v>#REF!</v>
      </c>
      <c r="E2" s="2057" t="s">
        <v>2147</v>
      </c>
      <c r="F2" s="2058"/>
      <c r="G2" s="1032"/>
      <c r="H2" s="1032"/>
      <c r="I2" s="1032"/>
      <c r="J2" s="1032"/>
      <c r="K2" s="1034"/>
      <c r="L2" s="2950"/>
      <c r="M2" s="2951"/>
      <c r="N2" s="2951"/>
      <c r="O2" s="2951"/>
      <c r="P2" s="1319"/>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2"/>
      <c r="H3" s="1032"/>
      <c r="I3" s="1032"/>
      <c r="J3" s="1032"/>
      <c r="K3" s="1034"/>
      <c r="L3" s="2950"/>
      <c r="M3" s="2951"/>
      <c r="N3" s="2951"/>
      <c r="O3" s="2951"/>
      <c r="P3" s="1319"/>
      <c r="Q3" s="708"/>
      <c r="R3" s="708"/>
      <c r="S3" s="708"/>
      <c r="T3" s="708"/>
      <c r="U3" s="708"/>
      <c r="V3" s="708"/>
      <c r="W3" s="708"/>
      <c r="X3" s="708"/>
      <c r="Y3" s="708"/>
      <c r="Z3" s="708"/>
      <c r="AA3" s="708"/>
      <c r="AB3" s="725"/>
      <c r="AC3" s="722"/>
    </row>
    <row r="4" spans="1:29" ht="15">
      <c r="A4" s="361" t="s">
        <v>2464</v>
      </c>
      <c r="B4" s="362"/>
      <c r="C4" s="3404" t="s">
        <v>2465</v>
      </c>
      <c r="D4" s="3405"/>
      <c r="E4" s="3406" t="s">
        <v>2466</v>
      </c>
      <c r="F4" s="3407"/>
      <c r="G4" s="3404" t="s">
        <v>2467</v>
      </c>
      <c r="H4" s="3405"/>
      <c r="I4" s="3404" t="s">
        <v>2468</v>
      </c>
      <c r="J4" s="3405"/>
      <c r="K4" s="567" t="s">
        <v>2469</v>
      </c>
      <c r="L4" s="2931"/>
      <c r="M4" s="2932"/>
      <c r="N4" s="2932"/>
      <c r="O4" s="2932"/>
      <c r="P4" s="3408" t="s">
        <v>2470</v>
      </c>
      <c r="Q4" s="3409"/>
      <c r="R4" s="3391" t="s">
        <v>2466</v>
      </c>
      <c r="S4" s="3392"/>
      <c r="T4" s="3391" t="s">
        <v>2467</v>
      </c>
      <c r="U4" s="3392"/>
      <c r="V4" s="3416" t="s">
        <v>2468</v>
      </c>
      <c r="W4" s="3416"/>
      <c r="X4" s="1529"/>
      <c r="Y4" s="3391" t="s">
        <v>2470</v>
      </c>
      <c r="Z4" s="3392"/>
      <c r="AA4" s="3386" t="s">
        <v>2466</v>
      </c>
      <c r="AB4" s="3387" t="s">
        <v>2467</v>
      </c>
      <c r="AC4" s="3386" t="s">
        <v>2468</v>
      </c>
    </row>
    <row r="5" spans="1:29" ht="15">
      <c r="A5" s="364"/>
      <c r="B5" s="365"/>
      <c r="C5" s="3397" t="s">
        <v>2361</v>
      </c>
      <c r="D5" s="3398"/>
      <c r="E5" s="3395" t="s">
        <v>2362</v>
      </c>
      <c r="F5" s="3396"/>
      <c r="G5" s="3397" t="s">
        <v>2363</v>
      </c>
      <c r="H5" s="3398"/>
      <c r="I5" s="3397" t="s">
        <v>2364</v>
      </c>
      <c r="J5" s="3398"/>
      <c r="K5" s="567"/>
      <c r="L5" s="2931"/>
      <c r="M5" s="2932"/>
      <c r="N5" s="2932"/>
      <c r="O5" s="2932"/>
      <c r="P5" s="3410"/>
      <c r="Q5" s="3411"/>
      <c r="R5" s="3393"/>
      <c r="S5" s="3394"/>
      <c r="T5" s="3393"/>
      <c r="U5" s="3394"/>
      <c r="V5" s="3416"/>
      <c r="W5" s="3416"/>
      <c r="X5" s="1529"/>
      <c r="Y5" s="3393"/>
      <c r="Z5" s="3394"/>
      <c r="AA5" s="3387"/>
      <c r="AB5" s="3387"/>
      <c r="AC5" s="3387"/>
    </row>
    <row r="6" spans="1:29" ht="15.75" thickBot="1">
      <c r="A6" s="366"/>
      <c r="B6" s="367"/>
      <c r="C6" s="3399" t="s">
        <v>2365</v>
      </c>
      <c r="D6" s="3400"/>
      <c r="E6" s="3401" t="s">
        <v>2365</v>
      </c>
      <c r="F6" s="3402"/>
      <c r="G6" s="3399" t="s">
        <v>2365</v>
      </c>
      <c r="H6" s="3400"/>
      <c r="I6" s="3399" t="s">
        <v>2365</v>
      </c>
      <c r="J6" s="3400"/>
      <c r="K6" s="567" t="s">
        <v>2366</v>
      </c>
      <c r="L6" s="2931"/>
      <c r="M6" s="2932"/>
      <c r="N6" s="2932"/>
      <c r="O6" s="2932"/>
      <c r="P6" s="3412"/>
      <c r="Q6" s="3413"/>
      <c r="R6" s="3393"/>
      <c r="S6" s="3394"/>
      <c r="T6" s="3414"/>
      <c r="U6" s="3415"/>
      <c r="V6" s="3416"/>
      <c r="W6" s="3416"/>
      <c r="X6" s="1529"/>
      <c r="Y6" s="3414"/>
      <c r="Z6" s="3415"/>
      <c r="AA6" s="3388"/>
      <c r="AB6" s="3388"/>
      <c r="AC6" s="3388"/>
    </row>
    <row r="7" spans="1:29" s="113" customFormat="1" ht="15.75" thickBot="1">
      <c r="A7" s="368" t="s">
        <v>2367</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89" t="s">
        <v>2368</v>
      </c>
      <c r="Q7" s="3417"/>
      <c r="R7" s="710" t="s">
        <v>17</v>
      </c>
      <c r="S7" s="711">
        <f t="shared" ref="S7:S14" si="0">F7</f>
        <v>0</v>
      </c>
      <c r="T7" s="710" t="s">
        <v>17</v>
      </c>
      <c r="U7" s="711">
        <f t="shared" ref="U7:U14" si="1">H7</f>
        <v>0</v>
      </c>
      <c r="V7" s="710" t="s">
        <v>17</v>
      </c>
      <c r="W7" s="711">
        <f t="shared" ref="W7:W14" si="2">J7</f>
        <v>0</v>
      </c>
      <c r="X7" s="712"/>
      <c r="Y7" s="3389" t="s">
        <v>2368</v>
      </c>
      <c r="Z7" s="3390"/>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89" t="s">
        <v>2371</v>
      </c>
      <c r="Q8" s="3390"/>
      <c r="R8" s="710" t="s">
        <v>17</v>
      </c>
      <c r="S8" s="711">
        <f t="shared" si="0"/>
        <v>0</v>
      </c>
      <c r="T8" s="710" t="s">
        <v>17</v>
      </c>
      <c r="U8" s="711">
        <f t="shared" si="1"/>
        <v>0</v>
      </c>
      <c r="V8" s="710" t="s">
        <v>17</v>
      </c>
      <c r="W8" s="711">
        <f t="shared" si="2"/>
        <v>0</v>
      </c>
      <c r="X8" s="712"/>
      <c r="Y8" s="3389" t="s">
        <v>2371</v>
      </c>
      <c r="Z8" s="3390"/>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403" t="s">
        <v>2374</v>
      </c>
      <c r="Q9" s="1517" t="str">
        <f t="shared" ref="Q9:Q14" si="6">B9</f>
        <v>用途</v>
      </c>
      <c r="R9" s="710" t="s">
        <v>17</v>
      </c>
      <c r="S9" s="711">
        <f t="shared" si="0"/>
        <v>100</v>
      </c>
      <c r="T9" s="710" t="s">
        <v>17</v>
      </c>
      <c r="U9" s="711">
        <f t="shared" si="1"/>
        <v>100</v>
      </c>
      <c r="V9" s="710" t="s">
        <v>17</v>
      </c>
      <c r="W9" s="711">
        <f t="shared" si="2"/>
        <v>100</v>
      </c>
      <c r="X9" s="712"/>
      <c r="Y9" s="3362"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403"/>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403"/>
      <c r="Q11" s="1517">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403"/>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403"/>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61" t="s">
        <v>2378</v>
      </c>
      <c r="B14" s="585" t="s">
        <v>2528</v>
      </c>
      <c r="C14" s="2146"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418" t="s">
        <v>2379</v>
      </c>
      <c r="Q14" s="1526" t="str">
        <f t="shared" si="6"/>
        <v>交通便捷度</v>
      </c>
      <c r="R14" s="714" t="s">
        <v>17</v>
      </c>
      <c r="S14" s="715">
        <f t="shared" si="0"/>
        <v>100</v>
      </c>
      <c r="T14" s="714" t="s">
        <v>17</v>
      </c>
      <c r="U14" s="715">
        <f t="shared" si="1"/>
        <v>100</v>
      </c>
      <c r="V14" s="714" t="s">
        <v>17</v>
      </c>
      <c r="W14" s="715">
        <f t="shared" si="2"/>
        <v>100</v>
      </c>
      <c r="X14" s="1529"/>
      <c r="Y14" s="3418" t="s">
        <v>2379</v>
      </c>
      <c r="Z14" s="1530" t="str">
        <f t="shared" si="7"/>
        <v>交通便捷度</v>
      </c>
      <c r="AA14" s="1527">
        <f t="shared" si="3"/>
        <v>1</v>
      </c>
      <c r="AB14" s="1527">
        <f t="shared" si="4"/>
        <v>1</v>
      </c>
      <c r="AC14" s="1527">
        <f t="shared" si="5"/>
        <v>1</v>
      </c>
    </row>
    <row r="15" spans="1:29" ht="15">
      <c r="A15" s="364"/>
      <c r="B15" s="603"/>
      <c r="C15" s="406"/>
      <c r="D15" s="407"/>
      <c r="E15" s="406"/>
      <c r="F15" s="408"/>
      <c r="G15" s="406"/>
      <c r="H15" s="409"/>
      <c r="I15" s="406"/>
      <c r="J15" s="407"/>
      <c r="K15" s="572"/>
      <c r="L15" s="2938"/>
      <c r="M15" s="2932"/>
      <c r="N15" s="2932"/>
      <c r="O15" s="2932"/>
      <c r="P15" s="3419"/>
      <c r="Q15" s="1526"/>
      <c r="R15" s="714"/>
      <c r="S15" s="715"/>
      <c r="T15" s="714"/>
      <c r="U15" s="715"/>
      <c r="V15" s="714"/>
      <c r="W15" s="715"/>
      <c r="X15" s="1529"/>
      <c r="Y15" s="3419"/>
      <c r="Z15" s="1530"/>
      <c r="AA15" s="1527">
        <v>1</v>
      </c>
      <c r="AB15" s="1527">
        <v>1</v>
      </c>
      <c r="AC15" s="1527">
        <v>1</v>
      </c>
    </row>
    <row r="16" spans="1:29" ht="15">
      <c r="A16" s="364"/>
      <c r="B16" s="587" t="s">
        <v>2507</v>
      </c>
      <c r="C16" s="2075"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419"/>
      <c r="Q16" s="1526" t="str">
        <f>B16</f>
        <v>公共配套设施</v>
      </c>
      <c r="R16" s="714" t="s">
        <v>17</v>
      </c>
      <c r="S16" s="715">
        <f>F16</f>
        <v>100</v>
      </c>
      <c r="T16" s="714" t="s">
        <v>17</v>
      </c>
      <c r="U16" s="715">
        <f>H16</f>
        <v>100</v>
      </c>
      <c r="V16" s="714" t="s">
        <v>17</v>
      </c>
      <c r="W16" s="715">
        <f>J16</f>
        <v>100</v>
      </c>
      <c r="X16" s="1529"/>
      <c r="Y16" s="3419"/>
      <c r="Z16" s="1530" t="str">
        <f>Q16</f>
        <v>公共配套设施</v>
      </c>
      <c r="AA16" s="1527">
        <f t="shared" si="3"/>
        <v>1</v>
      </c>
      <c r="AB16" s="1527">
        <f t="shared" si="4"/>
        <v>1</v>
      </c>
      <c r="AC16" s="1527">
        <f t="shared" si="5"/>
        <v>1</v>
      </c>
    </row>
    <row r="17" spans="1:29" ht="15">
      <c r="A17" s="364"/>
      <c r="B17" s="588"/>
      <c r="C17" s="2076"/>
      <c r="D17" s="407"/>
      <c r="E17" s="406"/>
      <c r="F17" s="408"/>
      <c r="G17" s="406"/>
      <c r="H17" s="407"/>
      <c r="I17" s="406"/>
      <c r="J17" s="407"/>
      <c r="K17" s="572"/>
      <c r="L17" s="2938"/>
      <c r="M17" s="2932"/>
      <c r="N17" s="2932"/>
      <c r="O17" s="2932"/>
      <c r="P17" s="3419"/>
      <c r="Q17" s="1526"/>
      <c r="R17" s="714"/>
      <c r="S17" s="715"/>
      <c r="T17" s="714"/>
      <c r="U17" s="715"/>
      <c r="V17" s="714"/>
      <c r="W17" s="715"/>
      <c r="X17" s="1529"/>
      <c r="Y17" s="3419"/>
      <c r="Z17" s="1530"/>
      <c r="AA17" s="1527">
        <v>1</v>
      </c>
      <c r="AB17" s="1527">
        <v>1</v>
      </c>
      <c r="AC17" s="1527">
        <v>1</v>
      </c>
    </row>
    <row r="18" spans="1:29" ht="15">
      <c r="A18" s="364"/>
      <c r="B18" s="589" t="s">
        <v>2508</v>
      </c>
      <c r="C18" s="207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419"/>
      <c r="Q18" s="1526" t="str">
        <f>B18</f>
        <v>基础设施水平</v>
      </c>
      <c r="R18" s="714" t="s">
        <v>17</v>
      </c>
      <c r="S18" s="715">
        <f>F18</f>
        <v>100</v>
      </c>
      <c r="T18" s="714" t="s">
        <v>17</v>
      </c>
      <c r="U18" s="715">
        <f>H18</f>
        <v>100</v>
      </c>
      <c r="V18" s="714" t="s">
        <v>17</v>
      </c>
      <c r="W18" s="715">
        <f>J18</f>
        <v>100</v>
      </c>
      <c r="X18" s="1529"/>
      <c r="Y18" s="3419"/>
      <c r="Z18" s="1530" t="str">
        <f>Q18</f>
        <v>基础设施水平</v>
      </c>
      <c r="AA18" s="1527">
        <f t="shared" ref="AA18" si="8">D18/F18</f>
        <v>1</v>
      </c>
      <c r="AB18" s="1527">
        <f t="shared" ref="AB18" si="9">D18/H18</f>
        <v>1</v>
      </c>
      <c r="AC18" s="1527">
        <f t="shared" ref="AC18" si="10">D18/J18</f>
        <v>1</v>
      </c>
    </row>
    <row r="19" spans="1:29" ht="15">
      <c r="A19" s="364"/>
      <c r="B19" s="589"/>
      <c r="C19" s="2076"/>
      <c r="D19" s="409"/>
      <c r="E19" s="2076"/>
      <c r="F19" s="412"/>
      <c r="G19" s="2076"/>
      <c r="H19" s="407"/>
      <c r="I19" s="406"/>
      <c r="J19" s="407"/>
      <c r="K19" s="1284"/>
      <c r="L19" s="2938"/>
      <c r="M19" s="2932"/>
      <c r="N19" s="2932"/>
      <c r="O19" s="2932"/>
      <c r="P19" s="3419"/>
      <c r="Q19" s="1526"/>
      <c r="R19" s="714"/>
      <c r="S19" s="715"/>
      <c r="T19" s="714"/>
      <c r="U19" s="715"/>
      <c r="V19" s="714"/>
      <c r="W19" s="715"/>
      <c r="X19" s="1529"/>
      <c r="Y19" s="3419"/>
      <c r="Z19" s="1530"/>
      <c r="AA19" s="1527">
        <v>1</v>
      </c>
      <c r="AB19" s="1527">
        <v>1</v>
      </c>
      <c r="AC19" s="1527">
        <v>1</v>
      </c>
    </row>
    <row r="20" spans="1:29" ht="15">
      <c r="A20" s="364"/>
      <c r="B20" s="587" t="s">
        <v>2529</v>
      </c>
      <c r="C20" s="207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419"/>
      <c r="Q20" s="1526" t="str">
        <f>B20</f>
        <v>自然及人文环境</v>
      </c>
      <c r="R20" s="714" t="s">
        <v>17</v>
      </c>
      <c r="S20" s="715">
        <f>F20</f>
        <v>100</v>
      </c>
      <c r="T20" s="714" t="s">
        <v>17</v>
      </c>
      <c r="U20" s="715">
        <f>H20</f>
        <v>100</v>
      </c>
      <c r="V20" s="714" t="s">
        <v>17</v>
      </c>
      <c r="W20" s="715">
        <f>J20</f>
        <v>100</v>
      </c>
      <c r="X20" s="1529"/>
      <c r="Y20" s="3419"/>
      <c r="Z20" s="1530" t="str">
        <f>Q20</f>
        <v>自然及人文环境</v>
      </c>
      <c r="AA20" s="1527">
        <f t="shared" si="3"/>
        <v>1</v>
      </c>
      <c r="AB20" s="1527">
        <f t="shared" si="4"/>
        <v>1</v>
      </c>
      <c r="AC20" s="1527">
        <f t="shared" si="5"/>
        <v>1</v>
      </c>
    </row>
    <row r="21" spans="1:29" ht="15">
      <c r="A21" s="364"/>
      <c r="B21" s="588"/>
      <c r="C21" s="406"/>
      <c r="D21" s="407"/>
      <c r="E21" s="406"/>
      <c r="F21" s="408"/>
      <c r="G21" s="406"/>
      <c r="H21" s="407"/>
      <c r="I21" s="406"/>
      <c r="J21" s="407"/>
      <c r="K21" s="572"/>
      <c r="L21" s="2938"/>
      <c r="M21" s="2932"/>
      <c r="N21" s="2932"/>
      <c r="O21" s="2932"/>
      <c r="P21" s="3419"/>
      <c r="Q21" s="1526"/>
      <c r="R21" s="714"/>
      <c r="S21" s="715"/>
      <c r="T21" s="714"/>
      <c r="U21" s="715"/>
      <c r="V21" s="714"/>
      <c r="W21" s="715"/>
      <c r="X21" s="1529"/>
      <c r="Y21" s="3419"/>
      <c r="Z21" s="1530"/>
      <c r="AA21" s="1527">
        <v>1</v>
      </c>
      <c r="AB21" s="1527">
        <v>1</v>
      </c>
      <c r="AC21" s="152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419"/>
      <c r="Q22" s="1526" t="str">
        <f>B22</f>
        <v>楼层</v>
      </c>
      <c r="R22" s="714" t="s">
        <v>17</v>
      </c>
      <c r="S22" s="715">
        <f>F22</f>
        <v>100</v>
      </c>
      <c r="T22" s="714" t="s">
        <v>17</v>
      </c>
      <c r="U22" s="715">
        <f>H22</f>
        <v>100</v>
      </c>
      <c r="V22" s="714" t="s">
        <v>17</v>
      </c>
      <c r="W22" s="715">
        <f>J22</f>
        <v>100</v>
      </c>
      <c r="X22" s="1529"/>
      <c r="Y22" s="3419"/>
      <c r="Z22" s="1530" t="str">
        <f>Q22</f>
        <v>楼层</v>
      </c>
      <c r="AA22" s="1527">
        <f t="shared" si="3"/>
        <v>1</v>
      </c>
      <c r="AB22" s="1527">
        <f t="shared" si="4"/>
        <v>1</v>
      </c>
      <c r="AC22" s="152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419"/>
      <c r="Q23" s="1526">
        <f>B23</f>
        <v>111</v>
      </c>
      <c r="R23" s="714" t="s">
        <v>17</v>
      </c>
      <c r="S23" s="715">
        <f>F23</f>
        <v>100</v>
      </c>
      <c r="T23" s="714" t="s">
        <v>17</v>
      </c>
      <c r="U23" s="715">
        <f>H23</f>
        <v>100</v>
      </c>
      <c r="V23" s="714" t="s">
        <v>17</v>
      </c>
      <c r="W23" s="715">
        <f>J23</f>
        <v>100</v>
      </c>
      <c r="X23" s="1529"/>
      <c r="Y23" s="3419"/>
      <c r="Z23" s="1530">
        <f>Q23</f>
        <v>111</v>
      </c>
      <c r="AA23" s="1527">
        <f t="shared" si="3"/>
        <v>1</v>
      </c>
      <c r="AB23" s="1527">
        <f t="shared" si="4"/>
        <v>1</v>
      </c>
      <c r="AC23" s="152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419"/>
      <c r="Q24" s="1526">
        <f t="shared" ref="Q24:Q36" si="11">B24</f>
        <v>111</v>
      </c>
      <c r="R24" s="714" t="s">
        <v>17</v>
      </c>
      <c r="S24" s="715">
        <f>F24</f>
        <v>100</v>
      </c>
      <c r="T24" s="714" t="s">
        <v>17</v>
      </c>
      <c r="U24" s="715">
        <f>H24</f>
        <v>100</v>
      </c>
      <c r="V24" s="714" t="s">
        <v>17</v>
      </c>
      <c r="W24" s="715">
        <f>J24</f>
        <v>100</v>
      </c>
      <c r="X24" s="1529"/>
      <c r="Y24" s="3419"/>
      <c r="Z24" s="1530">
        <f>Q24</f>
        <v>111</v>
      </c>
      <c r="AA24" s="1527">
        <f t="shared" si="3"/>
        <v>1</v>
      </c>
      <c r="AB24" s="1527">
        <f t="shared" si="4"/>
        <v>1</v>
      </c>
      <c r="AC24" s="152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419"/>
      <c r="Q25" s="1517">
        <f t="shared" si="11"/>
        <v>111</v>
      </c>
      <c r="R25" s="710" t="s">
        <v>17</v>
      </c>
      <c r="S25" s="711">
        <f>F25</f>
        <v>100</v>
      </c>
      <c r="T25" s="710" t="s">
        <v>17</v>
      </c>
      <c r="U25" s="711">
        <f>H25</f>
        <v>100</v>
      </c>
      <c r="V25" s="710" t="s">
        <v>17</v>
      </c>
      <c r="W25" s="711">
        <f>J25</f>
        <v>100</v>
      </c>
      <c r="X25" s="712"/>
      <c r="Y25" s="3419"/>
      <c r="Z25" s="55">
        <f>Q25</f>
        <v>111</v>
      </c>
      <c r="AA25" s="1527">
        <f>D25/F25</f>
        <v>1</v>
      </c>
      <c r="AB25" s="1527">
        <f>D25/H25</f>
        <v>1</v>
      </c>
      <c r="AC25" s="1527">
        <f>D25/J25</f>
        <v>1</v>
      </c>
    </row>
    <row r="26" spans="1:29" ht="29.25">
      <c r="A26" s="608" t="s">
        <v>2382</v>
      </c>
      <c r="B26" s="66" t="s">
        <v>2531</v>
      </c>
      <c r="C26" s="2147">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20" t="s">
        <v>2384</v>
      </c>
      <c r="Q26" s="1526" t="str">
        <f t="shared" si="11"/>
        <v>配套类型</v>
      </c>
      <c r="R26" s="714" t="s">
        <v>17</v>
      </c>
      <c r="S26" s="715">
        <f t="shared" ref="S26:S36" si="12">F26</f>
        <v>100</v>
      </c>
      <c r="T26" s="714" t="s">
        <v>17</v>
      </c>
      <c r="U26" s="715">
        <f t="shared" ref="U26:U36" si="13">H26</f>
        <v>100</v>
      </c>
      <c r="V26" s="714" t="s">
        <v>17</v>
      </c>
      <c r="W26" s="715">
        <f t="shared" ref="W26:W36" si="14">J26</f>
        <v>100</v>
      </c>
      <c r="X26" s="1529"/>
      <c r="Y26" s="3421" t="s">
        <v>2384</v>
      </c>
      <c r="Z26" s="1530" t="str">
        <f t="shared" ref="Z26:Z36" si="15">Q26</f>
        <v>配套类型</v>
      </c>
      <c r="AA26" s="1527">
        <f t="shared" si="3"/>
        <v>1</v>
      </c>
      <c r="AB26" s="1527">
        <f t="shared" si="4"/>
        <v>1</v>
      </c>
      <c r="AC26" s="152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421"/>
      <c r="Q27" s="716" t="str">
        <f t="shared" si="11"/>
        <v>项目停车位配比</v>
      </c>
      <c r="R27" s="717" t="s">
        <v>17</v>
      </c>
      <c r="S27" s="718">
        <f t="shared" si="12"/>
        <v>100</v>
      </c>
      <c r="T27" s="717" t="s">
        <v>17</v>
      </c>
      <c r="U27" s="718">
        <f t="shared" si="13"/>
        <v>100</v>
      </c>
      <c r="V27" s="717" t="s">
        <v>17</v>
      </c>
      <c r="W27" s="718">
        <f t="shared" si="14"/>
        <v>100</v>
      </c>
      <c r="X27" s="719"/>
      <c r="Y27" s="3421"/>
      <c r="Z27" s="720" t="str">
        <f t="shared" si="15"/>
        <v>项目停车位配比</v>
      </c>
      <c r="AA27" s="1527">
        <f t="shared" si="3"/>
        <v>1</v>
      </c>
      <c r="AB27" s="1527">
        <f t="shared" si="4"/>
        <v>1</v>
      </c>
      <c r="AC27" s="152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421"/>
      <c r="Q28" s="1526" t="str">
        <f t="shared" si="11"/>
        <v>公共部分装修</v>
      </c>
      <c r="R28" s="714" t="s">
        <v>17</v>
      </c>
      <c r="S28" s="715">
        <f t="shared" si="12"/>
        <v>100</v>
      </c>
      <c r="T28" s="714" t="s">
        <v>17</v>
      </c>
      <c r="U28" s="715">
        <f t="shared" si="13"/>
        <v>100</v>
      </c>
      <c r="V28" s="714" t="s">
        <v>17</v>
      </c>
      <c r="W28" s="715">
        <f t="shared" si="14"/>
        <v>100</v>
      </c>
      <c r="X28" s="1529"/>
      <c r="Y28" s="3421"/>
      <c r="Z28" s="1530" t="str">
        <f t="shared" si="15"/>
        <v>公共部分装修</v>
      </c>
      <c r="AA28" s="1527">
        <f t="shared" si="3"/>
        <v>1</v>
      </c>
      <c r="AB28" s="1527">
        <f t="shared" si="4"/>
        <v>1</v>
      </c>
      <c r="AC28" s="152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421"/>
      <c r="Q29" s="1526" t="str">
        <f t="shared" si="11"/>
        <v>成新率</v>
      </c>
      <c r="R29" s="714" t="s">
        <v>17</v>
      </c>
      <c r="S29" s="715" t="e">
        <f t="shared" si="12"/>
        <v>#N/A</v>
      </c>
      <c r="T29" s="714" t="s">
        <v>17</v>
      </c>
      <c r="U29" s="715" t="e">
        <f t="shared" si="13"/>
        <v>#N/A</v>
      </c>
      <c r="V29" s="714" t="s">
        <v>17</v>
      </c>
      <c r="W29" s="715" t="e">
        <f t="shared" si="14"/>
        <v>#N/A</v>
      </c>
      <c r="X29" s="1529"/>
      <c r="Y29" s="3421"/>
      <c r="Z29" s="1530" t="str">
        <f t="shared" si="15"/>
        <v>成新率</v>
      </c>
      <c r="AA29" s="1527" t="e">
        <f t="shared" si="3"/>
        <v>#N/A</v>
      </c>
      <c r="AB29" s="1527" t="e">
        <f t="shared" si="4"/>
        <v>#N/A</v>
      </c>
      <c r="AC29" s="152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421"/>
      <c r="Q30" s="1526" t="str">
        <f t="shared" si="11"/>
        <v>物业等级</v>
      </c>
      <c r="R30" s="714" t="s">
        <v>17</v>
      </c>
      <c r="S30" s="715">
        <f t="shared" si="12"/>
        <v>100</v>
      </c>
      <c r="T30" s="714" t="s">
        <v>17</v>
      </c>
      <c r="U30" s="715">
        <f t="shared" si="13"/>
        <v>100</v>
      </c>
      <c r="V30" s="714" t="s">
        <v>17</v>
      </c>
      <c r="W30" s="715">
        <f t="shared" si="14"/>
        <v>100</v>
      </c>
      <c r="X30" s="1529"/>
      <c r="Y30" s="3421"/>
      <c r="Z30" s="1530" t="str">
        <f t="shared" si="15"/>
        <v>物业等级</v>
      </c>
      <c r="AA30" s="1527">
        <f t="shared" si="3"/>
        <v>1</v>
      </c>
      <c r="AB30" s="1527">
        <f t="shared" si="4"/>
        <v>1</v>
      </c>
      <c r="AC30" s="152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421"/>
      <c r="Q31" s="1517" t="str">
        <f t="shared" si="11"/>
        <v>停车位面积</v>
      </c>
      <c r="R31" s="710" t="s">
        <v>17</v>
      </c>
      <c r="S31" s="711" t="e">
        <f t="shared" si="12"/>
        <v>#N/A</v>
      </c>
      <c r="T31" s="710" t="s">
        <v>17</v>
      </c>
      <c r="U31" s="711" t="e">
        <f t="shared" si="13"/>
        <v>#N/A</v>
      </c>
      <c r="V31" s="710" t="s">
        <v>17</v>
      </c>
      <c r="W31" s="711" t="e">
        <f t="shared" si="14"/>
        <v>#N/A</v>
      </c>
      <c r="X31" s="712"/>
      <c r="Y31" s="3421"/>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421" t="s">
        <v>2384</v>
      </c>
      <c r="Q32" s="1526" t="str">
        <f t="shared" si="11"/>
        <v>车位类型</v>
      </c>
      <c r="R32" s="714" t="s">
        <v>17</v>
      </c>
      <c r="S32" s="715">
        <f t="shared" si="12"/>
        <v>100</v>
      </c>
      <c r="T32" s="714" t="s">
        <v>17</v>
      </c>
      <c r="U32" s="715">
        <f t="shared" si="13"/>
        <v>100</v>
      </c>
      <c r="V32" s="714" t="s">
        <v>17</v>
      </c>
      <c r="W32" s="715">
        <f t="shared" si="14"/>
        <v>100</v>
      </c>
      <c r="X32" s="1529"/>
      <c r="Y32" s="3421" t="s">
        <v>2384</v>
      </c>
      <c r="Z32" s="1530" t="str">
        <f t="shared" si="15"/>
        <v>车位类型</v>
      </c>
      <c r="AA32" s="1527">
        <f t="shared" si="3"/>
        <v>1</v>
      </c>
      <c r="AB32" s="1527">
        <f t="shared" si="4"/>
        <v>1</v>
      </c>
      <c r="AC32" s="152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421"/>
      <c r="Q33" s="1526" t="str">
        <f t="shared" si="11"/>
        <v>是否直接入户</v>
      </c>
      <c r="R33" s="714" t="s">
        <v>17</v>
      </c>
      <c r="S33" s="715">
        <f t="shared" si="12"/>
        <v>100</v>
      </c>
      <c r="T33" s="714" t="s">
        <v>17</v>
      </c>
      <c r="U33" s="715">
        <f t="shared" si="13"/>
        <v>100</v>
      </c>
      <c r="V33" s="714" t="s">
        <v>17</v>
      </c>
      <c r="W33" s="715">
        <f t="shared" si="14"/>
        <v>100</v>
      </c>
      <c r="X33" s="1529"/>
      <c r="Y33" s="3421"/>
      <c r="Z33" s="1530" t="str">
        <f t="shared" si="15"/>
        <v>是否直接入户</v>
      </c>
      <c r="AA33" s="1527">
        <f t="shared" si="3"/>
        <v>1</v>
      </c>
      <c r="AB33" s="1527">
        <f t="shared" si="4"/>
        <v>1</v>
      </c>
      <c r="AC33" s="152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421"/>
      <c r="Q34" s="1526">
        <f t="shared" si="11"/>
        <v>111</v>
      </c>
      <c r="R34" s="714" t="s">
        <v>17</v>
      </c>
      <c r="S34" s="715">
        <f t="shared" si="12"/>
        <v>100</v>
      </c>
      <c r="T34" s="714" t="s">
        <v>17</v>
      </c>
      <c r="U34" s="715">
        <f t="shared" si="13"/>
        <v>100</v>
      </c>
      <c r="V34" s="714" t="s">
        <v>17</v>
      </c>
      <c r="W34" s="715">
        <f t="shared" si="14"/>
        <v>100</v>
      </c>
      <c r="X34" s="1529"/>
      <c r="Y34" s="3421"/>
      <c r="Z34" s="1530">
        <f t="shared" si="15"/>
        <v>111</v>
      </c>
      <c r="AA34" s="1527">
        <f t="shared" si="3"/>
        <v>1</v>
      </c>
      <c r="AB34" s="1527">
        <f t="shared" si="4"/>
        <v>1</v>
      </c>
      <c r="AC34" s="152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421"/>
      <c r="Q35" s="716">
        <f t="shared" si="11"/>
        <v>111</v>
      </c>
      <c r="R35" s="717" t="s">
        <v>17</v>
      </c>
      <c r="S35" s="718">
        <f t="shared" si="12"/>
        <v>100</v>
      </c>
      <c r="T35" s="717" t="s">
        <v>17</v>
      </c>
      <c r="U35" s="718">
        <f t="shared" si="13"/>
        <v>100</v>
      </c>
      <c r="V35" s="717" t="s">
        <v>17</v>
      </c>
      <c r="W35" s="718">
        <f t="shared" si="14"/>
        <v>100</v>
      </c>
      <c r="X35" s="719"/>
      <c r="Y35" s="3421"/>
      <c r="Z35" s="720">
        <f t="shared" si="15"/>
        <v>111</v>
      </c>
      <c r="AA35" s="1527">
        <f t="shared" si="3"/>
        <v>1</v>
      </c>
      <c r="AB35" s="1527">
        <f t="shared" si="4"/>
        <v>1</v>
      </c>
      <c r="AC35" s="152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421"/>
      <c r="Q36" s="1526">
        <f t="shared" si="11"/>
        <v>111</v>
      </c>
      <c r="R36" s="714" t="s">
        <v>17</v>
      </c>
      <c r="S36" s="715">
        <f t="shared" si="12"/>
        <v>100</v>
      </c>
      <c r="T36" s="714" t="s">
        <v>17</v>
      </c>
      <c r="U36" s="715">
        <f t="shared" si="13"/>
        <v>100</v>
      </c>
      <c r="V36" s="714" t="s">
        <v>17</v>
      </c>
      <c r="W36" s="715">
        <f t="shared" si="14"/>
        <v>100</v>
      </c>
      <c r="X36" s="1529"/>
      <c r="Y36" s="3421"/>
      <c r="Z36" s="1530">
        <f t="shared" si="15"/>
        <v>111</v>
      </c>
      <c r="AA36" s="1527">
        <f t="shared" si="3"/>
        <v>1</v>
      </c>
      <c r="AB36" s="1527">
        <f t="shared" si="4"/>
        <v>1</v>
      </c>
      <c r="AC36" s="1527">
        <f t="shared" si="5"/>
        <v>1</v>
      </c>
    </row>
    <row r="37" spans="1:29" ht="15">
      <c r="A37" s="438" t="s">
        <v>2539</v>
      </c>
      <c r="B37" s="2148" t="s">
        <v>2540</v>
      </c>
      <c r="C37" s="1308" t="s">
        <v>1</v>
      </c>
      <c r="D37" s="1309"/>
      <c r="E37" s="1310"/>
      <c r="F37" s="1311"/>
      <c r="G37" s="1312"/>
      <c r="H37" s="1313"/>
      <c r="I37" s="1310"/>
      <c r="J37" s="1313"/>
      <c r="K37" s="576"/>
      <c r="L37" s="2940"/>
      <c r="M37" s="2941"/>
      <c r="N37" s="2932"/>
      <c r="O37" s="2941"/>
      <c r="P37" s="3403" t="str">
        <f>A37</f>
        <v>成交单价</v>
      </c>
      <c r="Q37" s="3403"/>
      <c r="R37" s="3465">
        <f>E37</f>
        <v>0</v>
      </c>
      <c r="S37" s="3465"/>
      <c r="T37" s="3465">
        <f>G37</f>
        <v>0</v>
      </c>
      <c r="U37" s="3465"/>
      <c r="V37" s="3465">
        <f>I37</f>
        <v>0</v>
      </c>
      <c r="W37" s="3465"/>
      <c r="X37" s="699"/>
      <c r="Y37" s="721"/>
      <c r="Z37" s="699"/>
      <c r="AA37" s="699"/>
      <c r="AB37" s="699"/>
      <c r="AC37" s="699"/>
    </row>
    <row r="38" spans="1:29" ht="15.75" thickBot="1">
      <c r="A38" s="445" t="s">
        <v>2541</v>
      </c>
      <c r="B38" s="446" t="str">
        <f>B37</f>
        <v>元/车位</v>
      </c>
      <c r="C38" s="1314" t="e">
        <f>R39</f>
        <v>#DIV/0!</v>
      </c>
      <c r="D38" s="2527" t="s">
        <v>2872</v>
      </c>
      <c r="E38" s="1315" t="e">
        <f>R38</f>
        <v>#DIV/0!</v>
      </c>
      <c r="F38" s="2528"/>
      <c r="G38" s="1314" t="e">
        <f>T38</f>
        <v>#DIV/0!</v>
      </c>
      <c r="H38" s="2528"/>
      <c r="I38" s="1315" t="e">
        <f>V38</f>
        <v>#DIV/0!</v>
      </c>
      <c r="J38" s="2528"/>
      <c r="K38" s="2530">
        <f>F38+H38+J38</f>
        <v>0</v>
      </c>
      <c r="L38" s="2940"/>
      <c r="M38" s="2941"/>
      <c r="N38" s="2941"/>
      <c r="O38" s="2941"/>
      <c r="P38" s="3403" t="str">
        <f>A38</f>
        <v>比较价值（元/平方米）</v>
      </c>
      <c r="Q38" s="3403"/>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699"/>
      <c r="Y38" s="699"/>
      <c r="Z38" s="699"/>
      <c r="AA38" s="699"/>
      <c r="AB38" s="699"/>
      <c r="AC38" s="699"/>
    </row>
    <row r="39" spans="1:29" ht="15.75" thickBot="1">
      <c r="A39" s="449" t="s">
        <v>2542</v>
      </c>
      <c r="B39" s="450"/>
      <c r="C39" s="1317" t="e">
        <f>R39</f>
        <v>#DIV/0!</v>
      </c>
      <c r="D39" s="1317"/>
      <c r="E39" s="1317"/>
      <c r="F39" s="1317"/>
      <c r="G39" s="1317"/>
      <c r="H39" s="1317"/>
      <c r="I39" s="1317"/>
      <c r="J39" s="1317"/>
      <c r="K39" s="577"/>
      <c r="L39" s="2940"/>
      <c r="M39" s="2941"/>
      <c r="N39" s="2941"/>
      <c r="O39" s="2941"/>
      <c r="P39" s="3423" t="str">
        <f>A39</f>
        <v>估价对象XX用房的比较价值（楼面单价，元/平方米）</v>
      </c>
      <c r="Q39" s="3424"/>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0" t="s">
        <v>2546</v>
      </c>
      <c r="B47" s="1051"/>
      <c r="C47" s="1064"/>
      <c r="D47" s="1064"/>
      <c r="E47" s="1064"/>
      <c r="F47" s="1321"/>
      <c r="G47" s="1321"/>
      <c r="H47" s="1064"/>
      <c r="I47" s="1064"/>
      <c r="J47" s="1064"/>
      <c r="K47" s="1065"/>
      <c r="L47" s="1066"/>
      <c r="M47" s="1064"/>
      <c r="N47" s="2985"/>
      <c r="O47" s="2985"/>
      <c r="P47" s="2974"/>
      <c r="Q47" s="2955"/>
      <c r="R47" s="2941"/>
      <c r="S47" s="2941"/>
      <c r="T47" s="2941"/>
      <c r="U47" s="2941"/>
      <c r="V47" s="2941"/>
      <c r="W47" s="2941"/>
      <c r="X47" s="2941"/>
      <c r="Y47" s="2941"/>
      <c r="Z47" s="2941"/>
      <c r="AA47" s="2941"/>
      <c r="AB47" s="2941"/>
      <c r="AC47" s="2941"/>
    </row>
    <row r="48" spans="1:29" s="465" customFormat="1" ht="15">
      <c r="A48" s="462" t="s">
        <v>2547</v>
      </c>
      <c r="B48" s="463"/>
      <c r="C48" s="1337" t="str">
        <f>YEAR(C7)&amp;"-"&amp;MONTH(C7)</f>
        <v>2021-11</v>
      </c>
      <c r="D48" s="1338">
        <f>EDATE(C48,-1)</f>
        <v>44470</v>
      </c>
      <c r="E48" s="1338">
        <f t="shared" ref="E48:O48" si="16">EDATE(D48,-1)</f>
        <v>44440</v>
      </c>
      <c r="F48" s="1338">
        <f t="shared" si="16"/>
        <v>44409</v>
      </c>
      <c r="G48" s="1338">
        <f t="shared" si="16"/>
        <v>44378</v>
      </c>
      <c r="H48" s="1338">
        <f t="shared" si="16"/>
        <v>44348</v>
      </c>
      <c r="I48" s="1338">
        <f t="shared" si="16"/>
        <v>44317</v>
      </c>
      <c r="J48" s="1338">
        <f t="shared" si="16"/>
        <v>44287</v>
      </c>
      <c r="K48" s="1338">
        <f t="shared" si="16"/>
        <v>44256</v>
      </c>
      <c r="L48" s="1338">
        <f t="shared" si="16"/>
        <v>44228</v>
      </c>
      <c r="M48" s="1338">
        <f t="shared" si="16"/>
        <v>44197</v>
      </c>
      <c r="N48" s="1338">
        <f t="shared" si="16"/>
        <v>44166</v>
      </c>
      <c r="O48" s="1338">
        <f t="shared" si="16"/>
        <v>44136</v>
      </c>
      <c r="P48" s="2975"/>
      <c r="Q48" s="2957"/>
      <c r="R48" s="2957"/>
      <c r="S48" s="2957"/>
      <c r="T48" s="2957"/>
      <c r="U48" s="2957"/>
      <c r="V48" s="2957"/>
      <c r="W48" s="2957"/>
      <c r="X48" s="2957"/>
      <c r="Y48" s="2957"/>
      <c r="Z48" s="2957"/>
      <c r="AA48" s="2957"/>
      <c r="AB48" s="2957"/>
      <c r="AC48" s="2957"/>
    </row>
    <row r="49" spans="1:29" s="113" customFormat="1" ht="15">
      <c r="A49" s="466"/>
      <c r="B49" s="467"/>
      <c r="C49" s="1331">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2404</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2369</v>
      </c>
      <c r="B51" s="467"/>
      <c r="C51" s="479" t="s">
        <v>2471</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2407</v>
      </c>
      <c r="B53" s="485" t="s">
        <v>2373</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2422</v>
      </c>
      <c r="C65" s="535" t="s">
        <v>2416</v>
      </c>
      <c r="D65" s="535" t="s">
        <v>2417</v>
      </c>
      <c r="E65" s="535" t="s">
        <v>2418</v>
      </c>
      <c r="F65" s="535" t="s">
        <v>2419</v>
      </c>
      <c r="G65" s="535" t="s">
        <v>2420</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2508</v>
      </c>
      <c r="C67" s="616" t="s">
        <v>2494</v>
      </c>
      <c r="D67" s="616" t="s">
        <v>2495</v>
      </c>
      <c r="E67" s="616" t="s">
        <v>2496</v>
      </c>
      <c r="F67" s="616" t="s">
        <v>2497</v>
      </c>
      <c r="G67" s="616" t="s">
        <v>2498</v>
      </c>
      <c r="H67" s="496"/>
      <c r="I67" s="496"/>
      <c r="J67" s="496"/>
      <c r="K67" s="496"/>
      <c r="L67" s="496"/>
      <c r="M67" s="1283"/>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2428</v>
      </c>
      <c r="C69" s="535" t="s">
        <v>2416</v>
      </c>
      <c r="D69" s="535" t="s">
        <v>2417</v>
      </c>
      <c r="E69" s="535" t="s">
        <v>2418</v>
      </c>
      <c r="F69" s="535" t="s">
        <v>2419</v>
      </c>
      <c r="G69" s="535" t="s">
        <v>2420</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2548</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2382</v>
      </c>
      <c r="B79" s="485" t="s">
        <v>2549</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2550</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2435</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2552</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2554</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2555</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2526</v>
      </c>
      <c r="B1" s="1382"/>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IF(C2="——",ROUND(C37*D3/10000,0),ROUND(C37*D3/10000,0)-D2)</f>
        <v>#DIV/0!</v>
      </c>
      <c r="C2" s="2056"/>
      <c r="D2" s="1031" t="e">
        <f ca="1">SUMIF(INDIRECT("'"&amp;F2&amp;"'"&amp;"!A:A"),"承租人权益价值",INDIRECT("'"&amp;F2&amp;"'"&amp;"!c:c"))</f>
        <v>#REF!</v>
      </c>
      <c r="E2" s="2057" t="s">
        <v>2147</v>
      </c>
      <c r="F2" s="2058"/>
      <c r="G2" s="1032"/>
      <c r="H2" s="1032"/>
      <c r="I2" s="1032"/>
      <c r="J2" s="1032"/>
      <c r="K2" s="1034"/>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29" ht="15">
      <c r="A4" s="361" t="s">
        <v>2464</v>
      </c>
      <c r="B4" s="362"/>
      <c r="C4" s="3404" t="s">
        <v>2465</v>
      </c>
      <c r="D4" s="3405"/>
      <c r="E4" s="3406" t="s">
        <v>2466</v>
      </c>
      <c r="F4" s="3407"/>
      <c r="G4" s="3404" t="s">
        <v>2467</v>
      </c>
      <c r="H4" s="3405"/>
      <c r="I4" s="3404" t="s">
        <v>2468</v>
      </c>
      <c r="J4" s="3405"/>
      <c r="K4" s="567" t="s">
        <v>2469</v>
      </c>
      <c r="L4" s="2931"/>
      <c r="M4" s="2932"/>
      <c r="N4" s="2932"/>
      <c r="O4" s="2932"/>
      <c r="P4" s="3408" t="s">
        <v>2470</v>
      </c>
      <c r="Q4" s="3409"/>
      <c r="R4" s="3391" t="s">
        <v>2466</v>
      </c>
      <c r="S4" s="3392"/>
      <c r="T4" s="3391" t="s">
        <v>2467</v>
      </c>
      <c r="U4" s="3392"/>
      <c r="V4" s="3416" t="s">
        <v>2468</v>
      </c>
      <c r="W4" s="3416"/>
      <c r="X4" s="1529"/>
      <c r="Y4" s="3391" t="s">
        <v>2470</v>
      </c>
      <c r="Z4" s="3392"/>
      <c r="AA4" s="3386" t="s">
        <v>2466</v>
      </c>
      <c r="AB4" s="3387" t="s">
        <v>2467</v>
      </c>
      <c r="AC4" s="3386" t="s">
        <v>2468</v>
      </c>
    </row>
    <row r="5" spans="1:29" ht="15">
      <c r="A5" s="364"/>
      <c r="B5" s="365"/>
      <c r="C5" s="3397" t="s">
        <v>2361</v>
      </c>
      <c r="D5" s="3398"/>
      <c r="E5" s="3395" t="s">
        <v>2362</v>
      </c>
      <c r="F5" s="3396"/>
      <c r="G5" s="3397" t="s">
        <v>2363</v>
      </c>
      <c r="H5" s="3398"/>
      <c r="I5" s="3397" t="s">
        <v>2364</v>
      </c>
      <c r="J5" s="3398"/>
      <c r="K5" s="567"/>
      <c r="L5" s="2931"/>
      <c r="M5" s="2932"/>
      <c r="N5" s="2932"/>
      <c r="O5" s="2932"/>
      <c r="P5" s="3410"/>
      <c r="Q5" s="3411"/>
      <c r="R5" s="3393"/>
      <c r="S5" s="3394"/>
      <c r="T5" s="3393"/>
      <c r="U5" s="3394"/>
      <c r="V5" s="3416"/>
      <c r="W5" s="3416"/>
      <c r="X5" s="1529"/>
      <c r="Y5" s="3393"/>
      <c r="Z5" s="3394"/>
      <c r="AA5" s="3387"/>
      <c r="AB5" s="3387"/>
      <c r="AC5" s="3387"/>
    </row>
    <row r="6" spans="1:29" ht="15.75" thickBot="1">
      <c r="A6" s="366"/>
      <c r="B6" s="367"/>
      <c r="C6" s="3399" t="s">
        <v>2365</v>
      </c>
      <c r="D6" s="3400"/>
      <c r="E6" s="3401" t="s">
        <v>2365</v>
      </c>
      <c r="F6" s="3402"/>
      <c r="G6" s="3399" t="s">
        <v>2365</v>
      </c>
      <c r="H6" s="3400"/>
      <c r="I6" s="3399" t="s">
        <v>2365</v>
      </c>
      <c r="J6" s="3400"/>
      <c r="K6" s="567" t="s">
        <v>2366</v>
      </c>
      <c r="L6" s="2931"/>
      <c r="M6" s="2932"/>
      <c r="N6" s="2932"/>
      <c r="O6" s="2932"/>
      <c r="P6" s="3412"/>
      <c r="Q6" s="3413"/>
      <c r="R6" s="3393"/>
      <c r="S6" s="3394"/>
      <c r="T6" s="3414"/>
      <c r="U6" s="3415"/>
      <c r="V6" s="3416"/>
      <c r="W6" s="3416"/>
      <c r="X6" s="1529"/>
      <c r="Y6" s="3414"/>
      <c r="Z6" s="3415"/>
      <c r="AA6" s="3388"/>
      <c r="AB6" s="3388"/>
      <c r="AC6" s="3388"/>
    </row>
    <row r="7" spans="1:29" s="113" customFormat="1" ht="15.75" thickBot="1">
      <c r="A7" s="368" t="s">
        <v>2367</v>
      </c>
      <c r="B7" s="369"/>
      <c r="C7" s="370">
        <f>'数据-取费表'!B2</f>
        <v>44523</v>
      </c>
      <c r="D7" s="371">
        <v>100</v>
      </c>
      <c r="E7" s="372"/>
      <c r="F7" s="373">
        <f>SUMIF(46:46,YEAR(E7)&amp;"-"&amp;MONTH(E7),47:47)</f>
        <v>0</v>
      </c>
      <c r="G7" s="2149"/>
      <c r="H7" s="371">
        <f>SUMIF(46:46,YEAR(G7)&amp;"-"&amp;MONTH(G7),47:47)</f>
        <v>0</v>
      </c>
      <c r="I7" s="372"/>
      <c r="J7" s="371">
        <f>SUMIF(46:46,YEAR(I7)&amp;"-"&amp;MONTH(I7),47:47)</f>
        <v>0</v>
      </c>
      <c r="K7" s="568"/>
      <c r="L7" s="2933"/>
      <c r="M7" s="2934"/>
      <c r="N7" s="2934"/>
      <c r="O7" s="2934"/>
      <c r="P7" s="3389" t="s">
        <v>2368</v>
      </c>
      <c r="Q7" s="3417"/>
      <c r="R7" s="710" t="s">
        <v>17</v>
      </c>
      <c r="S7" s="711">
        <f t="shared" ref="S7:S14" si="0">F7</f>
        <v>0</v>
      </c>
      <c r="T7" s="710" t="s">
        <v>17</v>
      </c>
      <c r="U7" s="711">
        <f t="shared" ref="U7:U14" si="1">H7</f>
        <v>0</v>
      </c>
      <c r="V7" s="710" t="s">
        <v>17</v>
      </c>
      <c r="W7" s="711">
        <f t="shared" ref="W7:W14" si="2">J7</f>
        <v>0</v>
      </c>
      <c r="X7" s="712"/>
      <c r="Y7" s="3389" t="s">
        <v>2368</v>
      </c>
      <c r="Z7" s="3390"/>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89" t="s">
        <v>2371</v>
      </c>
      <c r="Q8" s="3390"/>
      <c r="R8" s="710" t="s">
        <v>17</v>
      </c>
      <c r="S8" s="711">
        <f t="shared" si="0"/>
        <v>0</v>
      </c>
      <c r="T8" s="710" t="s">
        <v>17</v>
      </c>
      <c r="U8" s="711">
        <f t="shared" si="1"/>
        <v>0</v>
      </c>
      <c r="V8" s="710" t="s">
        <v>17</v>
      </c>
      <c r="W8" s="711">
        <f t="shared" si="2"/>
        <v>0</v>
      </c>
      <c r="X8" s="712"/>
      <c r="Y8" s="3389" t="s">
        <v>2371</v>
      </c>
      <c r="Z8" s="3390"/>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403" t="s">
        <v>2374</v>
      </c>
      <c r="Q9" s="1517" t="str">
        <f t="shared" ref="Q9:Q14" si="6">B9</f>
        <v>用途</v>
      </c>
      <c r="R9" s="710" t="s">
        <v>17</v>
      </c>
      <c r="S9" s="711">
        <f t="shared" si="0"/>
        <v>100</v>
      </c>
      <c r="T9" s="710" t="s">
        <v>17</v>
      </c>
      <c r="U9" s="711">
        <f t="shared" si="1"/>
        <v>100</v>
      </c>
      <c r="V9" s="710" t="s">
        <v>17</v>
      </c>
      <c r="W9" s="711">
        <f t="shared" si="2"/>
        <v>100</v>
      </c>
      <c r="X9" s="712"/>
      <c r="Y9" s="3362"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403"/>
      <c r="Q10" s="1517"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68">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403"/>
      <c r="Q11" s="1517">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68">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403"/>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68">
        <v>111</v>
      </c>
      <c r="C13" s="393"/>
      <c r="D13" s="394">
        <v>100</v>
      </c>
      <c r="E13" s="428"/>
      <c r="F13" s="384">
        <f>SUMIF(59:59,E13,60:60)-SUMIF(59:59,C13,60:60)+100</f>
        <v>100</v>
      </c>
      <c r="G13" s="2150"/>
      <c r="H13" s="397">
        <f>SUMIF(59:59,G13,60:60)-SUMIF(59:59,C13,60:60)+100</f>
        <v>100</v>
      </c>
      <c r="I13" s="428"/>
      <c r="J13" s="394">
        <f>SUMIF(59:59,I13,60:60)-SUMIF(59:59,C13,60:60)+100</f>
        <v>100</v>
      </c>
      <c r="K13" s="570"/>
      <c r="L13" s="2938"/>
      <c r="M13" s="2932"/>
      <c r="N13" s="2932"/>
      <c r="O13" s="2990"/>
      <c r="P13" s="3403"/>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
      <c r="A14" s="399" t="s">
        <v>2378</v>
      </c>
      <c r="B14" s="65" t="s">
        <v>2528</v>
      </c>
      <c r="C14" s="2146"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418" t="s">
        <v>2379</v>
      </c>
      <c r="Q14" s="1526" t="str">
        <f t="shared" si="6"/>
        <v>交通便捷度</v>
      </c>
      <c r="R14" s="714" t="s">
        <v>17</v>
      </c>
      <c r="S14" s="715">
        <f t="shared" si="0"/>
        <v>100</v>
      </c>
      <c r="T14" s="714" t="s">
        <v>17</v>
      </c>
      <c r="U14" s="715">
        <f t="shared" si="1"/>
        <v>100</v>
      </c>
      <c r="V14" s="714" t="s">
        <v>17</v>
      </c>
      <c r="W14" s="715">
        <f t="shared" si="2"/>
        <v>100</v>
      </c>
      <c r="X14" s="1529"/>
      <c r="Y14" s="3418" t="s">
        <v>2379</v>
      </c>
      <c r="Z14" s="1530" t="str">
        <f t="shared" si="7"/>
        <v>交通便捷度</v>
      </c>
      <c r="AA14" s="1527">
        <f t="shared" si="3"/>
        <v>1</v>
      </c>
      <c r="AB14" s="1527">
        <f t="shared" si="4"/>
        <v>1</v>
      </c>
      <c r="AC14" s="1527">
        <f t="shared" si="5"/>
        <v>1</v>
      </c>
    </row>
    <row r="15" spans="1:29" ht="15">
      <c r="A15" s="387"/>
      <c r="B15" s="405"/>
      <c r="C15" s="406"/>
      <c r="D15" s="407"/>
      <c r="E15" s="406"/>
      <c r="F15" s="408"/>
      <c r="G15" s="406"/>
      <c r="H15" s="409"/>
      <c r="I15" s="406"/>
      <c r="J15" s="407"/>
      <c r="K15" s="572"/>
      <c r="L15" s="2938"/>
      <c r="M15" s="2932"/>
      <c r="N15" s="2932"/>
      <c r="O15" s="2990"/>
      <c r="P15" s="3419"/>
      <c r="Q15" s="1526"/>
      <c r="R15" s="714"/>
      <c r="S15" s="715"/>
      <c r="T15" s="714"/>
      <c r="U15" s="715"/>
      <c r="V15" s="714"/>
      <c r="W15" s="715"/>
      <c r="X15" s="1529"/>
      <c r="Y15" s="3419"/>
      <c r="Z15" s="1530"/>
      <c r="AA15" s="1527">
        <v>1</v>
      </c>
      <c r="AB15" s="1527">
        <v>1</v>
      </c>
      <c r="AC15" s="1527">
        <v>1</v>
      </c>
    </row>
    <row r="16" spans="1:29" ht="15">
      <c r="A16" s="387"/>
      <c r="B16" s="410" t="s">
        <v>2507</v>
      </c>
      <c r="C16" s="2075"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419"/>
      <c r="Q16" s="1526" t="str">
        <f>B16</f>
        <v>公共配套设施</v>
      </c>
      <c r="R16" s="714" t="s">
        <v>17</v>
      </c>
      <c r="S16" s="715">
        <f>F16</f>
        <v>100</v>
      </c>
      <c r="T16" s="714" t="s">
        <v>17</v>
      </c>
      <c r="U16" s="715">
        <f>H16</f>
        <v>100</v>
      </c>
      <c r="V16" s="714" t="s">
        <v>17</v>
      </c>
      <c r="W16" s="715">
        <f>J16</f>
        <v>100</v>
      </c>
      <c r="X16" s="1529"/>
      <c r="Y16" s="3419"/>
      <c r="Z16" s="1530" t="str">
        <f>Q16</f>
        <v>公共配套设施</v>
      </c>
      <c r="AA16" s="1527">
        <f t="shared" si="3"/>
        <v>1</v>
      </c>
      <c r="AB16" s="1527">
        <f t="shared" si="4"/>
        <v>1</v>
      </c>
      <c r="AC16" s="1527">
        <f t="shared" si="5"/>
        <v>1</v>
      </c>
    </row>
    <row r="17" spans="1:29" ht="15">
      <c r="A17" s="387"/>
      <c r="B17" s="415"/>
      <c r="C17" s="2076"/>
      <c r="D17" s="407"/>
      <c r="E17" s="406"/>
      <c r="F17" s="408"/>
      <c r="G17" s="406"/>
      <c r="H17" s="407"/>
      <c r="I17" s="406"/>
      <c r="J17" s="407"/>
      <c r="K17" s="572"/>
      <c r="L17" s="2938"/>
      <c r="M17" s="2932"/>
      <c r="N17" s="2932"/>
      <c r="O17" s="2990"/>
      <c r="P17" s="3419"/>
      <c r="Q17" s="1526"/>
      <c r="R17" s="714"/>
      <c r="S17" s="715"/>
      <c r="T17" s="714"/>
      <c r="U17" s="715"/>
      <c r="V17" s="714"/>
      <c r="W17" s="715"/>
      <c r="X17" s="1529"/>
      <c r="Y17" s="3419"/>
      <c r="Z17" s="1530"/>
      <c r="AA17" s="1527">
        <v>1</v>
      </c>
      <c r="AB17" s="1527">
        <v>1</v>
      </c>
      <c r="AC17" s="1527">
        <v>1</v>
      </c>
    </row>
    <row r="18" spans="1:29" ht="15">
      <c r="A18" s="387"/>
      <c r="B18" s="1285" t="s">
        <v>2508</v>
      </c>
      <c r="C18" s="207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419"/>
      <c r="Q18" s="1526" t="str">
        <f>B18</f>
        <v>基础设施水平</v>
      </c>
      <c r="R18" s="714" t="s">
        <v>17</v>
      </c>
      <c r="S18" s="715">
        <f>F18</f>
        <v>100</v>
      </c>
      <c r="T18" s="714" t="s">
        <v>17</v>
      </c>
      <c r="U18" s="715">
        <f>H18</f>
        <v>100</v>
      </c>
      <c r="V18" s="714" t="s">
        <v>17</v>
      </c>
      <c r="W18" s="715">
        <f>J18</f>
        <v>100</v>
      </c>
      <c r="X18" s="1529"/>
      <c r="Y18" s="3419"/>
      <c r="Z18" s="1530" t="str">
        <f>Q18</f>
        <v>基础设施水平</v>
      </c>
      <c r="AA18" s="1527">
        <f t="shared" ref="AA18" si="8">D18/F18</f>
        <v>1</v>
      </c>
      <c r="AB18" s="1527">
        <f t="shared" ref="AB18" si="9">D18/H18</f>
        <v>1</v>
      </c>
      <c r="AC18" s="1527">
        <f t="shared" ref="AC18" si="10">D18/J18</f>
        <v>1</v>
      </c>
    </row>
    <row r="19" spans="1:29" ht="15">
      <c r="A19" s="387"/>
      <c r="B19" s="1285"/>
      <c r="C19" s="2076"/>
      <c r="D19" s="409"/>
      <c r="E19" s="2076"/>
      <c r="F19" s="412"/>
      <c r="G19" s="2076"/>
      <c r="H19" s="407"/>
      <c r="I19" s="406"/>
      <c r="J19" s="407"/>
      <c r="K19" s="1284"/>
      <c r="L19" s="2938"/>
      <c r="M19" s="2932"/>
      <c r="N19" s="2932"/>
      <c r="O19" s="2990"/>
      <c r="P19" s="3419"/>
      <c r="Q19" s="1526"/>
      <c r="R19" s="714"/>
      <c r="S19" s="715"/>
      <c r="T19" s="714"/>
      <c r="U19" s="715"/>
      <c r="V19" s="714"/>
      <c r="W19" s="715"/>
      <c r="X19" s="1529"/>
      <c r="Y19" s="3419"/>
      <c r="Z19" s="1530"/>
      <c r="AA19" s="1527">
        <v>1</v>
      </c>
      <c r="AB19" s="1527">
        <v>1</v>
      </c>
      <c r="AC19" s="1527">
        <v>1</v>
      </c>
    </row>
    <row r="20" spans="1:29" ht="15">
      <c r="A20" s="387"/>
      <c r="B20" s="410" t="s">
        <v>2529</v>
      </c>
      <c r="C20" s="207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419"/>
      <c r="Q20" s="1526" t="str">
        <f>B20</f>
        <v>自然及人文环境</v>
      </c>
      <c r="R20" s="714" t="s">
        <v>17</v>
      </c>
      <c r="S20" s="715">
        <f>F20</f>
        <v>100</v>
      </c>
      <c r="T20" s="714" t="s">
        <v>17</v>
      </c>
      <c r="U20" s="715">
        <f>H20</f>
        <v>100</v>
      </c>
      <c r="V20" s="714" t="s">
        <v>17</v>
      </c>
      <c r="W20" s="715">
        <f>J20</f>
        <v>100</v>
      </c>
      <c r="X20" s="1529"/>
      <c r="Y20" s="3419"/>
      <c r="Z20" s="1530" t="str">
        <f>Q20</f>
        <v>自然及人文环境</v>
      </c>
      <c r="AA20" s="1527">
        <f t="shared" si="3"/>
        <v>1</v>
      </c>
      <c r="AB20" s="1527">
        <f t="shared" si="4"/>
        <v>1</v>
      </c>
      <c r="AC20" s="1527">
        <f t="shared" si="5"/>
        <v>1</v>
      </c>
    </row>
    <row r="21" spans="1:29" ht="15">
      <c r="A21" s="387"/>
      <c r="B21" s="415"/>
      <c r="C21" s="406"/>
      <c r="D21" s="407"/>
      <c r="E21" s="406"/>
      <c r="F21" s="408"/>
      <c r="G21" s="406"/>
      <c r="H21" s="407"/>
      <c r="I21" s="406"/>
      <c r="J21" s="407"/>
      <c r="K21" s="572"/>
      <c r="L21" s="2938"/>
      <c r="M21" s="2932"/>
      <c r="N21" s="2932"/>
      <c r="O21" s="2990"/>
      <c r="P21" s="3419"/>
      <c r="Q21" s="1526"/>
      <c r="R21" s="714"/>
      <c r="S21" s="715"/>
      <c r="T21" s="714"/>
      <c r="U21" s="715"/>
      <c r="V21" s="714"/>
      <c r="W21" s="715"/>
      <c r="X21" s="1529"/>
      <c r="Y21" s="3419"/>
      <c r="Z21" s="1530"/>
      <c r="AA21" s="1527">
        <v>1</v>
      </c>
      <c r="AB21" s="1527">
        <v>1</v>
      </c>
      <c r="AC21" s="152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419"/>
      <c r="Q22" s="1526" t="str">
        <f>B22</f>
        <v>楼层</v>
      </c>
      <c r="R22" s="714" t="s">
        <v>17</v>
      </c>
      <c r="S22" s="715">
        <f>F22</f>
        <v>100</v>
      </c>
      <c r="T22" s="714" t="s">
        <v>17</v>
      </c>
      <c r="U22" s="715">
        <f>H22</f>
        <v>100</v>
      </c>
      <c r="V22" s="714" t="s">
        <v>17</v>
      </c>
      <c r="W22" s="715">
        <f>J22</f>
        <v>100</v>
      </c>
      <c r="X22" s="1529"/>
      <c r="Y22" s="3419"/>
      <c r="Z22" s="1530" t="str">
        <f>Q22</f>
        <v>楼层</v>
      </c>
      <c r="AA22" s="1527">
        <f t="shared" si="3"/>
        <v>1</v>
      </c>
      <c r="AB22" s="1527">
        <f t="shared" si="4"/>
        <v>1</v>
      </c>
      <c r="AC22" s="1527">
        <f t="shared" si="5"/>
        <v>1</v>
      </c>
    </row>
    <row r="23" spans="1:29" ht="15">
      <c r="A23" s="364"/>
      <c r="B23" s="2068">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419"/>
      <c r="Q23" s="1526">
        <f>B23</f>
        <v>111</v>
      </c>
      <c r="R23" s="714" t="s">
        <v>17</v>
      </c>
      <c r="S23" s="715">
        <f>F23</f>
        <v>100</v>
      </c>
      <c r="T23" s="714" t="s">
        <v>17</v>
      </c>
      <c r="U23" s="715">
        <f>H23</f>
        <v>100</v>
      </c>
      <c r="V23" s="714" t="s">
        <v>17</v>
      </c>
      <c r="W23" s="715">
        <f>J23</f>
        <v>100</v>
      </c>
      <c r="X23" s="1529"/>
      <c r="Y23" s="3419"/>
      <c r="Z23" s="1530">
        <f>Q23</f>
        <v>111</v>
      </c>
      <c r="AA23" s="1527">
        <f t="shared" si="3"/>
        <v>1</v>
      </c>
      <c r="AB23" s="1527">
        <f t="shared" si="4"/>
        <v>1</v>
      </c>
      <c r="AC23" s="1527">
        <f t="shared" si="5"/>
        <v>1</v>
      </c>
    </row>
    <row r="24" spans="1:29" ht="15">
      <c r="A24" s="387"/>
      <c r="B24" s="2068">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419"/>
      <c r="Q24" s="1526">
        <f t="shared" ref="Q24:Q34" si="11">B24</f>
        <v>111</v>
      </c>
      <c r="R24" s="714" t="s">
        <v>17</v>
      </c>
      <c r="S24" s="715">
        <f>F24</f>
        <v>100</v>
      </c>
      <c r="T24" s="714" t="s">
        <v>17</v>
      </c>
      <c r="U24" s="715">
        <f>H24</f>
        <v>100</v>
      </c>
      <c r="V24" s="714" t="s">
        <v>17</v>
      </c>
      <c r="W24" s="715">
        <f>J24</f>
        <v>100</v>
      </c>
      <c r="X24" s="1529"/>
      <c r="Y24" s="3419"/>
      <c r="Z24" s="1530">
        <f>Q24</f>
        <v>111</v>
      </c>
      <c r="AA24" s="1527">
        <f t="shared" si="3"/>
        <v>1</v>
      </c>
      <c r="AB24" s="1527">
        <f t="shared" si="4"/>
        <v>1</v>
      </c>
      <c r="AC24" s="1527">
        <f t="shared" si="5"/>
        <v>1</v>
      </c>
    </row>
    <row r="25" spans="1:29" s="113" customFormat="1" ht="15.75" thickBot="1">
      <c r="A25" s="390"/>
      <c r="B25" s="2068">
        <v>111</v>
      </c>
      <c r="C25" s="2151"/>
      <c r="D25" s="621">
        <v>100</v>
      </c>
      <c r="E25" s="2151"/>
      <c r="F25" s="622">
        <f>SUMIF(75:75,E25,76:76)-SUMIF(75:75,C25,76:76)+100</f>
        <v>100</v>
      </c>
      <c r="G25" s="2151"/>
      <c r="H25" s="621">
        <f>SUMIF(75:75,G25,76:76)-SUMIF(75:75,C25,76:76)+100</f>
        <v>100</v>
      </c>
      <c r="I25" s="2151"/>
      <c r="J25" s="621">
        <f>SUMIF(75:75,I25,76:76)-SUMIF(75:75,C25,76:76)+100</f>
        <v>100</v>
      </c>
      <c r="K25" s="570"/>
      <c r="L25" s="2933"/>
      <c r="M25" s="2934"/>
      <c r="N25" s="2934"/>
      <c r="O25" s="2988"/>
      <c r="P25" s="3419"/>
      <c r="Q25" s="1517">
        <f t="shared" si="11"/>
        <v>111</v>
      </c>
      <c r="R25" s="710" t="s">
        <v>17</v>
      </c>
      <c r="S25" s="711">
        <f>F25</f>
        <v>100</v>
      </c>
      <c r="T25" s="710" t="s">
        <v>17</v>
      </c>
      <c r="U25" s="711">
        <f>H25</f>
        <v>100</v>
      </c>
      <c r="V25" s="710" t="s">
        <v>17</v>
      </c>
      <c r="W25" s="711">
        <f>J25</f>
        <v>100</v>
      </c>
      <c r="X25" s="712"/>
      <c r="Y25" s="3419"/>
      <c r="Z25" s="55">
        <f>Q25</f>
        <v>111</v>
      </c>
      <c r="AA25" s="1527">
        <f>D25/F25</f>
        <v>1</v>
      </c>
      <c r="AB25" s="1527">
        <f>D25/H25</f>
        <v>1</v>
      </c>
      <c r="AC25" s="1527">
        <f>D25/J25</f>
        <v>1</v>
      </c>
    </row>
    <row r="26" spans="1:29" ht="29.25">
      <c r="A26" s="425" t="s">
        <v>2382</v>
      </c>
      <c r="B26" s="67" t="s">
        <v>2533</v>
      </c>
      <c r="C26" s="2142"/>
      <c r="D26" s="426">
        <v>100</v>
      </c>
      <c r="E26" s="2142"/>
      <c r="F26" s="623">
        <f>SUMIF(77:77,E26,78:78)-SUMIF(77:77,C26,78:78)+100</f>
        <v>100</v>
      </c>
      <c r="G26" s="2142"/>
      <c r="H26" s="426">
        <f>SUMIF(77:77,G26,78:78)-SUMIF(77:77,C26,78:78)+100</f>
        <v>100</v>
      </c>
      <c r="I26" s="2142"/>
      <c r="J26" s="426">
        <f>SUMIF(77:77,I26,78:78)-SUMIF(77:77,C26,78:78)+100</f>
        <v>100</v>
      </c>
      <c r="K26" s="569"/>
      <c r="L26" s="2938"/>
      <c r="M26" s="2932"/>
      <c r="N26" s="2932"/>
      <c r="O26" s="2990"/>
      <c r="P26" s="3420" t="s">
        <v>2384</v>
      </c>
      <c r="Q26" s="1526" t="str">
        <f t="shared" si="11"/>
        <v>公共部分装修</v>
      </c>
      <c r="R26" s="714" t="s">
        <v>17</v>
      </c>
      <c r="S26" s="715">
        <f t="shared" ref="S26:S34" si="12">F26</f>
        <v>100</v>
      </c>
      <c r="T26" s="714" t="s">
        <v>17</v>
      </c>
      <c r="U26" s="715">
        <f t="shared" ref="U26:U34" si="13">H26</f>
        <v>100</v>
      </c>
      <c r="V26" s="714" t="s">
        <v>17</v>
      </c>
      <c r="W26" s="715">
        <f t="shared" ref="W26:W34" si="14">J26</f>
        <v>100</v>
      </c>
      <c r="X26" s="1529"/>
      <c r="Y26" s="3421" t="s">
        <v>2384</v>
      </c>
      <c r="Z26" s="1530" t="str">
        <f t="shared" ref="Z26:Z34" si="15">Q26</f>
        <v>公共部分装修</v>
      </c>
      <c r="AA26" s="1527">
        <f t="shared" si="3"/>
        <v>1</v>
      </c>
      <c r="AB26" s="1527">
        <f t="shared" si="4"/>
        <v>1</v>
      </c>
      <c r="AC26" s="152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421"/>
      <c r="Q27" s="716" t="str">
        <f t="shared" si="11"/>
        <v>成新率</v>
      </c>
      <c r="R27" s="717" t="s">
        <v>17</v>
      </c>
      <c r="S27" s="718" t="e">
        <f t="shared" si="12"/>
        <v>#N/A</v>
      </c>
      <c r="T27" s="717" t="s">
        <v>17</v>
      </c>
      <c r="U27" s="718" t="e">
        <f t="shared" si="13"/>
        <v>#N/A</v>
      </c>
      <c r="V27" s="717" t="s">
        <v>17</v>
      </c>
      <c r="W27" s="718" t="e">
        <f t="shared" si="14"/>
        <v>#N/A</v>
      </c>
      <c r="X27" s="719"/>
      <c r="Y27" s="3421"/>
      <c r="Z27" s="720" t="str">
        <f t="shared" si="15"/>
        <v>成新率</v>
      </c>
      <c r="AA27" s="1527" t="e">
        <f t="shared" si="3"/>
        <v>#N/A</v>
      </c>
      <c r="AB27" s="1527" t="e">
        <f t="shared" si="4"/>
        <v>#N/A</v>
      </c>
      <c r="AC27" s="152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421"/>
      <c r="Q28" s="1526" t="str">
        <f t="shared" si="11"/>
        <v>物业等级</v>
      </c>
      <c r="R28" s="714" t="s">
        <v>17</v>
      </c>
      <c r="S28" s="715">
        <f t="shared" si="12"/>
        <v>100</v>
      </c>
      <c r="T28" s="714" t="s">
        <v>17</v>
      </c>
      <c r="U28" s="715">
        <f t="shared" si="13"/>
        <v>100</v>
      </c>
      <c r="V28" s="714" t="s">
        <v>17</v>
      </c>
      <c r="W28" s="715">
        <f t="shared" si="14"/>
        <v>100</v>
      </c>
      <c r="X28" s="1529"/>
      <c r="Y28" s="3421"/>
      <c r="Z28" s="1530" t="str">
        <f t="shared" si="15"/>
        <v>物业等级</v>
      </c>
      <c r="AA28" s="1527">
        <f t="shared" si="3"/>
        <v>1</v>
      </c>
      <c r="AB28" s="1527">
        <f t="shared" si="4"/>
        <v>1</v>
      </c>
      <c r="AC28" s="152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421"/>
      <c r="Q29" s="1526" t="str">
        <f t="shared" si="11"/>
        <v>有无电梯</v>
      </c>
      <c r="R29" s="714" t="s">
        <v>17</v>
      </c>
      <c r="S29" s="715">
        <f t="shared" si="12"/>
        <v>100</v>
      </c>
      <c r="T29" s="714" t="s">
        <v>17</v>
      </c>
      <c r="U29" s="715">
        <f t="shared" si="13"/>
        <v>100</v>
      </c>
      <c r="V29" s="714" t="s">
        <v>17</v>
      </c>
      <c r="W29" s="715">
        <f t="shared" si="14"/>
        <v>100</v>
      </c>
      <c r="X29" s="1529"/>
      <c r="Y29" s="3421"/>
      <c r="Z29" s="1530" t="str">
        <f t="shared" si="15"/>
        <v>有无电梯</v>
      </c>
      <c r="AA29" s="1527">
        <f t="shared" si="3"/>
        <v>1</v>
      </c>
      <c r="AB29" s="1527">
        <f t="shared" si="4"/>
        <v>1</v>
      </c>
      <c r="AC29" s="152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421"/>
      <c r="Q30" s="1526" t="str">
        <f t="shared" si="11"/>
        <v>建筑面积</v>
      </c>
      <c r="R30" s="714" t="s">
        <v>17</v>
      </c>
      <c r="S30" s="715" t="e">
        <f t="shared" si="12"/>
        <v>#N/A</v>
      </c>
      <c r="T30" s="714" t="s">
        <v>17</v>
      </c>
      <c r="U30" s="715" t="e">
        <f t="shared" si="13"/>
        <v>#N/A</v>
      </c>
      <c r="V30" s="714" t="s">
        <v>17</v>
      </c>
      <c r="W30" s="715" t="e">
        <f t="shared" si="14"/>
        <v>#N/A</v>
      </c>
      <c r="X30" s="1529"/>
      <c r="Y30" s="3421"/>
      <c r="Z30" s="1530" t="str">
        <f t="shared" si="15"/>
        <v>建筑面积</v>
      </c>
      <c r="AA30" s="1527" t="e">
        <f t="shared" si="3"/>
        <v>#N/A</v>
      </c>
      <c r="AB30" s="1527" t="e">
        <f t="shared" si="4"/>
        <v>#N/A</v>
      </c>
      <c r="AC30" s="152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421"/>
      <c r="Q31" s="1517" t="str">
        <f t="shared" si="11"/>
        <v>是否封闭</v>
      </c>
      <c r="R31" s="710" t="s">
        <v>17</v>
      </c>
      <c r="S31" s="711">
        <f t="shared" si="12"/>
        <v>100</v>
      </c>
      <c r="T31" s="710" t="s">
        <v>17</v>
      </c>
      <c r="U31" s="711">
        <f t="shared" si="13"/>
        <v>100</v>
      </c>
      <c r="V31" s="710" t="s">
        <v>17</v>
      </c>
      <c r="W31" s="711">
        <f t="shared" si="14"/>
        <v>100</v>
      </c>
      <c r="X31" s="712"/>
      <c r="Y31" s="3421"/>
      <c r="Z31" s="55" t="str">
        <f t="shared" si="15"/>
        <v>是否封闭</v>
      </c>
      <c r="AA31" s="713">
        <f t="shared" si="3"/>
        <v>1</v>
      </c>
      <c r="AB31" s="713">
        <f t="shared" si="4"/>
        <v>1</v>
      </c>
      <c r="AC31" s="713">
        <f t="shared" si="5"/>
        <v>1</v>
      </c>
    </row>
    <row r="32" spans="1:29" ht="15">
      <c r="A32" s="431"/>
      <c r="B32" s="2068">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421" t="s">
        <v>2384</v>
      </c>
      <c r="Q32" s="1526">
        <f t="shared" si="11"/>
        <v>111</v>
      </c>
      <c r="R32" s="714" t="s">
        <v>17</v>
      </c>
      <c r="S32" s="715">
        <f t="shared" si="12"/>
        <v>100</v>
      </c>
      <c r="T32" s="714" t="s">
        <v>17</v>
      </c>
      <c r="U32" s="715">
        <f t="shared" si="13"/>
        <v>100</v>
      </c>
      <c r="V32" s="714" t="s">
        <v>17</v>
      </c>
      <c r="W32" s="715">
        <f t="shared" si="14"/>
        <v>100</v>
      </c>
      <c r="X32" s="1529"/>
      <c r="Y32" s="3421" t="s">
        <v>2384</v>
      </c>
      <c r="Z32" s="1530">
        <f t="shared" si="15"/>
        <v>111</v>
      </c>
      <c r="AA32" s="1527">
        <f t="shared" si="3"/>
        <v>1</v>
      </c>
      <c r="AB32" s="1527">
        <f t="shared" si="4"/>
        <v>1</v>
      </c>
      <c r="AC32" s="1527">
        <f t="shared" si="5"/>
        <v>1</v>
      </c>
    </row>
    <row r="33" spans="1:30" ht="15">
      <c r="A33" s="431"/>
      <c r="B33" s="2068">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421"/>
      <c r="Q33" s="1526">
        <f t="shared" si="11"/>
        <v>111</v>
      </c>
      <c r="R33" s="714" t="s">
        <v>17</v>
      </c>
      <c r="S33" s="715">
        <f t="shared" si="12"/>
        <v>100</v>
      </c>
      <c r="T33" s="714" t="s">
        <v>17</v>
      </c>
      <c r="U33" s="715">
        <f t="shared" si="13"/>
        <v>100</v>
      </c>
      <c r="V33" s="714" t="s">
        <v>17</v>
      </c>
      <c r="W33" s="715">
        <f t="shared" si="14"/>
        <v>100</v>
      </c>
      <c r="X33" s="1529"/>
      <c r="Y33" s="3421"/>
      <c r="Z33" s="1530">
        <f t="shared" si="15"/>
        <v>111</v>
      </c>
      <c r="AA33" s="1527">
        <f t="shared" si="3"/>
        <v>1</v>
      </c>
      <c r="AB33" s="1527">
        <f t="shared" si="4"/>
        <v>1</v>
      </c>
      <c r="AC33" s="1527">
        <f t="shared" si="5"/>
        <v>1</v>
      </c>
    </row>
    <row r="34" spans="1:30" ht="15.75" thickBot="1">
      <c r="A34" s="437"/>
      <c r="B34" s="2070">
        <v>111</v>
      </c>
      <c r="C34" s="396"/>
      <c r="D34" s="397">
        <v>100</v>
      </c>
      <c r="E34" s="2150"/>
      <c r="F34" s="398">
        <f>SUMIF(95:95,E34,96:96)-SUMIF(95:95,C34,96:96)+100</f>
        <v>100</v>
      </c>
      <c r="G34" s="2150"/>
      <c r="H34" s="397">
        <f>SUMIF(95:95,G34,96:96)-SUMIF(95:95,C34,96:96)+100</f>
        <v>100</v>
      </c>
      <c r="I34" s="2150"/>
      <c r="J34" s="397">
        <f>SUMIF(95:95,I34,96:96)-SUMIF(95:95,C34,96:96)+100</f>
        <v>100</v>
      </c>
      <c r="K34" s="570"/>
      <c r="L34" s="2938"/>
      <c r="M34" s="2932"/>
      <c r="N34" s="2932"/>
      <c r="O34" s="2990"/>
      <c r="P34" s="3421"/>
      <c r="Q34" s="1526">
        <f t="shared" si="11"/>
        <v>111</v>
      </c>
      <c r="R34" s="714" t="s">
        <v>17</v>
      </c>
      <c r="S34" s="715">
        <f t="shared" si="12"/>
        <v>100</v>
      </c>
      <c r="T34" s="714" t="s">
        <v>17</v>
      </c>
      <c r="U34" s="715">
        <f t="shared" si="13"/>
        <v>100</v>
      </c>
      <c r="V34" s="714" t="s">
        <v>17</v>
      </c>
      <c r="W34" s="715">
        <f t="shared" si="14"/>
        <v>100</v>
      </c>
      <c r="X34" s="1529"/>
      <c r="Y34" s="3421"/>
      <c r="Z34" s="1530">
        <f t="shared" si="15"/>
        <v>111</v>
      </c>
      <c r="AA34" s="1527">
        <f t="shared" si="3"/>
        <v>1</v>
      </c>
      <c r="AB34" s="1527">
        <f t="shared" si="4"/>
        <v>1</v>
      </c>
      <c r="AC34" s="1527">
        <f t="shared" si="5"/>
        <v>1</v>
      </c>
    </row>
    <row r="35" spans="1:30" ht="15">
      <c r="A35" s="438" t="s">
        <v>2396</v>
      </c>
      <c r="B35" s="439"/>
      <c r="C35" s="1308" t="s">
        <v>1</v>
      </c>
      <c r="D35" s="1309"/>
      <c r="E35" s="1310"/>
      <c r="F35" s="1311"/>
      <c r="G35" s="1312"/>
      <c r="H35" s="1313"/>
      <c r="I35" s="1310"/>
      <c r="J35" s="1313"/>
      <c r="K35" s="723"/>
      <c r="L35" s="2940"/>
      <c r="M35" s="2941"/>
      <c r="N35" s="2932"/>
      <c r="O35" s="2941"/>
      <c r="P35" s="3403" t="str">
        <f>A35</f>
        <v>成交单价（元/平方米）</v>
      </c>
      <c r="Q35" s="3403"/>
      <c r="R35" s="3465">
        <f>E35</f>
        <v>0</v>
      </c>
      <c r="S35" s="3465"/>
      <c r="T35" s="3465">
        <f>G35</f>
        <v>0</v>
      </c>
      <c r="U35" s="3465"/>
      <c r="V35" s="3465">
        <f>I35</f>
        <v>0</v>
      </c>
      <c r="W35" s="3465"/>
      <c r="X35" s="699"/>
      <c r="Y35" s="721"/>
      <c r="Z35" s="699"/>
      <c r="AA35" s="699"/>
      <c r="AB35" s="699"/>
      <c r="AC35" s="699"/>
    </row>
    <row r="36" spans="1:30" ht="15.75" thickBot="1">
      <c r="A36" s="445" t="s">
        <v>2488</v>
      </c>
      <c r="B36" s="446"/>
      <c r="C36" s="1314" t="e">
        <f>R37</f>
        <v>#DIV/0!</v>
      </c>
      <c r="D36" s="2527" t="s">
        <v>2872</v>
      </c>
      <c r="E36" s="1315" t="e">
        <f>R36</f>
        <v>#DIV/0!</v>
      </c>
      <c r="F36" s="2528"/>
      <c r="G36" s="1314" t="e">
        <f>T36</f>
        <v>#DIV/0!</v>
      </c>
      <c r="H36" s="2528"/>
      <c r="I36" s="1315" t="e">
        <f>V36</f>
        <v>#DIV/0!</v>
      </c>
      <c r="J36" s="2528"/>
      <c r="K36" s="2530">
        <f>F36+H36+J36</f>
        <v>0</v>
      </c>
      <c r="L36" s="2940"/>
      <c r="M36" s="2941"/>
      <c r="N36" s="2932"/>
      <c r="O36" s="2941"/>
      <c r="P36" s="3403" t="str">
        <f>A36</f>
        <v>比较价值（元/平方米）</v>
      </c>
      <c r="Q36" s="3403"/>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699"/>
      <c r="Y36" s="699"/>
      <c r="Z36" s="699"/>
      <c r="AA36" s="699"/>
      <c r="AB36" s="699"/>
      <c r="AC36" s="699"/>
    </row>
    <row r="37" spans="1:30" ht="15.75" thickBot="1">
      <c r="A37" s="449" t="s">
        <v>2489</v>
      </c>
      <c r="B37" s="450"/>
      <c r="C37" s="1317" t="e">
        <f>R37</f>
        <v>#DIV/0!</v>
      </c>
      <c r="D37" s="1317"/>
      <c r="E37" s="1317"/>
      <c r="F37" s="1317"/>
      <c r="G37" s="1317"/>
      <c r="H37" s="1317"/>
      <c r="I37" s="1317"/>
      <c r="J37" s="1317"/>
      <c r="K37" s="724"/>
      <c r="L37" s="2940"/>
      <c r="M37" s="2941"/>
      <c r="N37" s="2941"/>
      <c r="O37" s="2941"/>
      <c r="P37" s="3423" t="str">
        <f>A37</f>
        <v>估价对象XX用房的比较价值（楼面单价，元/平方米）</v>
      </c>
      <c r="Q37" s="3424"/>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2493</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2367</v>
      </c>
      <c r="B46" s="463"/>
      <c r="C46" s="1337" t="str">
        <f>YEAR(C7)&amp;"-"&amp;MONTH(C7)</f>
        <v>2021-11</v>
      </c>
      <c r="D46" s="1338">
        <f>EDATE(C46,-1)</f>
        <v>44470</v>
      </c>
      <c r="E46" s="1338">
        <f t="shared" ref="E46:O46" si="16">EDATE(D46,-1)</f>
        <v>44440</v>
      </c>
      <c r="F46" s="1338">
        <f t="shared" si="16"/>
        <v>44409</v>
      </c>
      <c r="G46" s="1338">
        <f t="shared" si="16"/>
        <v>44378</v>
      </c>
      <c r="H46" s="1338">
        <f t="shared" si="16"/>
        <v>44348</v>
      </c>
      <c r="I46" s="1338">
        <f t="shared" si="16"/>
        <v>44317</v>
      </c>
      <c r="J46" s="1338">
        <f t="shared" si="16"/>
        <v>44287</v>
      </c>
      <c r="K46" s="1338">
        <f t="shared" si="16"/>
        <v>44256</v>
      </c>
      <c r="L46" s="1338">
        <f t="shared" si="16"/>
        <v>44228</v>
      </c>
      <c r="M46" s="1338">
        <f t="shared" si="16"/>
        <v>44197</v>
      </c>
      <c r="N46" s="1338">
        <f t="shared" si="16"/>
        <v>44166</v>
      </c>
      <c r="O46" s="1338">
        <f t="shared" si="16"/>
        <v>44136</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36">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2404</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2369</v>
      </c>
      <c r="B49" s="467"/>
      <c r="C49" s="479" t="s">
        <v>2471</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2407</v>
      </c>
      <c r="B51" s="485" t="s">
        <v>2373</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2559</v>
      </c>
      <c r="C63" s="535" t="s">
        <v>2416</v>
      </c>
      <c r="D63" s="535" t="s">
        <v>2417</v>
      </c>
      <c r="E63" s="535" t="s">
        <v>2418</v>
      </c>
      <c r="F63" s="535" t="s">
        <v>2419</v>
      </c>
      <c r="G63" s="535" t="s">
        <v>2420</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2508</v>
      </c>
      <c r="C65" s="616" t="s">
        <v>2494</v>
      </c>
      <c r="D65" s="616" t="s">
        <v>2495</v>
      </c>
      <c r="E65" s="616" t="s">
        <v>2496</v>
      </c>
      <c r="F65" s="616" t="s">
        <v>2497</v>
      </c>
      <c r="G65" s="616" t="s">
        <v>2498</v>
      </c>
      <c r="H65" s="496"/>
      <c r="I65" s="496"/>
      <c r="J65" s="496"/>
      <c r="K65" s="496"/>
      <c r="L65" s="496"/>
      <c r="M65" s="1283"/>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2428</v>
      </c>
      <c r="C67" s="535" t="s">
        <v>2416</v>
      </c>
      <c r="D67" s="535" t="s">
        <v>2417</v>
      </c>
      <c r="E67" s="535" t="s">
        <v>2418</v>
      </c>
      <c r="F67" s="535" t="s">
        <v>2419</v>
      </c>
      <c r="G67" s="535" t="s">
        <v>2420</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2548</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2382</v>
      </c>
      <c r="B77" s="485" t="s">
        <v>2435</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2552</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2560</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2562</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0"/>
      <c r="B98" s="1060"/>
      <c r="C98" s="1060"/>
      <c r="D98" s="1060"/>
      <c r="E98" s="1060"/>
      <c r="F98" s="1060"/>
      <c r="G98" s="1060"/>
      <c r="H98" s="1060"/>
      <c r="I98" s="1060"/>
      <c r="J98" s="1060"/>
      <c r="K98" s="1061"/>
      <c r="L98" s="1062"/>
      <c r="M98" s="1060"/>
      <c r="N98" s="2941"/>
      <c r="O98" s="2941"/>
      <c r="P98" s="2941"/>
      <c r="Q98" s="2941"/>
      <c r="R98" s="2941"/>
      <c r="S98" s="2941"/>
      <c r="T98" s="2941"/>
      <c r="U98" s="2941"/>
      <c r="V98" s="2941"/>
      <c r="W98" s="2941"/>
      <c r="X98" s="2941"/>
      <c r="Y98" s="2941"/>
      <c r="Z98" s="2941"/>
      <c r="AA98" s="2941"/>
      <c r="AB98" s="2941"/>
      <c r="AC98" s="2941"/>
      <c r="AD98" s="2941"/>
    </row>
    <row r="99" spans="1:30">
      <c r="A99" s="1060"/>
      <c r="B99" s="1060"/>
      <c r="C99" s="1060"/>
      <c r="D99" s="1060"/>
      <c r="E99" s="1060"/>
      <c r="F99" s="1060"/>
      <c r="G99" s="1060"/>
      <c r="H99" s="1060"/>
      <c r="I99" s="1060"/>
      <c r="J99" s="1060"/>
      <c r="K99" s="1061"/>
      <c r="L99" s="1062"/>
      <c r="M99" s="1060"/>
      <c r="N99" s="2941"/>
      <c r="O99" s="2941"/>
      <c r="P99" s="2941"/>
      <c r="Q99" s="2941"/>
      <c r="R99" s="2941"/>
      <c r="S99" s="2941"/>
      <c r="T99" s="2941"/>
      <c r="U99" s="2941"/>
      <c r="V99" s="2941"/>
      <c r="W99" s="2941"/>
      <c r="X99" s="2941"/>
      <c r="Y99" s="2941"/>
      <c r="Z99" s="2941"/>
      <c r="AA99" s="2941"/>
      <c r="AB99" s="2941"/>
      <c r="AC99" s="2941"/>
      <c r="AD99" s="2941"/>
    </row>
    <row r="100" spans="1:30">
      <c r="A100" s="1060"/>
      <c r="B100" s="1060"/>
      <c r="C100" s="1060"/>
      <c r="D100" s="1060"/>
      <c r="E100" s="1060"/>
      <c r="F100" s="1060"/>
      <c r="G100" s="1060"/>
      <c r="H100" s="1060"/>
      <c r="I100" s="1060"/>
      <c r="J100" s="1060"/>
      <c r="K100" s="1061"/>
      <c r="L100" s="1062"/>
      <c r="M100" s="1060"/>
      <c r="N100" s="2941"/>
      <c r="O100" s="2941"/>
      <c r="P100" s="2941"/>
      <c r="Q100" s="2941"/>
      <c r="R100" s="2941"/>
      <c r="S100" s="2941"/>
      <c r="T100" s="2941"/>
      <c r="U100" s="2941"/>
      <c r="V100" s="2941"/>
      <c r="W100" s="2941"/>
      <c r="X100" s="2941"/>
      <c r="Y100" s="2941"/>
      <c r="Z100" s="2941"/>
      <c r="AA100" s="2941"/>
      <c r="AB100" s="2941"/>
      <c r="AC100" s="2941"/>
      <c r="AD100" s="2941"/>
    </row>
    <row r="101" spans="1:30">
      <c r="A101" s="1060"/>
      <c r="B101" s="1060"/>
      <c r="C101" s="1060"/>
      <c r="D101" s="1060"/>
      <c r="E101" s="1060"/>
      <c r="F101" s="1060"/>
      <c r="G101" s="1060"/>
      <c r="H101" s="1060"/>
      <c r="I101" s="1060"/>
      <c r="J101" s="1060"/>
      <c r="K101" s="1061"/>
      <c r="L101" s="1062"/>
      <c r="M101" s="1060"/>
      <c r="N101" s="2941"/>
      <c r="O101" s="2941"/>
      <c r="P101" s="2941"/>
      <c r="Q101" s="2941"/>
      <c r="R101" s="2941"/>
      <c r="S101" s="2941"/>
      <c r="T101" s="2941"/>
      <c r="U101" s="2941"/>
      <c r="V101" s="2941"/>
      <c r="W101" s="2941"/>
      <c r="X101" s="2941"/>
      <c r="Y101" s="2941"/>
      <c r="Z101" s="2941"/>
      <c r="AA101" s="2941"/>
      <c r="AB101" s="2941"/>
      <c r="AC101" s="2941"/>
      <c r="AD101" s="2941"/>
    </row>
    <row r="102" spans="1:30">
      <c r="A102" s="1060"/>
      <c r="B102" s="1060"/>
      <c r="C102" s="1060"/>
      <c r="D102" s="1060"/>
      <c r="E102" s="1060"/>
      <c r="F102" s="1060"/>
      <c r="G102" s="1060"/>
      <c r="H102" s="1060"/>
      <c r="I102" s="1060"/>
      <c r="J102" s="1060"/>
      <c r="K102" s="1061"/>
      <c r="L102" s="1062"/>
      <c r="M102" s="1060"/>
      <c r="N102" s="2941"/>
      <c r="O102" s="2941"/>
      <c r="P102" s="2941"/>
      <c r="Q102" s="2941"/>
      <c r="R102" s="2941"/>
      <c r="S102" s="2941"/>
      <c r="T102" s="2941"/>
      <c r="U102" s="2941"/>
      <c r="V102" s="2941"/>
      <c r="W102" s="2941"/>
      <c r="X102" s="2941"/>
      <c r="Y102" s="2941"/>
      <c r="Z102" s="2941"/>
      <c r="AA102" s="2941"/>
      <c r="AB102" s="2941"/>
      <c r="AC102" s="2941"/>
      <c r="AD102" s="2941"/>
    </row>
    <row r="103" spans="1:30">
      <c r="A103" s="1060"/>
      <c r="B103" s="1060"/>
      <c r="C103" s="1060"/>
      <c r="D103" s="1060"/>
      <c r="E103" s="1060"/>
      <c r="F103" s="1060"/>
      <c r="G103" s="1060"/>
      <c r="H103" s="1060"/>
      <c r="I103" s="1060"/>
      <c r="J103" s="1060"/>
      <c r="K103" s="1061"/>
      <c r="L103" s="1062"/>
      <c r="M103" s="1060"/>
      <c r="N103" s="1060"/>
      <c r="O103" s="1060"/>
      <c r="P103" s="2941"/>
      <c r="Q103" s="2941"/>
      <c r="R103" s="2941"/>
      <c r="S103" s="2941"/>
      <c r="T103" s="2941"/>
      <c r="U103" s="2941"/>
      <c r="V103" s="2941"/>
      <c r="W103" s="2941"/>
      <c r="X103" s="2941"/>
      <c r="Y103" s="2941"/>
      <c r="Z103" s="2941"/>
      <c r="AA103" s="2941"/>
      <c r="AB103" s="2941"/>
      <c r="AC103" s="2941"/>
      <c r="AD103" s="2941"/>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2"/>
      <c r="D2" s="1032"/>
      <c r="E2" s="1032"/>
      <c r="F2" s="1033"/>
      <c r="G2" s="1032"/>
      <c r="H2" s="1032"/>
      <c r="I2" s="1032"/>
      <c r="J2" s="1032"/>
      <c r="K2" s="1034"/>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46"/>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29" ht="15">
      <c r="A4" s="361" t="s">
        <v>2464</v>
      </c>
      <c r="B4" s="362"/>
      <c r="C4" s="3404" t="s">
        <v>2465</v>
      </c>
      <c r="D4" s="3405"/>
      <c r="E4" s="3406" t="s">
        <v>2466</v>
      </c>
      <c r="F4" s="3407"/>
      <c r="G4" s="3404" t="s">
        <v>2467</v>
      </c>
      <c r="H4" s="3405"/>
      <c r="I4" s="3404" t="s">
        <v>2468</v>
      </c>
      <c r="J4" s="3405"/>
      <c r="K4" s="567" t="s">
        <v>2469</v>
      </c>
      <c r="L4" s="2931"/>
      <c r="M4" s="2932"/>
      <c r="N4" s="2932"/>
      <c r="O4" s="2932"/>
      <c r="P4" s="3408" t="s">
        <v>2470</v>
      </c>
      <c r="Q4" s="3409"/>
      <c r="R4" s="3391" t="s">
        <v>2466</v>
      </c>
      <c r="S4" s="3392"/>
      <c r="T4" s="3391" t="s">
        <v>2467</v>
      </c>
      <c r="U4" s="3392"/>
      <c r="V4" s="3416" t="s">
        <v>2468</v>
      </c>
      <c r="W4" s="3416"/>
      <c r="X4" s="1529"/>
      <c r="Y4" s="3391" t="s">
        <v>2470</v>
      </c>
      <c r="Z4" s="3392"/>
      <c r="AA4" s="3386" t="s">
        <v>2466</v>
      </c>
      <c r="AB4" s="3387" t="s">
        <v>2467</v>
      </c>
      <c r="AC4" s="3386" t="s">
        <v>2468</v>
      </c>
    </row>
    <row r="5" spans="1:29" ht="15">
      <c r="A5" s="364"/>
      <c r="B5" s="365"/>
      <c r="C5" s="3397" t="s">
        <v>2361</v>
      </c>
      <c r="D5" s="3398"/>
      <c r="E5" s="3395" t="s">
        <v>2362</v>
      </c>
      <c r="F5" s="3396"/>
      <c r="G5" s="3397" t="s">
        <v>2363</v>
      </c>
      <c r="H5" s="3398"/>
      <c r="I5" s="3397" t="s">
        <v>2364</v>
      </c>
      <c r="J5" s="3398"/>
      <c r="K5" s="567"/>
      <c r="L5" s="2931"/>
      <c r="M5" s="2932"/>
      <c r="N5" s="2932"/>
      <c r="O5" s="2932"/>
      <c r="P5" s="3410"/>
      <c r="Q5" s="3411"/>
      <c r="R5" s="3393"/>
      <c r="S5" s="3394"/>
      <c r="T5" s="3393"/>
      <c r="U5" s="3394"/>
      <c r="V5" s="3416"/>
      <c r="W5" s="3416"/>
      <c r="X5" s="1529"/>
      <c r="Y5" s="3393"/>
      <c r="Z5" s="3394"/>
      <c r="AA5" s="3387"/>
      <c r="AB5" s="3387"/>
      <c r="AC5" s="3387"/>
    </row>
    <row r="6" spans="1:29" ht="15.75" thickBot="1">
      <c r="A6" s="366"/>
      <c r="B6" s="367"/>
      <c r="C6" s="3517" t="s">
        <v>2615</v>
      </c>
      <c r="D6" s="3518"/>
      <c r="E6" s="3519" t="s">
        <v>2615</v>
      </c>
      <c r="F6" s="3520"/>
      <c r="G6" s="3517" t="s">
        <v>2615</v>
      </c>
      <c r="H6" s="3518"/>
      <c r="I6" s="3517" t="s">
        <v>2615</v>
      </c>
      <c r="J6" s="3518"/>
      <c r="K6" s="567" t="s">
        <v>2366</v>
      </c>
      <c r="L6" s="2931"/>
      <c r="M6" s="2932"/>
      <c r="N6" s="2932"/>
      <c r="O6" s="2932"/>
      <c r="P6" s="3412"/>
      <c r="Q6" s="3413"/>
      <c r="R6" s="3393"/>
      <c r="S6" s="3394"/>
      <c r="T6" s="3414"/>
      <c r="U6" s="3415"/>
      <c r="V6" s="3416"/>
      <c r="W6" s="3416"/>
      <c r="X6" s="1529"/>
      <c r="Y6" s="3414"/>
      <c r="Z6" s="3415"/>
      <c r="AA6" s="3388"/>
      <c r="AB6" s="3388"/>
      <c r="AC6" s="3388"/>
    </row>
    <row r="7" spans="1:29" s="113" customFormat="1" ht="15.75" thickBot="1">
      <c r="A7" s="368" t="s">
        <v>2367</v>
      </c>
      <c r="B7" s="369"/>
      <c r="C7" s="370">
        <f>'数据-取费表'!B2</f>
        <v>44523</v>
      </c>
      <c r="D7" s="371">
        <v>100</v>
      </c>
      <c r="E7" s="372"/>
      <c r="F7" s="373">
        <f>SUMIF(65:65,YEAR(E7)&amp;"-"&amp;INT((MONTH(E7)+2)/3),66:66)</f>
        <v>0</v>
      </c>
      <c r="G7" s="2149"/>
      <c r="H7" s="371">
        <f>SUMIF(65:65,YEAR(G7)&amp;"-"&amp;INT((MONTH(G7)+2)/3),66:66)</f>
        <v>0</v>
      </c>
      <c r="I7" s="2149"/>
      <c r="J7" s="371">
        <f>SUMIF(65:65,YEAR(I7)&amp;"-"&amp;INT((MONTH(I7)+2)/3),66:66)</f>
        <v>0</v>
      </c>
      <c r="K7" s="568"/>
      <c r="L7" s="2933"/>
      <c r="M7" s="2934"/>
      <c r="N7" s="2934"/>
      <c r="O7" s="2934"/>
      <c r="P7" s="3389" t="s">
        <v>2368</v>
      </c>
      <c r="Q7" s="3417"/>
      <c r="R7" s="710" t="s">
        <v>17</v>
      </c>
      <c r="S7" s="711">
        <f t="shared" ref="S7:S15" si="0">F7</f>
        <v>0</v>
      </c>
      <c r="T7" s="710" t="s">
        <v>17</v>
      </c>
      <c r="U7" s="711">
        <f t="shared" ref="U7:U15" si="1">H7</f>
        <v>0</v>
      </c>
      <c r="V7" s="710" t="s">
        <v>17</v>
      </c>
      <c r="W7" s="711">
        <f t="shared" ref="W7:W15" si="2">J7</f>
        <v>0</v>
      </c>
      <c r="X7" s="712"/>
      <c r="Y7" s="3389" t="s">
        <v>2368</v>
      </c>
      <c r="Z7" s="3390"/>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89" t="s">
        <v>2371</v>
      </c>
      <c r="Q8" s="3390"/>
      <c r="R8" s="710" t="s">
        <v>17</v>
      </c>
      <c r="S8" s="711">
        <f t="shared" si="0"/>
        <v>0</v>
      </c>
      <c r="T8" s="710" t="s">
        <v>17</v>
      </c>
      <c r="U8" s="711">
        <f t="shared" si="1"/>
        <v>0</v>
      </c>
      <c r="V8" s="710" t="s">
        <v>17</v>
      </c>
      <c r="W8" s="711">
        <f t="shared" si="2"/>
        <v>0</v>
      </c>
      <c r="X8" s="712"/>
      <c r="Y8" s="3389" t="s">
        <v>2371</v>
      </c>
      <c r="Z8" s="3390"/>
      <c r="AA8" s="713" t="e">
        <f t="shared" ref="AA8:AA40" si="3">D8/F8</f>
        <v>#DIV/0!</v>
      </c>
      <c r="AB8" s="713" t="e">
        <f t="shared" ref="AB8:AB40" si="4">D8/H8</f>
        <v>#DIV/0!</v>
      </c>
      <c r="AC8" s="713" t="e">
        <f t="shared" ref="AC8:AC40" si="5">D8/J8</f>
        <v>#DIV/0!</v>
      </c>
    </row>
    <row r="9" spans="1:29" s="113" customFormat="1">
      <c r="A9" s="375" t="s">
        <v>2372</v>
      </c>
      <c r="B9" s="67" t="s">
        <v>2373</v>
      </c>
      <c r="C9" s="2152"/>
      <c r="D9" s="131">
        <v>100</v>
      </c>
      <c r="E9" s="2152"/>
      <c r="F9" s="131">
        <f>SUMIF(70:70,E9,71:71)-SUMIF(70:70,C9,71:71)+100</f>
        <v>100</v>
      </c>
      <c r="G9" s="2152"/>
      <c r="H9" s="131">
        <f>SUMIF(70:70,G9,71:71)-SUMIF(70:70,C9,71:71)+100</f>
        <v>100</v>
      </c>
      <c r="I9" s="2152"/>
      <c r="J9" s="131">
        <f>SUMIF(70:70,I9,71:71)-SUMIF(70:70,C9,71:71)+100</f>
        <v>100</v>
      </c>
      <c r="K9" s="568"/>
      <c r="L9" s="2933"/>
      <c r="M9" s="2934"/>
      <c r="N9" s="2934"/>
      <c r="O9" s="2988"/>
      <c r="P9" s="3403" t="s">
        <v>2374</v>
      </c>
      <c r="Q9" s="1517" t="str">
        <f t="shared" ref="Q9:Q15" si="6">B9</f>
        <v>用途</v>
      </c>
      <c r="R9" s="710" t="s">
        <v>17</v>
      </c>
      <c r="S9" s="711">
        <f t="shared" si="0"/>
        <v>100</v>
      </c>
      <c r="T9" s="710" t="s">
        <v>17</v>
      </c>
      <c r="U9" s="711">
        <f t="shared" si="1"/>
        <v>100</v>
      </c>
      <c r="V9" s="710" t="s">
        <v>17</v>
      </c>
      <c r="W9" s="711">
        <f t="shared" si="2"/>
        <v>100</v>
      </c>
      <c r="X9" s="712"/>
      <c r="Y9" s="3362"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108</v>
      </c>
      <c r="G10" s="391"/>
      <c r="H10" s="132">
        <f>ROUND(100/'数据-取费表'!G16,0)</f>
        <v>108</v>
      </c>
      <c r="I10" s="391"/>
      <c r="J10" s="132">
        <f>ROUND(100/'数据-取费表'!G16,0)</f>
        <v>108</v>
      </c>
      <c r="K10" s="628"/>
      <c r="L10" s="2935"/>
      <c r="M10" s="2936"/>
      <c r="N10" s="2936"/>
      <c r="O10" s="2989"/>
      <c r="P10" s="3403"/>
      <c r="Q10" s="1517" t="str">
        <f t="shared" si="6"/>
        <v>土地使用年限（年）</v>
      </c>
      <c r="R10" s="710" t="s">
        <v>17</v>
      </c>
      <c r="S10" s="711">
        <f t="shared" si="0"/>
        <v>108</v>
      </c>
      <c r="T10" s="710" t="s">
        <v>17</v>
      </c>
      <c r="U10" s="711">
        <f t="shared" si="1"/>
        <v>108</v>
      </c>
      <c r="V10" s="710" t="s">
        <v>17</v>
      </c>
      <c r="W10" s="711">
        <f t="shared" si="2"/>
        <v>108</v>
      </c>
      <c r="X10" s="712"/>
      <c r="Y10" s="3362"/>
      <c r="Z10" s="55" t="str">
        <f t="shared" si="7"/>
        <v>土地使用年限（年）</v>
      </c>
      <c r="AA10" s="713">
        <f t="shared" si="3"/>
        <v>0.92592592592592593</v>
      </c>
      <c r="AB10" s="713">
        <f t="shared" si="4"/>
        <v>0.92592592592592593</v>
      </c>
      <c r="AC10" s="713">
        <f t="shared" si="5"/>
        <v>0.92592592592592593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403"/>
      <c r="Q11" s="1517"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68">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403"/>
      <c r="Q12" s="1517">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68">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403"/>
      <c r="Q13" s="1517">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70">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403"/>
      <c r="Q14" s="1517">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2378</v>
      </c>
      <c r="B15" s="585" t="s">
        <v>2616</v>
      </c>
      <c r="C15" s="214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418" t="s">
        <v>2379</v>
      </c>
      <c r="Q15" s="1526" t="str">
        <f t="shared" si="6"/>
        <v>产业集聚程度</v>
      </c>
      <c r="R15" s="714" t="s">
        <v>17</v>
      </c>
      <c r="S15" s="715">
        <f t="shared" si="0"/>
        <v>100</v>
      </c>
      <c r="T15" s="714" t="s">
        <v>17</v>
      </c>
      <c r="U15" s="715">
        <f t="shared" si="1"/>
        <v>100</v>
      </c>
      <c r="V15" s="714" t="s">
        <v>17</v>
      </c>
      <c r="W15" s="715">
        <f t="shared" si="2"/>
        <v>100</v>
      </c>
      <c r="X15" s="1529"/>
      <c r="Y15" s="3418" t="s">
        <v>2379</v>
      </c>
      <c r="Z15" s="1530" t="str">
        <f t="shared" si="7"/>
        <v>产业集聚程度</v>
      </c>
      <c r="AA15" s="1527">
        <f t="shared" si="3"/>
        <v>1</v>
      </c>
      <c r="AB15" s="1527">
        <f t="shared" si="4"/>
        <v>1</v>
      </c>
      <c r="AC15" s="1527">
        <f t="shared" si="5"/>
        <v>1</v>
      </c>
    </row>
    <row r="16" spans="1:29" ht="15">
      <c r="A16" s="387"/>
      <c r="B16" s="586"/>
      <c r="C16" s="406"/>
      <c r="D16" s="407"/>
      <c r="E16" s="2079"/>
      <c r="F16" s="407"/>
      <c r="G16" s="2079"/>
      <c r="H16" s="409"/>
      <c r="I16" s="2079"/>
      <c r="J16" s="407"/>
      <c r="K16" s="628"/>
      <c r="L16" s="2938"/>
      <c r="M16" s="2932"/>
      <c r="N16" s="2932"/>
      <c r="O16" s="2990"/>
      <c r="P16" s="3419"/>
      <c r="Q16" s="1526"/>
      <c r="R16" s="714"/>
      <c r="S16" s="715"/>
      <c r="T16" s="714"/>
      <c r="U16" s="715"/>
      <c r="V16" s="714"/>
      <c r="W16" s="715"/>
      <c r="X16" s="1529"/>
      <c r="Y16" s="3419"/>
      <c r="Z16" s="1530"/>
      <c r="AA16" s="1527">
        <v>1</v>
      </c>
      <c r="AB16" s="1527">
        <v>1</v>
      </c>
      <c r="AC16" s="1527">
        <v>1</v>
      </c>
    </row>
    <row r="17" spans="1:29" ht="85.5">
      <c r="A17" s="387"/>
      <c r="B17" s="587" t="s">
        <v>2528</v>
      </c>
      <c r="C17" s="207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419"/>
      <c r="Q17" s="1526" t="str">
        <f>B17</f>
        <v>交通便捷度</v>
      </c>
      <c r="R17" s="714" t="s">
        <v>17</v>
      </c>
      <c r="S17" s="715">
        <f>F17</f>
        <v>100</v>
      </c>
      <c r="T17" s="714" t="s">
        <v>17</v>
      </c>
      <c r="U17" s="715">
        <f>H17</f>
        <v>100</v>
      </c>
      <c r="V17" s="714" t="s">
        <v>17</v>
      </c>
      <c r="W17" s="715">
        <f>J17</f>
        <v>100</v>
      </c>
      <c r="X17" s="1529"/>
      <c r="Y17" s="3419"/>
      <c r="Z17" s="1530" t="str">
        <f>Q17</f>
        <v>交通便捷度</v>
      </c>
      <c r="AA17" s="1527">
        <f t="shared" si="3"/>
        <v>1</v>
      </c>
      <c r="AB17" s="1527">
        <f t="shared" si="4"/>
        <v>1</v>
      </c>
      <c r="AC17" s="1527">
        <f t="shared" si="5"/>
        <v>1</v>
      </c>
    </row>
    <row r="18" spans="1:29" ht="15">
      <c r="A18" s="387"/>
      <c r="B18" s="588"/>
      <c r="C18" s="406"/>
      <c r="D18" s="407"/>
      <c r="E18" s="2073"/>
      <c r="F18" s="407"/>
      <c r="G18" s="2073"/>
      <c r="H18" s="407"/>
      <c r="I18" s="2072"/>
      <c r="J18" s="407"/>
      <c r="K18" s="628"/>
      <c r="L18" s="2938"/>
      <c r="M18" s="2932"/>
      <c r="N18" s="2932"/>
      <c r="O18" s="2990"/>
      <c r="P18" s="3419"/>
      <c r="Q18" s="1526"/>
      <c r="R18" s="714"/>
      <c r="S18" s="715"/>
      <c r="T18" s="714"/>
      <c r="U18" s="715"/>
      <c r="V18" s="714"/>
      <c r="W18" s="715"/>
      <c r="X18" s="1529"/>
      <c r="Y18" s="3419"/>
      <c r="Z18" s="1530"/>
      <c r="AA18" s="1527">
        <v>1</v>
      </c>
      <c r="AB18" s="1527">
        <v>1</v>
      </c>
      <c r="AC18" s="1527">
        <v>1</v>
      </c>
    </row>
    <row r="19" spans="1:29" ht="15">
      <c r="A19" s="387"/>
      <c r="B19" s="587" t="s">
        <v>2567</v>
      </c>
      <c r="C19" s="207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419"/>
      <c r="Q19" s="1526" t="str">
        <f t="shared" ref="Q19:Q33" si="8">B19</f>
        <v>区域土地利用方向</v>
      </c>
      <c r="R19" s="714" t="s">
        <v>17</v>
      </c>
      <c r="S19" s="715">
        <f>F19</f>
        <v>100</v>
      </c>
      <c r="T19" s="714" t="s">
        <v>17</v>
      </c>
      <c r="U19" s="715">
        <f>H19</f>
        <v>100</v>
      </c>
      <c r="V19" s="714" t="s">
        <v>17</v>
      </c>
      <c r="W19" s="715">
        <f>J19</f>
        <v>100</v>
      </c>
      <c r="X19" s="1529"/>
      <c r="Y19" s="3419"/>
      <c r="Z19" s="1530" t="str">
        <f>Q19</f>
        <v>区域土地利用方向</v>
      </c>
      <c r="AA19" s="1527">
        <f t="shared" si="3"/>
        <v>1</v>
      </c>
      <c r="AB19" s="1527">
        <f t="shared" si="4"/>
        <v>1</v>
      </c>
      <c r="AC19" s="1527">
        <f t="shared" si="5"/>
        <v>1</v>
      </c>
    </row>
    <row r="20" spans="1:29" ht="15">
      <c r="A20" s="364"/>
      <c r="B20" s="588"/>
      <c r="C20" s="406"/>
      <c r="D20" s="407"/>
      <c r="E20" s="2073"/>
      <c r="F20" s="407"/>
      <c r="G20" s="2073"/>
      <c r="H20" s="407"/>
      <c r="I20" s="2073"/>
      <c r="J20" s="407"/>
      <c r="K20" s="745"/>
      <c r="L20" s="2938"/>
      <c r="M20" s="2932"/>
      <c r="N20" s="2932"/>
      <c r="O20" s="2990"/>
      <c r="P20" s="3419"/>
      <c r="Q20" s="1526"/>
      <c r="R20" s="714"/>
      <c r="S20" s="715"/>
      <c r="T20" s="714"/>
      <c r="U20" s="715"/>
      <c r="V20" s="714"/>
      <c r="W20" s="715"/>
      <c r="X20" s="1529"/>
      <c r="Y20" s="3419"/>
      <c r="Z20" s="1530"/>
      <c r="AA20" s="1527"/>
      <c r="AB20" s="1527"/>
      <c r="AC20" s="1527"/>
    </row>
    <row r="21" spans="1:29" ht="71.25">
      <c r="A21" s="364"/>
      <c r="B21" s="587" t="s">
        <v>2617</v>
      </c>
      <c r="C21" s="207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419"/>
      <c r="Q21" s="1526" t="str">
        <f t="shared" si="8"/>
        <v>环境状况</v>
      </c>
      <c r="R21" s="714" t="s">
        <v>17</v>
      </c>
      <c r="S21" s="715">
        <f>F21</f>
        <v>100</v>
      </c>
      <c r="T21" s="714" t="s">
        <v>17</v>
      </c>
      <c r="U21" s="715">
        <f>H21</f>
        <v>100</v>
      </c>
      <c r="V21" s="714" t="s">
        <v>17</v>
      </c>
      <c r="W21" s="715">
        <f>J21</f>
        <v>100</v>
      </c>
      <c r="X21" s="1529"/>
      <c r="Y21" s="3419"/>
      <c r="Z21" s="1530" t="str">
        <f>Q21</f>
        <v>环境状况</v>
      </c>
      <c r="AA21" s="1527">
        <f t="shared" si="3"/>
        <v>1</v>
      </c>
      <c r="AB21" s="1527">
        <f t="shared" si="4"/>
        <v>1</v>
      </c>
      <c r="AC21" s="1527">
        <f t="shared" si="5"/>
        <v>1</v>
      </c>
    </row>
    <row r="22" spans="1:29" ht="15">
      <c r="A22" s="364"/>
      <c r="B22" s="588"/>
      <c r="C22" s="406"/>
      <c r="D22" s="407"/>
      <c r="E22" s="2079"/>
      <c r="F22" s="407"/>
      <c r="G22" s="2079"/>
      <c r="H22" s="407"/>
      <c r="I22" s="406"/>
      <c r="J22" s="407"/>
      <c r="K22" s="628"/>
      <c r="L22" s="2938"/>
      <c r="M22" s="2932"/>
      <c r="N22" s="2932"/>
      <c r="O22" s="2990"/>
      <c r="P22" s="3419"/>
      <c r="Q22" s="1526"/>
      <c r="R22" s="714"/>
      <c r="S22" s="715"/>
      <c r="T22" s="714"/>
      <c r="U22" s="715"/>
      <c r="V22" s="714"/>
      <c r="W22" s="715"/>
      <c r="X22" s="1529"/>
      <c r="Y22" s="3419"/>
      <c r="Z22" s="1530"/>
      <c r="AA22" s="1527">
        <v>1</v>
      </c>
      <c r="AB22" s="1527">
        <v>1</v>
      </c>
      <c r="AC22" s="1527">
        <v>1</v>
      </c>
    </row>
    <row r="23" spans="1:29" s="113" customFormat="1" ht="42.75">
      <c r="A23" s="605"/>
      <c r="B23" s="589" t="s">
        <v>2473</v>
      </c>
      <c r="C23" s="207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419"/>
      <c r="Q23" s="1517" t="str">
        <f t="shared" si="8"/>
        <v>公共配套设施</v>
      </c>
      <c r="R23" s="710" t="s">
        <v>17</v>
      </c>
      <c r="S23" s="711">
        <f>F23</f>
        <v>100</v>
      </c>
      <c r="T23" s="710" t="s">
        <v>17</v>
      </c>
      <c r="U23" s="711">
        <f>H23</f>
        <v>100</v>
      </c>
      <c r="V23" s="710" t="s">
        <v>17</v>
      </c>
      <c r="W23" s="711">
        <f>J23</f>
        <v>100</v>
      </c>
      <c r="X23" s="712"/>
      <c r="Y23" s="3419"/>
      <c r="Z23" s="55" t="str">
        <f>Q23</f>
        <v>公共配套设施</v>
      </c>
      <c r="AA23" s="1527">
        <f>D23/F23</f>
        <v>1</v>
      </c>
      <c r="AB23" s="1527">
        <f>D23/H23</f>
        <v>1</v>
      </c>
      <c r="AC23" s="1527">
        <f>D23/J23</f>
        <v>1</v>
      </c>
    </row>
    <row r="24" spans="1:29" s="113" customFormat="1" ht="15">
      <c r="A24" s="605"/>
      <c r="B24" s="588"/>
      <c r="C24" s="2153"/>
      <c r="D24" s="407"/>
      <c r="E24" s="2079"/>
      <c r="F24" s="407"/>
      <c r="G24" s="2079"/>
      <c r="H24" s="407"/>
      <c r="I24" s="406"/>
      <c r="J24" s="407"/>
      <c r="K24" s="628"/>
      <c r="L24" s="2933"/>
      <c r="M24" s="2934"/>
      <c r="N24" s="2934"/>
      <c r="O24" s="2988"/>
      <c r="P24" s="3419"/>
      <c r="Q24" s="1517"/>
      <c r="R24" s="710"/>
      <c r="S24" s="711"/>
      <c r="T24" s="710"/>
      <c r="U24" s="711"/>
      <c r="V24" s="710"/>
      <c r="W24" s="711"/>
      <c r="X24" s="712"/>
      <c r="Y24" s="3419"/>
      <c r="Z24" s="55"/>
      <c r="AA24" s="713">
        <v>1</v>
      </c>
      <c r="AB24" s="713">
        <v>1</v>
      </c>
      <c r="AC24" s="713">
        <v>1</v>
      </c>
    </row>
    <row r="25" spans="1:29" s="113" customFormat="1" ht="28.5">
      <c r="A25" s="605"/>
      <c r="B25" s="589" t="s">
        <v>2474</v>
      </c>
      <c r="C25" s="207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419"/>
      <c r="Q25" s="1517" t="str">
        <f t="shared" ref="Q25" si="9">B25</f>
        <v>基础设施水平</v>
      </c>
      <c r="R25" s="710" t="s">
        <v>17</v>
      </c>
      <c r="S25" s="711">
        <f>F25</f>
        <v>100</v>
      </c>
      <c r="T25" s="710" t="s">
        <v>17</v>
      </c>
      <c r="U25" s="711">
        <f>H25</f>
        <v>100</v>
      </c>
      <c r="V25" s="710" t="s">
        <v>17</v>
      </c>
      <c r="W25" s="711">
        <f>J25</f>
        <v>100</v>
      </c>
      <c r="X25" s="712"/>
      <c r="Y25" s="3419"/>
      <c r="Z25" s="55" t="str">
        <f>Q25</f>
        <v>基础设施水平</v>
      </c>
      <c r="AA25" s="1527">
        <f>D25/F25</f>
        <v>1</v>
      </c>
      <c r="AB25" s="1527">
        <f>D25/H25</f>
        <v>1</v>
      </c>
      <c r="AC25" s="1527">
        <f>D25/J25</f>
        <v>1</v>
      </c>
    </row>
    <row r="26" spans="1:29" s="113" customFormat="1" ht="15">
      <c r="A26" s="605"/>
      <c r="B26" s="588"/>
      <c r="C26" s="2153"/>
      <c r="D26" s="407"/>
      <c r="E26" s="2154"/>
      <c r="F26" s="407"/>
      <c r="G26" s="2154"/>
      <c r="H26" s="407"/>
      <c r="I26" s="2154"/>
      <c r="J26" s="407"/>
      <c r="K26" s="628"/>
      <c r="L26" s="2933"/>
      <c r="M26" s="2934"/>
      <c r="N26" s="2934"/>
      <c r="O26" s="2988"/>
      <c r="P26" s="3419"/>
      <c r="Q26" s="1517"/>
      <c r="R26" s="710"/>
      <c r="S26" s="711"/>
      <c r="T26" s="710"/>
      <c r="U26" s="711"/>
      <c r="V26" s="710"/>
      <c r="W26" s="711"/>
      <c r="X26" s="712"/>
      <c r="Y26" s="3419"/>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419"/>
      <c r="Q27" s="1526" t="str">
        <f t="shared" si="8"/>
        <v>临街状况</v>
      </c>
      <c r="R27" s="714" t="s">
        <v>17</v>
      </c>
      <c r="S27" s="715">
        <f t="shared" ref="S27:S40" si="10">F27</f>
        <v>100</v>
      </c>
      <c r="T27" s="714" t="s">
        <v>17</v>
      </c>
      <c r="U27" s="715">
        <f t="shared" ref="U27:U40" si="11">H27</f>
        <v>100</v>
      </c>
      <c r="V27" s="714" t="s">
        <v>17</v>
      </c>
      <c r="W27" s="715">
        <f t="shared" ref="W27:W40" si="12">J27</f>
        <v>100</v>
      </c>
      <c r="X27" s="1529"/>
      <c r="Y27" s="3419"/>
      <c r="Z27" s="1530" t="str">
        <f t="shared" ref="Z27:Z40" si="13">Q27</f>
        <v>临街状况</v>
      </c>
      <c r="AA27" s="1527">
        <f t="shared" si="3"/>
        <v>1</v>
      </c>
      <c r="AB27" s="1527">
        <f t="shared" si="4"/>
        <v>1</v>
      </c>
      <c r="AC27" s="1527">
        <f t="shared" si="5"/>
        <v>1</v>
      </c>
    </row>
    <row r="28" spans="1:29" ht="27">
      <c r="A28" s="387"/>
      <c r="B28" s="589" t="s">
        <v>2510</v>
      </c>
      <c r="C28" s="216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419"/>
      <c r="Q28" s="1526" t="str">
        <f t="shared" si="8"/>
        <v>毗邻道路的类型与等级</v>
      </c>
      <c r="R28" s="714" t="s">
        <v>17</v>
      </c>
      <c r="S28" s="715">
        <f t="shared" si="10"/>
        <v>100</v>
      </c>
      <c r="T28" s="714" t="s">
        <v>17</v>
      </c>
      <c r="U28" s="715">
        <f t="shared" si="11"/>
        <v>100</v>
      </c>
      <c r="V28" s="714" t="s">
        <v>17</v>
      </c>
      <c r="W28" s="715">
        <f t="shared" si="12"/>
        <v>100</v>
      </c>
      <c r="X28" s="1529"/>
      <c r="Y28" s="3419"/>
      <c r="Z28" s="1530" t="str">
        <f t="shared" si="13"/>
        <v>毗邻道路的类型与等级</v>
      </c>
      <c r="AA28" s="1527">
        <f t="shared" si="3"/>
        <v>1</v>
      </c>
      <c r="AB28" s="1527">
        <f t="shared" si="4"/>
        <v>1</v>
      </c>
      <c r="AC28" s="1527">
        <f t="shared" si="5"/>
        <v>1</v>
      </c>
    </row>
    <row r="29" spans="1:29" ht="15">
      <c r="A29" s="387"/>
      <c r="B29" s="588"/>
      <c r="C29" s="406"/>
      <c r="D29" s="407"/>
      <c r="E29" s="2079"/>
      <c r="F29" s="407"/>
      <c r="G29" s="2079"/>
      <c r="H29" s="407"/>
      <c r="I29" s="2079"/>
      <c r="J29" s="407"/>
      <c r="K29" s="570"/>
      <c r="L29" s="2938"/>
      <c r="M29" s="2932"/>
      <c r="N29" s="2932"/>
      <c r="O29" s="2990"/>
      <c r="P29" s="3419"/>
      <c r="Q29" s="1526"/>
      <c r="R29" s="714"/>
      <c r="S29" s="715"/>
      <c r="T29" s="714"/>
      <c r="U29" s="715"/>
      <c r="V29" s="714"/>
      <c r="W29" s="715"/>
      <c r="X29" s="1529"/>
      <c r="Y29" s="3419"/>
      <c r="Z29" s="1530"/>
      <c r="AA29" s="1527">
        <v>1</v>
      </c>
      <c r="AB29" s="1527">
        <v>1</v>
      </c>
      <c r="AC29" s="1527">
        <v>1</v>
      </c>
    </row>
    <row r="30" spans="1:29" ht="15">
      <c r="A30" s="387"/>
      <c r="B30" s="610" t="s">
        <v>2569</v>
      </c>
      <c r="C30" s="129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419"/>
      <c r="Q30" s="1526" t="str">
        <f t="shared" si="8"/>
        <v>土地级别</v>
      </c>
      <c r="R30" s="714" t="s">
        <v>17</v>
      </c>
      <c r="S30" s="715">
        <f t="shared" si="10"/>
        <v>100</v>
      </c>
      <c r="T30" s="714" t="s">
        <v>17</v>
      </c>
      <c r="U30" s="715">
        <f t="shared" si="11"/>
        <v>100</v>
      </c>
      <c r="V30" s="714" t="s">
        <v>17</v>
      </c>
      <c r="W30" s="715">
        <f t="shared" si="12"/>
        <v>100</v>
      </c>
      <c r="X30" s="1529"/>
      <c r="Y30" s="3419"/>
      <c r="Z30" s="1530" t="str">
        <f t="shared" si="13"/>
        <v>土地级别</v>
      </c>
      <c r="AA30" s="1527">
        <f t="shared" si="3"/>
        <v>1</v>
      </c>
      <c r="AB30" s="1527">
        <f t="shared" si="4"/>
        <v>1</v>
      </c>
      <c r="AC30" s="1527">
        <f t="shared" si="5"/>
        <v>1</v>
      </c>
    </row>
    <row r="31" spans="1:29" ht="15">
      <c r="A31" s="364"/>
      <c r="B31" s="214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419"/>
      <c r="Q31" s="1526">
        <f t="shared" si="8"/>
        <v>111</v>
      </c>
      <c r="R31" s="714" t="s">
        <v>17</v>
      </c>
      <c r="S31" s="715">
        <f t="shared" si="10"/>
        <v>100</v>
      </c>
      <c r="T31" s="714" t="s">
        <v>17</v>
      </c>
      <c r="U31" s="715">
        <f t="shared" si="11"/>
        <v>100</v>
      </c>
      <c r="V31" s="714" t="s">
        <v>17</v>
      </c>
      <c r="W31" s="715">
        <f t="shared" si="12"/>
        <v>100</v>
      </c>
      <c r="X31" s="1529"/>
      <c r="Y31" s="3419"/>
      <c r="Z31" s="1530">
        <f t="shared" si="13"/>
        <v>111</v>
      </c>
      <c r="AA31" s="1527">
        <f t="shared" si="3"/>
        <v>1</v>
      </c>
      <c r="AB31" s="1527">
        <f t="shared" si="4"/>
        <v>1</v>
      </c>
      <c r="AC31" s="1527">
        <f t="shared" si="5"/>
        <v>1</v>
      </c>
    </row>
    <row r="32" spans="1:29" ht="15">
      <c r="A32" s="631"/>
      <c r="B32" s="216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420" t="s">
        <v>2384</v>
      </c>
      <c r="Q32" s="1526">
        <f t="shared" si="8"/>
        <v>111</v>
      </c>
      <c r="R32" s="714" t="s">
        <v>17</v>
      </c>
      <c r="S32" s="715">
        <f t="shared" si="10"/>
        <v>100</v>
      </c>
      <c r="T32" s="714" t="s">
        <v>17</v>
      </c>
      <c r="U32" s="715">
        <f t="shared" si="11"/>
        <v>100</v>
      </c>
      <c r="V32" s="714" t="s">
        <v>17</v>
      </c>
      <c r="W32" s="715">
        <f t="shared" si="12"/>
        <v>100</v>
      </c>
      <c r="X32" s="1529"/>
      <c r="Y32" s="3421" t="s">
        <v>2384</v>
      </c>
      <c r="Z32" s="1530">
        <f t="shared" si="13"/>
        <v>111</v>
      </c>
      <c r="AA32" s="1527">
        <f t="shared" si="3"/>
        <v>1</v>
      </c>
      <c r="AB32" s="1527">
        <f t="shared" si="4"/>
        <v>1</v>
      </c>
      <c r="AC32" s="1527">
        <f t="shared" si="5"/>
        <v>1</v>
      </c>
    </row>
    <row r="33" spans="1:31" s="430" customFormat="1" ht="15.75" thickBot="1">
      <c r="A33" s="632"/>
      <c r="B33" s="216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421"/>
      <c r="Q33" s="1526">
        <f t="shared" si="8"/>
        <v>111</v>
      </c>
      <c r="R33" s="717" t="s">
        <v>17</v>
      </c>
      <c r="S33" s="718">
        <f t="shared" si="10"/>
        <v>100</v>
      </c>
      <c r="T33" s="717" t="s">
        <v>17</v>
      </c>
      <c r="U33" s="718">
        <f t="shared" si="11"/>
        <v>100</v>
      </c>
      <c r="V33" s="717" t="s">
        <v>17</v>
      </c>
      <c r="W33" s="718">
        <f t="shared" si="12"/>
        <v>100</v>
      </c>
      <c r="X33" s="719"/>
      <c r="Y33" s="3421"/>
      <c r="Z33" s="720">
        <f t="shared" si="13"/>
        <v>111</v>
      </c>
      <c r="AA33" s="1527">
        <f t="shared" si="3"/>
        <v>1</v>
      </c>
      <c r="AB33" s="1527">
        <f t="shared" si="4"/>
        <v>1</v>
      </c>
      <c r="AC33" s="152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421"/>
      <c r="Q34" s="1526" t="str">
        <f>B34</f>
        <v>宗地面积</v>
      </c>
      <c r="R34" s="714" t="s">
        <v>17</v>
      </c>
      <c r="S34" s="715" t="e">
        <f t="shared" si="10"/>
        <v>#N/A</v>
      </c>
      <c r="T34" s="714" t="s">
        <v>17</v>
      </c>
      <c r="U34" s="715" t="e">
        <f t="shared" si="11"/>
        <v>#N/A</v>
      </c>
      <c r="V34" s="714" t="s">
        <v>17</v>
      </c>
      <c r="W34" s="715" t="e">
        <f t="shared" si="12"/>
        <v>#N/A</v>
      </c>
      <c r="X34" s="1529"/>
      <c r="Y34" s="3421"/>
      <c r="Z34" s="1530" t="str">
        <f t="shared" si="13"/>
        <v>宗地面积</v>
      </c>
      <c r="AA34" s="1527" t="e">
        <f t="shared" si="3"/>
        <v>#N/A</v>
      </c>
      <c r="AB34" s="1527" t="e">
        <f t="shared" si="4"/>
        <v>#N/A</v>
      </c>
      <c r="AC34" s="1527" t="e">
        <f t="shared" si="5"/>
        <v>#N/A</v>
      </c>
    </row>
    <row r="35" spans="1:31" ht="15">
      <c r="A35" s="431"/>
      <c r="B35" s="381" t="s">
        <v>2571</v>
      </c>
      <c r="C35" s="2081"/>
      <c r="D35" s="394">
        <v>100</v>
      </c>
      <c r="E35" s="2081"/>
      <c r="F35" s="394">
        <f>SUMIF(110:110,E35,111:111)-SUMIF(110:110,C35,111:111)+100</f>
        <v>100</v>
      </c>
      <c r="G35" s="2081"/>
      <c r="H35" s="394">
        <f>SUMIF(110:110,G35,111:111)-SUMIF(110:110,C35,111:111)+100</f>
        <v>100</v>
      </c>
      <c r="I35" s="2081"/>
      <c r="J35" s="394">
        <f>SUMIF(110:110,I35,111:111)-SUMIF(110:110,C35,111:111)+100</f>
        <v>100</v>
      </c>
      <c r="K35" s="569"/>
      <c r="L35" s="2938"/>
      <c r="M35" s="2932"/>
      <c r="N35" s="2932"/>
      <c r="O35" s="2990"/>
      <c r="P35" s="3421"/>
      <c r="Q35" s="1526" t="str">
        <f t="shared" ref="Q35:Q40" si="14">B35</f>
        <v>宗地形状</v>
      </c>
      <c r="R35" s="714" t="s">
        <v>17</v>
      </c>
      <c r="S35" s="715">
        <f t="shared" si="10"/>
        <v>100</v>
      </c>
      <c r="T35" s="714" t="s">
        <v>17</v>
      </c>
      <c r="U35" s="715">
        <f t="shared" si="11"/>
        <v>100</v>
      </c>
      <c r="V35" s="714" t="s">
        <v>17</v>
      </c>
      <c r="W35" s="715">
        <f t="shared" si="12"/>
        <v>100</v>
      </c>
      <c r="X35" s="1529"/>
      <c r="Y35" s="3421"/>
      <c r="Z35" s="1530" t="str">
        <f t="shared" si="13"/>
        <v>宗地形状</v>
      </c>
      <c r="AA35" s="1527">
        <f t="shared" si="3"/>
        <v>1</v>
      </c>
      <c r="AB35" s="1527">
        <f t="shared" si="4"/>
        <v>1</v>
      </c>
      <c r="AC35" s="1527">
        <f t="shared" si="5"/>
        <v>1</v>
      </c>
    </row>
    <row r="36" spans="1:31" s="113" customFormat="1" ht="15">
      <c r="A36" s="432"/>
      <c r="B36" s="381" t="s">
        <v>2573</v>
      </c>
      <c r="C36" s="2155"/>
      <c r="D36" s="132">
        <v>100</v>
      </c>
      <c r="E36" s="2155"/>
      <c r="F36" s="394">
        <f>SUMIF(112:112,E36,113:113)-SUMIF(112:112,C36,113:113)+100</f>
        <v>100</v>
      </c>
      <c r="G36" s="2155"/>
      <c r="H36" s="394">
        <f>SUMIF(112:112,G36,113:113)-SUMIF(112:112,C36,113:113)+100</f>
        <v>100</v>
      </c>
      <c r="I36" s="2155"/>
      <c r="J36" s="394">
        <f>SUMIF(112:112,I36,113:113)-SUMIF(112:112,C36,113:113)+100</f>
        <v>100</v>
      </c>
      <c r="K36" s="569"/>
      <c r="L36" s="2933"/>
      <c r="M36" s="2934"/>
      <c r="N36" s="2934"/>
      <c r="O36" s="2988"/>
      <c r="P36" s="3421"/>
      <c r="Q36" s="1526" t="str">
        <f t="shared" si="14"/>
        <v>宗地开发程度</v>
      </c>
      <c r="R36" s="710" t="s">
        <v>17</v>
      </c>
      <c r="S36" s="711">
        <f t="shared" si="10"/>
        <v>100</v>
      </c>
      <c r="T36" s="710" t="s">
        <v>17</v>
      </c>
      <c r="U36" s="711">
        <f t="shared" si="11"/>
        <v>100</v>
      </c>
      <c r="V36" s="710" t="s">
        <v>17</v>
      </c>
      <c r="W36" s="711">
        <f t="shared" si="12"/>
        <v>100</v>
      </c>
      <c r="X36" s="712"/>
      <c r="Y36" s="3421"/>
      <c r="Z36" s="55" t="str">
        <f t="shared" si="13"/>
        <v>宗地开发程度</v>
      </c>
      <c r="AA36" s="713">
        <f t="shared" si="3"/>
        <v>1</v>
      </c>
      <c r="AB36" s="713">
        <f t="shared" si="4"/>
        <v>1</v>
      </c>
      <c r="AC36" s="713">
        <f t="shared" si="5"/>
        <v>1</v>
      </c>
    </row>
    <row r="37" spans="1:31" ht="15">
      <c r="A37" s="431"/>
      <c r="B37" s="381" t="s">
        <v>2574</v>
      </c>
      <c r="C37" s="2081"/>
      <c r="D37" s="394">
        <v>100</v>
      </c>
      <c r="E37" s="2081"/>
      <c r="F37" s="394">
        <f>SUMIF(114:114,E37,115:115)-SUMIF(114:114,C37,115:115)+100</f>
        <v>100</v>
      </c>
      <c r="G37" s="2081"/>
      <c r="H37" s="394">
        <f>SUMIF(114:114,G37,115:115)-SUMIF(114:114,C37,115:115)+100</f>
        <v>100</v>
      </c>
      <c r="I37" s="2081"/>
      <c r="J37" s="394">
        <f>SUMIF(114:114,I37,115:115)-SUMIF(114:114,C37,115:115)+100</f>
        <v>100</v>
      </c>
      <c r="K37" s="569"/>
      <c r="L37" s="2938"/>
      <c r="M37" s="2932"/>
      <c r="N37" s="2932"/>
      <c r="O37" s="2990"/>
      <c r="P37" s="3421" t="s">
        <v>2384</v>
      </c>
      <c r="Q37" s="1526" t="str">
        <f t="shared" si="14"/>
        <v>工程地质条件</v>
      </c>
      <c r="R37" s="714" t="s">
        <v>17</v>
      </c>
      <c r="S37" s="715">
        <f t="shared" si="10"/>
        <v>100</v>
      </c>
      <c r="T37" s="714" t="s">
        <v>17</v>
      </c>
      <c r="U37" s="715">
        <f t="shared" si="11"/>
        <v>100</v>
      </c>
      <c r="V37" s="714" t="s">
        <v>17</v>
      </c>
      <c r="W37" s="715">
        <f t="shared" si="12"/>
        <v>100</v>
      </c>
      <c r="X37" s="1529"/>
      <c r="Y37" s="3421" t="s">
        <v>2384</v>
      </c>
      <c r="Z37" s="1530" t="str">
        <f t="shared" si="13"/>
        <v>工程地质条件</v>
      </c>
      <c r="AA37" s="1527">
        <f t="shared" si="3"/>
        <v>1</v>
      </c>
      <c r="AB37" s="1527">
        <f t="shared" si="4"/>
        <v>1</v>
      </c>
      <c r="AC37" s="1527">
        <f t="shared" si="5"/>
        <v>1</v>
      </c>
    </row>
    <row r="38" spans="1:31" ht="15">
      <c r="A38" s="431"/>
      <c r="B38" s="128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421"/>
      <c r="Q38" s="1526">
        <f t="shared" si="14"/>
        <v>111</v>
      </c>
      <c r="R38" s="714" t="s">
        <v>17</v>
      </c>
      <c r="S38" s="715">
        <f t="shared" si="10"/>
        <v>100</v>
      </c>
      <c r="T38" s="714" t="s">
        <v>17</v>
      </c>
      <c r="U38" s="715">
        <f t="shared" si="11"/>
        <v>100</v>
      </c>
      <c r="V38" s="714" t="s">
        <v>17</v>
      </c>
      <c r="W38" s="715">
        <f t="shared" si="12"/>
        <v>100</v>
      </c>
      <c r="X38" s="1529"/>
      <c r="Y38" s="3421"/>
      <c r="Z38" s="1530">
        <f t="shared" si="13"/>
        <v>111</v>
      </c>
      <c r="AA38" s="1527">
        <f t="shared" si="3"/>
        <v>1</v>
      </c>
      <c r="AB38" s="1527">
        <f t="shared" si="4"/>
        <v>1</v>
      </c>
      <c r="AC38" s="1527">
        <f t="shared" si="5"/>
        <v>1</v>
      </c>
    </row>
    <row r="39" spans="1:31" ht="15">
      <c r="A39" s="431"/>
      <c r="B39" s="128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421"/>
      <c r="Q39" s="1526">
        <f t="shared" si="14"/>
        <v>111</v>
      </c>
      <c r="R39" s="714" t="s">
        <v>17</v>
      </c>
      <c r="S39" s="715">
        <f t="shared" si="10"/>
        <v>100</v>
      </c>
      <c r="T39" s="714" t="s">
        <v>17</v>
      </c>
      <c r="U39" s="715">
        <f t="shared" si="11"/>
        <v>100</v>
      </c>
      <c r="V39" s="714" t="s">
        <v>17</v>
      </c>
      <c r="W39" s="715">
        <f t="shared" si="12"/>
        <v>100</v>
      </c>
      <c r="X39" s="1529"/>
      <c r="Y39" s="3421"/>
      <c r="Z39" s="1530">
        <f t="shared" si="13"/>
        <v>111</v>
      </c>
      <c r="AA39" s="1527">
        <f t="shared" si="3"/>
        <v>1</v>
      </c>
      <c r="AB39" s="1527">
        <f t="shared" si="4"/>
        <v>1</v>
      </c>
      <c r="AC39" s="1527">
        <f t="shared" si="5"/>
        <v>1</v>
      </c>
    </row>
    <row r="40" spans="1:31" s="430" customFormat="1" ht="15.75" thickBot="1">
      <c r="A40" s="427"/>
      <c r="B40" s="1288">
        <v>111</v>
      </c>
      <c r="C40" s="2156"/>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421"/>
      <c r="Q40" s="1526">
        <f t="shared" si="14"/>
        <v>111</v>
      </c>
      <c r="R40" s="717" t="s">
        <v>17</v>
      </c>
      <c r="S40" s="718">
        <f t="shared" si="10"/>
        <v>100</v>
      </c>
      <c r="T40" s="717" t="s">
        <v>17</v>
      </c>
      <c r="U40" s="718">
        <f t="shared" si="11"/>
        <v>100</v>
      </c>
      <c r="V40" s="717" t="s">
        <v>17</v>
      </c>
      <c r="W40" s="718">
        <f t="shared" si="12"/>
        <v>100</v>
      </c>
      <c r="X40" s="719"/>
      <c r="Y40" s="3421"/>
      <c r="Z40" s="720">
        <f t="shared" si="13"/>
        <v>111</v>
      </c>
      <c r="AA40" s="1527">
        <f t="shared" si="3"/>
        <v>1</v>
      </c>
      <c r="AB40" s="1527">
        <f t="shared" si="4"/>
        <v>1</v>
      </c>
      <c r="AC40" s="1527">
        <f t="shared" si="5"/>
        <v>1</v>
      </c>
    </row>
    <row r="41" spans="1:31" ht="15">
      <c r="A41" s="438" t="s">
        <v>2539</v>
      </c>
      <c r="B41" s="2157" t="s">
        <v>2618</v>
      </c>
      <c r="C41" s="638" t="s">
        <v>1</v>
      </c>
      <c r="D41" s="440"/>
      <c r="E41" s="441"/>
      <c r="F41" s="442"/>
      <c r="G41" s="443"/>
      <c r="H41" s="444"/>
      <c r="I41" s="441"/>
      <c r="J41" s="444"/>
      <c r="K41" s="723"/>
      <c r="L41" s="2940"/>
      <c r="M41" s="2932"/>
      <c r="N41" s="2932"/>
      <c r="O41" s="2941"/>
      <c r="P41" s="3403" t="str">
        <f>A41</f>
        <v>成交单价</v>
      </c>
      <c r="Q41" s="3403"/>
      <c r="R41" s="3416">
        <f>E41</f>
        <v>0</v>
      </c>
      <c r="S41" s="3416"/>
      <c r="T41" s="3416">
        <f>G41</f>
        <v>0</v>
      </c>
      <c r="U41" s="3416"/>
      <c r="V41" s="3416">
        <f>I41</f>
        <v>0</v>
      </c>
      <c r="W41" s="3416"/>
      <c r="X41" s="699"/>
      <c r="Y41" s="721"/>
      <c r="Z41" s="699"/>
      <c r="AA41" s="699"/>
      <c r="AB41" s="699"/>
      <c r="AC41" s="699"/>
    </row>
    <row r="42" spans="1:31" ht="15.75" thickBot="1">
      <c r="A42" s="445" t="s">
        <v>2488</v>
      </c>
      <c r="B42" s="639"/>
      <c r="C42" s="448" t="e">
        <f>R43</f>
        <v>#DIV/0!</v>
      </c>
      <c r="D42" s="2527" t="s">
        <v>2872</v>
      </c>
      <c r="E42" s="448" t="e">
        <f>R42</f>
        <v>#DIV/0!</v>
      </c>
      <c r="F42" s="2528"/>
      <c r="G42" s="447" t="e">
        <f>T42</f>
        <v>#DIV/0!</v>
      </c>
      <c r="H42" s="2528"/>
      <c r="I42" s="448" t="e">
        <f>V42</f>
        <v>#DIV/0!</v>
      </c>
      <c r="J42" s="2528"/>
      <c r="K42" s="2530">
        <f>F42+H42+J42</f>
        <v>0</v>
      </c>
      <c r="L42" s="2940"/>
      <c r="M42" s="2932"/>
      <c r="N42" s="2932"/>
      <c r="O42" s="2941"/>
      <c r="P42" s="3403" t="str">
        <f>A42</f>
        <v>比较价值（元/平方米）</v>
      </c>
      <c r="Q42" s="3403"/>
      <c r="R42" s="3422" t="e">
        <f>ROUND(PRODUCT(R41,AA7:AA40),0)</f>
        <v>#DIV/0!</v>
      </c>
      <c r="S42" s="3422"/>
      <c r="T42" s="3422" t="e">
        <f>ROUND(PRODUCT(T41,AB7:AB40),0)</f>
        <v>#DIV/0!</v>
      </c>
      <c r="U42" s="3422"/>
      <c r="V42" s="3422" t="e">
        <f>ROUND(PRODUCT(V41,AC7:AC40),0)</f>
        <v>#DIV/0!</v>
      </c>
      <c r="W42" s="3422"/>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0"/>
      <c r="M43" s="2932"/>
      <c r="N43" s="2932"/>
      <c r="O43" s="2941"/>
      <c r="P43" s="3423" t="str">
        <f>A43</f>
        <v>估价对象XX用房的比较价值（楼面单价，元/平方米）</v>
      </c>
      <c r="Q43" s="3424"/>
      <c r="R43" s="3425" t="e">
        <f>ROUND(IF(D42="简单平均",AVERAGE(R42:W42),R42*F42+T42*H42+V42*J42),0)</f>
        <v>#DIV/0!</v>
      </c>
      <c r="S43" s="3425"/>
      <c r="T43" s="3425"/>
      <c r="U43" s="3425"/>
      <c r="V43" s="3425"/>
      <c r="W43" s="3425"/>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2577</v>
      </c>
      <c r="B50" s="641" t="s">
        <v>2578</v>
      </c>
      <c r="C50" s="2158" t="s">
        <v>2579</v>
      </c>
      <c r="D50" s="2159" t="s">
        <v>2580</v>
      </c>
      <c r="E50" s="642" t="s">
        <v>2581</v>
      </c>
      <c r="F50" s="643" t="s">
        <v>2582</v>
      </c>
      <c r="G50" s="3404" t="s">
        <v>2583</v>
      </c>
      <c r="H50" s="3426"/>
      <c r="I50" s="1530" t="s">
        <v>2619</v>
      </c>
      <c r="J50" s="1530">
        <f>项目基本情况!F35</f>
        <v>0</v>
      </c>
      <c r="K50" s="2161" t="s">
        <v>2585</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2586</v>
      </c>
      <c r="B51" s="645" t="e">
        <f>C43</f>
        <v>#DIV/0!</v>
      </c>
      <c r="C51" s="646">
        <v>1</v>
      </c>
      <c r="D51" s="1068">
        <v>1</v>
      </c>
      <c r="E51" s="646">
        <f>'数据-汇总表'!E8+'数据-汇总表'!E9</f>
        <v>998.81000000000006</v>
      </c>
      <c r="F51" s="647" t="e">
        <f t="shared" ref="F51:F60" si="15">ROUND(B51*E51/10000,0)</f>
        <v>#DIV/0!</v>
      </c>
      <c r="G51" s="3427"/>
      <c r="H51" s="3403"/>
      <c r="I51" s="873">
        <v>1</v>
      </c>
      <c r="J51" s="873">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2587</v>
      </c>
      <c r="B52" s="224" t="e">
        <f>ROUND($C$43*C52*D52,0)</f>
        <v>#DIV/0!</v>
      </c>
      <c r="C52" s="176">
        <f t="shared" ref="C52:C60" si="16">IF($C$50="北京市系数",I52,J52)</f>
        <v>0.7</v>
      </c>
      <c r="D52" s="1069">
        <v>0.25</v>
      </c>
      <c r="E52" s="650"/>
      <c r="F52" s="647" t="e">
        <f t="shared" si="15"/>
        <v>#DIV/0!</v>
      </c>
      <c r="G52" s="3428" t="s">
        <v>2588</v>
      </c>
      <c r="H52" s="1012" t="str">
        <f>项目基本情况!B37</f>
        <v>六级</v>
      </c>
      <c r="I52" s="873">
        <f>SUMIF(修正!A45:A56,H52,修正!B45:B56)</f>
        <v>0.7</v>
      </c>
      <c r="J52" s="874"/>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2589</v>
      </c>
      <c r="B53" s="224" t="e">
        <f t="shared" ref="B53:B60" si="17">ROUND($C$43*C53*D53,0)</f>
        <v>#DIV/0!</v>
      </c>
      <c r="C53" s="176">
        <f t="shared" si="16"/>
        <v>0.4</v>
      </c>
      <c r="D53" s="1069">
        <v>0.25</v>
      </c>
      <c r="E53" s="650"/>
      <c r="F53" s="647" t="e">
        <f t="shared" si="15"/>
        <v>#DIV/0!</v>
      </c>
      <c r="G53" s="3428"/>
      <c r="H53" s="1012" t="str">
        <f>项目基本情况!B37</f>
        <v>六级</v>
      </c>
      <c r="I53" s="873">
        <f>SUMIF(修正!A45:A56,H53,修正!C45:C56)</f>
        <v>0.4</v>
      </c>
      <c r="J53" s="874"/>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2590</v>
      </c>
      <c r="B54" s="224" t="e">
        <f t="shared" si="17"/>
        <v>#DIV/0!</v>
      </c>
      <c r="C54" s="176">
        <f t="shared" si="16"/>
        <v>0.28000000000000003</v>
      </c>
      <c r="D54" s="1069">
        <v>0.25</v>
      </c>
      <c r="E54" s="650"/>
      <c r="F54" s="647" t="e">
        <f t="shared" si="15"/>
        <v>#DIV/0!</v>
      </c>
      <c r="G54" s="3428"/>
      <c r="H54" s="1012" t="str">
        <f>项目基本情况!B37</f>
        <v>六级</v>
      </c>
      <c r="I54" s="873">
        <f>SUMIF(修正!A45:A56,H54,修正!D45:D56)</f>
        <v>0.28000000000000003</v>
      </c>
      <c r="J54" s="874"/>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2591</v>
      </c>
      <c r="B55" s="224" t="e">
        <f t="shared" si="17"/>
        <v>#DIV/0!</v>
      </c>
      <c r="C55" s="176">
        <f t="shared" si="16"/>
        <v>0.25</v>
      </c>
      <c r="D55" s="1069">
        <v>0.25</v>
      </c>
      <c r="E55" s="650"/>
      <c r="F55" s="647" t="e">
        <f t="shared" si="15"/>
        <v>#DIV/0!</v>
      </c>
      <c r="G55" s="3428"/>
      <c r="H55" s="1012" t="str">
        <f>项目基本情况!B37</f>
        <v>六级</v>
      </c>
      <c r="I55" s="873">
        <f>SUMIF(修正!A45:A56,H55,修正!E45:E56)</f>
        <v>0.25</v>
      </c>
      <c r="J55" s="874"/>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2592</v>
      </c>
      <c r="B56" s="224" t="e">
        <f t="shared" si="17"/>
        <v>#DIV/0!</v>
      </c>
      <c r="C56" s="176">
        <f t="shared" si="16"/>
        <v>0</v>
      </c>
      <c r="D56" s="1069">
        <v>0.25</v>
      </c>
      <c r="E56" s="223">
        <f>'数据-汇总表'!E11</f>
        <v>0</v>
      </c>
      <c r="F56" s="647" t="e">
        <f t="shared" si="15"/>
        <v>#DIV/0!</v>
      </c>
      <c r="G56" s="2162" t="s">
        <v>2593</v>
      </c>
      <c r="H56" s="1012">
        <f>项目基本情况!C37</f>
        <v>0</v>
      </c>
      <c r="I56" s="873">
        <f>SUMIF(修正!A45:A56,H56,修正!F45:F56)</f>
        <v>0</v>
      </c>
      <c r="J56" s="874"/>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2594</v>
      </c>
      <c r="B57" s="224" t="e">
        <f t="shared" si="17"/>
        <v>#DIV/0!</v>
      </c>
      <c r="C57" s="176">
        <f t="shared" si="16"/>
        <v>0</v>
      </c>
      <c r="D57" s="1069">
        <v>0.25</v>
      </c>
      <c r="E57" s="223">
        <f>'数据-汇总表'!E12</f>
        <v>0</v>
      </c>
      <c r="F57" s="647" t="e">
        <f t="shared" si="15"/>
        <v>#DIV/0!</v>
      </c>
      <c r="G57" s="1017" t="s">
        <v>2595</v>
      </c>
      <c r="H57" s="1012">
        <f>IF(G57="商业",项目基本情况!B37,IF(G57="办公",项目基本情况!C37,IF(G57="住宅",项目基本情况!D37,项目基本情况!E37)))</f>
        <v>0</v>
      </c>
      <c r="I57" s="873">
        <f>SUMIF(修正!A45:A56,H57,修正!G45:G56)</f>
        <v>0</v>
      </c>
      <c r="J57" s="874"/>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2596</v>
      </c>
      <c r="B58" s="224" t="e">
        <f t="shared" si="17"/>
        <v>#DIV/0!</v>
      </c>
      <c r="C58" s="176">
        <f t="shared" si="16"/>
        <v>0</v>
      </c>
      <c r="D58" s="1069">
        <v>0.25</v>
      </c>
      <c r="E58" s="223">
        <f>'数据-汇总表'!E13</f>
        <v>0</v>
      </c>
      <c r="F58" s="647" t="e">
        <f t="shared" si="15"/>
        <v>#DIV/0!</v>
      </c>
      <c r="G58" s="1017" t="s">
        <v>2597</v>
      </c>
      <c r="H58" s="1012">
        <f>IF(G58="商业",项目基本情况!B37,IF(G58="办公",项目基本情况!C37,IF(G58="住宅",项目基本情况!D37,项目基本情况!E37)))</f>
        <v>0</v>
      </c>
      <c r="I58" s="873">
        <f>SUMIF(修正!A45:A56,H58,修正!H45:H56)</f>
        <v>0</v>
      </c>
      <c r="J58" s="874"/>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2598</v>
      </c>
      <c r="B59" s="224" t="e">
        <f t="shared" si="17"/>
        <v>#DIV/0!</v>
      </c>
      <c r="C59" s="176">
        <f t="shared" si="16"/>
        <v>0.2</v>
      </c>
      <c r="D59" s="1069">
        <v>0.25</v>
      </c>
      <c r="E59" s="223">
        <f>'数据-汇总表'!E14</f>
        <v>0</v>
      </c>
      <c r="F59" s="647" t="e">
        <f t="shared" si="15"/>
        <v>#DIV/0!</v>
      </c>
      <c r="G59" s="2162" t="s">
        <v>2588</v>
      </c>
      <c r="H59" s="1012" t="str">
        <f>项目基本情况!B37</f>
        <v>六级</v>
      </c>
      <c r="I59" s="873">
        <f>SUMIF(修正!A45:A56,H59,修正!H45:H56)</f>
        <v>0.2</v>
      </c>
      <c r="J59" s="874"/>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2599</v>
      </c>
      <c r="B60" s="224" t="e">
        <f t="shared" si="17"/>
        <v>#DIV/0!</v>
      </c>
      <c r="C60" s="176">
        <f t="shared" si="16"/>
        <v>0</v>
      </c>
      <c r="D60" s="1069">
        <v>0.25</v>
      </c>
      <c r="E60" s="223">
        <f>'数据-汇总表'!E15</f>
        <v>0</v>
      </c>
      <c r="F60" s="647" t="e">
        <f t="shared" si="15"/>
        <v>#DIV/0!</v>
      </c>
      <c r="G60" s="2163" t="s">
        <v>2593</v>
      </c>
      <c r="H60" s="1022">
        <f>项目基本情况!C37</f>
        <v>0</v>
      </c>
      <c r="I60" s="873">
        <f>SUMIF(修正!A45:A56,H60,修正!H45:H56)</f>
        <v>0</v>
      </c>
      <c r="J60" s="874"/>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2600</v>
      </c>
      <c r="B61" s="652" t="s">
        <v>28</v>
      </c>
      <c r="C61" s="652" t="s">
        <v>29</v>
      </c>
      <c r="D61" s="652" t="s">
        <v>997</v>
      </c>
      <c r="E61" s="652">
        <f>IF(B41="楼面地价",SUM(E51:E60),'数据-汇总表'!D3)</f>
        <v>0</v>
      </c>
      <c r="F61" s="653" t="e">
        <f>IF(B41="楼面地价",SUM(F51:F60),ROUND(C43*E61/10000,0))</f>
        <v>#DIV/0!</v>
      </c>
      <c r="G61" s="1063"/>
      <c r="H61" s="1063"/>
      <c r="I61" s="1063"/>
      <c r="J61" s="1063"/>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1"/>
      <c r="B62" s="1053"/>
      <c r="C62" s="1055"/>
      <c r="D62" s="1051"/>
      <c r="E62" s="1051"/>
      <c r="F62" s="1051"/>
      <c r="G62" s="1051"/>
      <c r="H62" s="1051"/>
      <c r="I62" s="1051"/>
      <c r="J62" s="1051"/>
      <c r="K62" s="1013"/>
      <c r="L62" s="1014"/>
      <c r="M62" s="1051"/>
      <c r="N62" s="1051"/>
      <c r="O62" s="1051"/>
      <c r="P62" s="2941"/>
      <c r="Q62" s="2941"/>
      <c r="R62" s="2941"/>
      <c r="S62" s="2941"/>
      <c r="T62" s="2941"/>
      <c r="U62" s="2941"/>
      <c r="V62" s="2941"/>
      <c r="W62" s="2941"/>
      <c r="X62" s="2941"/>
      <c r="Y62" s="2941"/>
      <c r="Z62" s="2941"/>
      <c r="AA62" s="2941"/>
      <c r="AB62" s="2941"/>
      <c r="AC62" s="2941"/>
      <c r="AD62" s="2941"/>
      <c r="AE62" s="2941"/>
    </row>
    <row r="63" spans="1:31">
      <c r="A63" s="1051"/>
      <c r="B63" s="1053"/>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1"/>
      <c r="Q63" s="2941"/>
      <c r="R63" s="2941"/>
      <c r="S63" s="2941"/>
      <c r="T63" s="2941"/>
      <c r="U63" s="2941"/>
      <c r="V63" s="2941"/>
      <c r="W63" s="2941"/>
      <c r="X63" s="2941"/>
      <c r="Y63" s="2941"/>
      <c r="Z63" s="2941"/>
      <c r="AA63" s="2941"/>
      <c r="AB63" s="2941"/>
      <c r="AC63" s="2941"/>
      <c r="AD63" s="2941"/>
      <c r="AE63" s="2941"/>
    </row>
    <row r="64" spans="1:31" ht="21.75" thickBot="1">
      <c r="A64" s="703" t="s">
        <v>2493</v>
      </c>
      <c r="B64" s="699"/>
      <c r="C64" s="704"/>
      <c r="D64" s="704"/>
      <c r="E64" s="704"/>
      <c r="F64" s="705"/>
      <c r="G64" s="705"/>
      <c r="H64" s="704"/>
      <c r="I64" s="704"/>
      <c r="J64" s="704"/>
      <c r="K64" s="706"/>
      <c r="L64" s="707"/>
      <c r="M64" s="704"/>
      <c r="N64" s="704"/>
      <c r="O64" s="1064"/>
      <c r="P64" s="2985"/>
      <c r="Q64" s="2955"/>
      <c r="R64" s="2941"/>
      <c r="S64" s="2941"/>
      <c r="T64" s="2941"/>
      <c r="U64" s="2941"/>
      <c r="V64" s="2941"/>
      <c r="W64" s="2941"/>
      <c r="X64" s="2941"/>
      <c r="Y64" s="2941"/>
      <c r="Z64" s="2941"/>
      <c r="AA64" s="2941"/>
      <c r="AB64" s="2941"/>
      <c r="AC64" s="2941"/>
      <c r="AD64" s="2941"/>
      <c r="AE64" s="2941"/>
    </row>
    <row r="65" spans="1:31" s="465" customFormat="1" ht="15">
      <c r="A65" s="2164" t="s">
        <v>2601</v>
      </c>
      <c r="B65" s="1261"/>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69" t="s">
        <v>2620</v>
      </c>
      <c r="B66" s="294" t="str">
        <f>"北京市平均增长率"&amp;TEXT(基准地价修正!P24,"0.00%")</f>
        <v>北京市平均增长率1.22%</v>
      </c>
      <c r="C66" s="560">
        <v>100</v>
      </c>
      <c r="D66" s="552"/>
      <c r="E66" s="552"/>
      <c r="F66" s="552"/>
      <c r="G66" s="552"/>
      <c r="H66" s="552"/>
      <c r="I66" s="552"/>
      <c r="J66" s="552"/>
      <c r="K66" s="552"/>
      <c r="L66" s="552"/>
      <c r="M66" s="1332"/>
      <c r="N66" s="1332"/>
      <c r="O66" s="1333"/>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2404</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2369</v>
      </c>
      <c r="B68" s="467"/>
      <c r="C68" s="479" t="s">
        <v>2471</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2407</v>
      </c>
      <c r="B70" s="485" t="s">
        <v>2373</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2376</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2378</v>
      </c>
      <c r="B83" s="485" t="s">
        <v>2524</v>
      </c>
      <c r="C83" s="530" t="s">
        <v>2416</v>
      </c>
      <c r="D83" s="530" t="s">
        <v>2417</v>
      </c>
      <c r="E83" s="530" t="s">
        <v>2418</v>
      </c>
      <c r="F83" s="530" t="s">
        <v>2419</v>
      </c>
      <c r="G83" s="530" t="s">
        <v>2420</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2421</v>
      </c>
      <c r="C85" s="535" t="s">
        <v>2416</v>
      </c>
      <c r="D85" s="535" t="s">
        <v>2417</v>
      </c>
      <c r="E85" s="535" t="s">
        <v>2418</v>
      </c>
      <c r="F85" s="535" t="s">
        <v>2419</v>
      </c>
      <c r="G85" s="535" t="s">
        <v>2420</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6"/>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2510</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2569</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2382</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4" t="str">
        <f t="shared" si="25"/>
        <v>(含)-</v>
      </c>
      <c r="L107" s="1494" t="str">
        <f t="shared" si="25"/>
        <v>(含)-</v>
      </c>
      <c r="M107" s="1495"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2610</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2612</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2613</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2857</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21" t="s">
        <v>183</v>
      </c>
      <c r="B18" s="815" t="s">
        <v>560</v>
      </c>
      <c r="C18" s="816" t="s">
        <v>561</v>
      </c>
      <c r="D18" s="817"/>
      <c r="E18" s="815">
        <v>1</v>
      </c>
      <c r="F18" s="818" t="s">
        <v>562</v>
      </c>
      <c r="G18" s="819"/>
      <c r="H18" s="811"/>
      <c r="I18" s="811"/>
    </row>
    <row r="19" spans="1:9" s="820" customFormat="1" ht="19.5" customHeight="1">
      <c r="A19" s="3521"/>
      <c r="B19" s="3521" t="s">
        <v>563</v>
      </c>
      <c r="C19" s="816" t="s">
        <v>564</v>
      </c>
      <c r="D19" s="817"/>
      <c r="E19" s="815">
        <v>0.9</v>
      </c>
      <c r="F19" s="818" t="s">
        <v>565</v>
      </c>
      <c r="G19" s="819"/>
      <c r="H19" s="811"/>
      <c r="I19" s="811"/>
    </row>
    <row r="20" spans="1:9" s="820" customFormat="1" ht="19.5" customHeight="1">
      <c r="A20" s="3521"/>
      <c r="B20" s="3521"/>
      <c r="C20" s="816" t="s">
        <v>566</v>
      </c>
      <c r="D20" s="817"/>
      <c r="E20" s="815">
        <v>1.1000000000000001</v>
      </c>
      <c r="F20" s="818" t="s">
        <v>567</v>
      </c>
      <c r="G20" s="819"/>
      <c r="H20" s="811"/>
      <c r="I20" s="811"/>
    </row>
    <row r="21" spans="1:9" s="820" customFormat="1" ht="19.5" customHeight="1">
      <c r="A21" s="3521"/>
      <c r="B21" s="3521"/>
      <c r="C21" s="816" t="s">
        <v>568</v>
      </c>
      <c r="D21" s="817"/>
      <c r="E21" s="815">
        <v>0.8</v>
      </c>
      <c r="F21" s="818" t="s">
        <v>569</v>
      </c>
      <c r="G21" s="819"/>
      <c r="H21" s="811"/>
      <c r="I21" s="811"/>
    </row>
    <row r="22" spans="1:9" s="820" customFormat="1" ht="19.5" customHeight="1">
      <c r="A22" s="3521"/>
      <c r="B22" s="3521"/>
      <c r="C22" s="816" t="s">
        <v>570</v>
      </c>
      <c r="D22" s="817"/>
      <c r="E22" s="815">
        <v>0.5</v>
      </c>
      <c r="F22" s="818"/>
      <c r="G22" s="819"/>
      <c r="H22" s="811"/>
      <c r="I22" s="811"/>
    </row>
    <row r="23" spans="1:9" s="820" customFormat="1" ht="19.5" customHeight="1">
      <c r="A23" s="3521" t="s">
        <v>184</v>
      </c>
      <c r="B23" s="815" t="s">
        <v>560</v>
      </c>
      <c r="C23" s="816" t="s">
        <v>571</v>
      </c>
      <c r="D23" s="817"/>
      <c r="E23" s="815">
        <v>1</v>
      </c>
      <c r="F23" s="818" t="s">
        <v>572</v>
      </c>
      <c r="G23" s="819"/>
      <c r="H23" s="811"/>
      <c r="I23" s="811"/>
    </row>
    <row r="24" spans="1:9" s="820" customFormat="1" ht="19.5" customHeight="1">
      <c r="A24" s="3521"/>
      <c r="B24" s="3521" t="s">
        <v>563</v>
      </c>
      <c r="C24" s="816" t="s">
        <v>573</v>
      </c>
      <c r="D24" s="817"/>
      <c r="E24" s="815">
        <v>0.5</v>
      </c>
      <c r="F24" s="818"/>
      <c r="G24" s="819"/>
      <c r="H24" s="811"/>
      <c r="I24" s="811"/>
    </row>
    <row r="25" spans="1:9" s="820" customFormat="1" ht="19.5" customHeight="1">
      <c r="A25" s="3521"/>
      <c r="B25" s="3521"/>
      <c r="C25" s="816" t="s">
        <v>574</v>
      </c>
      <c r="D25" s="817"/>
      <c r="E25" s="815">
        <v>1.1000000000000001</v>
      </c>
      <c r="F25" s="818"/>
      <c r="G25" s="819"/>
      <c r="H25" s="811"/>
      <c r="I25" s="811"/>
    </row>
    <row r="26" spans="1:9" s="820" customFormat="1" ht="19.5" customHeight="1">
      <c r="A26" s="3521"/>
      <c r="B26" s="3521"/>
      <c r="C26" s="816" t="s">
        <v>575</v>
      </c>
      <c r="D26" s="817"/>
      <c r="E26" s="815">
        <v>1.1000000000000001</v>
      </c>
      <c r="F26" s="818"/>
      <c r="G26" s="819"/>
      <c r="H26" s="811"/>
      <c r="I26" s="811"/>
    </row>
    <row r="27" spans="1:9" s="820" customFormat="1" ht="19.5" customHeight="1">
      <c r="A27" s="3521"/>
      <c r="B27" s="3521"/>
      <c r="C27" s="816" t="s">
        <v>576</v>
      </c>
      <c r="D27" s="817"/>
      <c r="E27" s="815">
        <v>0.9</v>
      </c>
      <c r="F27" s="818" t="s">
        <v>577</v>
      </c>
      <c r="G27" s="819"/>
      <c r="H27" s="811"/>
      <c r="I27" s="811"/>
    </row>
    <row r="28" spans="1:9" s="820" customFormat="1" ht="19.5" customHeight="1">
      <c r="A28" s="3521"/>
      <c r="B28" s="3521"/>
      <c r="C28" s="816" t="s">
        <v>578</v>
      </c>
      <c r="D28" s="817"/>
      <c r="E28" s="815">
        <v>0.9</v>
      </c>
      <c r="F28" s="818" t="s">
        <v>579</v>
      </c>
      <c r="G28" s="819"/>
      <c r="H28" s="811"/>
      <c r="I28" s="811"/>
    </row>
    <row r="29" spans="1:9" s="820" customFormat="1" ht="19.5" customHeight="1">
      <c r="A29" s="3521"/>
      <c r="B29" s="3521"/>
      <c r="C29" s="816" t="s">
        <v>580</v>
      </c>
      <c r="D29" s="817"/>
      <c r="E29" s="815">
        <v>0.9</v>
      </c>
      <c r="F29" s="818" t="s">
        <v>581</v>
      </c>
      <c r="G29" s="819"/>
      <c r="H29" s="811"/>
      <c r="I29" s="811"/>
    </row>
    <row r="30" spans="1:9" s="820" customFormat="1" ht="19.5" customHeight="1">
      <c r="A30" s="3521"/>
      <c r="B30" s="3521"/>
      <c r="C30" s="816" t="s">
        <v>582</v>
      </c>
      <c r="D30" s="817"/>
      <c r="E30" s="815">
        <v>0.9</v>
      </c>
      <c r="F30" s="818" t="s">
        <v>583</v>
      </c>
      <c r="G30" s="819"/>
      <c r="H30" s="811"/>
      <c r="I30" s="811"/>
    </row>
    <row r="31" spans="1:9" s="820" customFormat="1" ht="19.5" customHeight="1">
      <c r="A31" s="3521"/>
      <c r="B31" s="3521"/>
      <c r="C31" s="816" t="s">
        <v>584</v>
      </c>
      <c r="D31" s="817"/>
      <c r="E31" s="815">
        <v>0.8</v>
      </c>
      <c r="F31" s="818" t="s">
        <v>585</v>
      </c>
      <c r="G31" s="819"/>
      <c r="H31" s="811"/>
      <c r="I31" s="811"/>
    </row>
    <row r="32" spans="1:9" s="820" customFormat="1" ht="19.5" customHeight="1">
      <c r="A32" s="3521"/>
      <c r="B32" s="3521"/>
      <c r="C32" s="816" t="s">
        <v>586</v>
      </c>
      <c r="D32" s="817"/>
      <c r="E32" s="815">
        <v>0.8</v>
      </c>
      <c r="F32" s="818" t="s">
        <v>587</v>
      </c>
      <c r="G32" s="819"/>
      <c r="H32" s="811"/>
      <c r="I32" s="811"/>
    </row>
    <row r="33" spans="1:9" s="820" customFormat="1" ht="19.5" customHeight="1">
      <c r="A33" s="3521" t="s">
        <v>185</v>
      </c>
      <c r="B33" s="815" t="s">
        <v>560</v>
      </c>
      <c r="C33" s="816" t="s">
        <v>588</v>
      </c>
      <c r="D33" s="817"/>
      <c r="E33" s="815">
        <v>1</v>
      </c>
      <c r="F33" s="818" t="s">
        <v>589</v>
      </c>
      <c r="G33" s="819"/>
      <c r="H33" s="811"/>
      <c r="I33" s="811"/>
    </row>
    <row r="34" spans="1:9" s="820" customFormat="1" ht="19.5" customHeight="1">
      <c r="A34" s="3521"/>
      <c r="B34" s="815" t="s">
        <v>563</v>
      </c>
      <c r="C34" s="816" t="s">
        <v>590</v>
      </c>
      <c r="D34" s="817"/>
      <c r="E34" s="815">
        <v>1.5</v>
      </c>
      <c r="F34" s="818" t="s">
        <v>591</v>
      </c>
      <c r="G34" s="819"/>
      <c r="H34" s="811"/>
      <c r="I34" s="811"/>
    </row>
    <row r="35" spans="1:9" s="820" customFormat="1" ht="19.5" customHeight="1">
      <c r="A35" s="3521" t="s">
        <v>186</v>
      </c>
      <c r="B35" s="815" t="s">
        <v>560</v>
      </c>
      <c r="C35" s="816" t="s">
        <v>592</v>
      </c>
      <c r="D35" s="817"/>
      <c r="E35" s="815">
        <v>1</v>
      </c>
      <c r="F35" s="818" t="s">
        <v>593</v>
      </c>
      <c r="G35" s="819"/>
      <c r="H35" s="811"/>
      <c r="I35" s="811"/>
    </row>
    <row r="36" spans="1:9" s="820" customFormat="1" ht="19.5" customHeight="1">
      <c r="A36" s="3521"/>
      <c r="B36" s="3521" t="s">
        <v>563</v>
      </c>
      <c r="C36" s="816" t="s">
        <v>594</v>
      </c>
      <c r="D36" s="817"/>
      <c r="E36" s="815">
        <v>1</v>
      </c>
      <c r="F36" s="818" t="s">
        <v>595</v>
      </c>
      <c r="G36" s="819"/>
      <c r="H36" s="811"/>
      <c r="I36" s="811"/>
    </row>
    <row r="37" spans="1:9" s="820" customFormat="1" ht="19.5" customHeight="1">
      <c r="A37" s="3521"/>
      <c r="B37" s="3521"/>
      <c r="C37" s="816" t="s">
        <v>596</v>
      </c>
      <c r="D37" s="817"/>
      <c r="E37" s="815">
        <v>1.5</v>
      </c>
      <c r="F37" s="818" t="s">
        <v>597</v>
      </c>
      <c r="G37" s="819"/>
      <c r="H37" s="811"/>
      <c r="I37" s="811"/>
    </row>
    <row r="38" spans="1:9" s="820" customFormat="1" ht="19.5" customHeight="1">
      <c r="A38" s="3521"/>
      <c r="B38" s="3521"/>
      <c r="C38" s="816" t="s">
        <v>598</v>
      </c>
      <c r="D38" s="817"/>
      <c r="E38" s="815">
        <v>1</v>
      </c>
      <c r="F38" s="818" t="s">
        <v>599</v>
      </c>
      <c r="G38" s="819"/>
      <c r="H38" s="811"/>
      <c r="I38" s="811"/>
    </row>
    <row r="39" spans="1:9" s="820" customFormat="1" ht="19.5" customHeight="1">
      <c r="A39" s="3521"/>
      <c r="B39" s="352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521" t="s">
        <v>614</v>
      </c>
      <c r="C61" s="751" t="s">
        <v>615</v>
      </c>
      <c r="D61" s="751" t="s">
        <v>616</v>
      </c>
      <c r="E61" s="828">
        <v>0.5</v>
      </c>
      <c r="F61" s="815">
        <v>80</v>
      </c>
    </row>
    <row r="62" spans="1:8" s="811" customFormat="1" ht="24">
      <c r="A62" s="815">
        <v>2</v>
      </c>
      <c r="B62" s="3521"/>
      <c r="C62" s="751" t="s">
        <v>617</v>
      </c>
      <c r="D62" s="751" t="s">
        <v>618</v>
      </c>
      <c r="E62" s="828">
        <v>0.5</v>
      </c>
      <c r="F62" s="815">
        <v>80</v>
      </c>
    </row>
    <row r="63" spans="1:8" s="811" customFormat="1" ht="36">
      <c r="A63" s="815">
        <v>3</v>
      </c>
      <c r="B63" s="3521"/>
      <c r="C63" s="751" t="s">
        <v>619</v>
      </c>
      <c r="D63" s="751" t="s">
        <v>620</v>
      </c>
      <c r="E63" s="828">
        <v>0.5</v>
      </c>
      <c r="F63" s="815">
        <v>80</v>
      </c>
    </row>
    <row r="64" spans="1:8" s="811" customFormat="1" ht="36">
      <c r="A64" s="815">
        <v>4</v>
      </c>
      <c r="B64" s="3521"/>
      <c r="C64" s="751" t="s">
        <v>621</v>
      </c>
      <c r="D64" s="751" t="s">
        <v>622</v>
      </c>
      <c r="E64" s="828">
        <v>0.4</v>
      </c>
      <c r="F64" s="815">
        <v>60</v>
      </c>
    </row>
    <row r="65" spans="1:6" s="811" customFormat="1" ht="36">
      <c r="A65" s="815">
        <v>5</v>
      </c>
      <c r="B65" s="3521"/>
      <c r="C65" s="751" t="s">
        <v>623</v>
      </c>
      <c r="D65" s="751" t="s">
        <v>624</v>
      </c>
      <c r="E65" s="828">
        <v>0.2</v>
      </c>
      <c r="F65" s="815">
        <v>30</v>
      </c>
    </row>
    <row r="66" spans="1:6" s="811" customFormat="1" ht="36">
      <c r="A66" s="815">
        <v>6</v>
      </c>
      <c r="B66" s="3521"/>
      <c r="C66" s="751" t="s">
        <v>625</v>
      </c>
      <c r="D66" s="751" t="s">
        <v>626</v>
      </c>
      <c r="E66" s="828">
        <v>0.3</v>
      </c>
      <c r="F66" s="815">
        <v>50</v>
      </c>
    </row>
    <row r="67" spans="1:6" s="811" customFormat="1" ht="36">
      <c r="A67" s="815">
        <v>7</v>
      </c>
      <c r="B67" s="3521"/>
      <c r="C67" s="751" t="s">
        <v>627</v>
      </c>
      <c r="D67" s="751" t="s">
        <v>628</v>
      </c>
      <c r="E67" s="828">
        <v>0.2</v>
      </c>
      <c r="F67" s="815">
        <v>30</v>
      </c>
    </row>
    <row r="68" spans="1:6" s="811" customFormat="1" ht="36">
      <c r="A68" s="815">
        <v>8</v>
      </c>
      <c r="B68" s="3521"/>
      <c r="C68" s="751" t="s">
        <v>629</v>
      </c>
      <c r="D68" s="751" t="s">
        <v>630</v>
      </c>
      <c r="E68" s="828">
        <v>0.2</v>
      </c>
      <c r="F68" s="815">
        <v>30</v>
      </c>
    </row>
    <row r="69" spans="1:6" s="811" customFormat="1" ht="36">
      <c r="A69" s="815">
        <v>9</v>
      </c>
      <c r="B69" s="3521"/>
      <c r="C69" s="751" t="s">
        <v>631</v>
      </c>
      <c r="D69" s="751" t="s">
        <v>632</v>
      </c>
      <c r="E69" s="828">
        <v>0.2</v>
      </c>
      <c r="F69" s="815">
        <v>30</v>
      </c>
    </row>
    <row r="70" spans="1:6" s="811" customFormat="1" ht="48">
      <c r="A70" s="815">
        <v>10</v>
      </c>
      <c r="B70" s="3521"/>
      <c r="C70" s="751" t="s">
        <v>633</v>
      </c>
      <c r="D70" s="751" t="s">
        <v>634</v>
      </c>
      <c r="E70" s="828">
        <v>0.2</v>
      </c>
      <c r="F70" s="815">
        <v>30</v>
      </c>
    </row>
    <row r="71" spans="1:6" s="811" customFormat="1" ht="48">
      <c r="A71" s="815">
        <v>11</v>
      </c>
      <c r="B71" s="3521"/>
      <c r="C71" s="751" t="s">
        <v>635</v>
      </c>
      <c r="D71" s="751" t="s">
        <v>636</v>
      </c>
      <c r="E71" s="828">
        <v>0.2</v>
      </c>
      <c r="F71" s="815">
        <v>30</v>
      </c>
    </row>
    <row r="72" spans="1:6" s="811" customFormat="1" ht="36">
      <c r="A72" s="815">
        <v>12</v>
      </c>
      <c r="B72" s="3521"/>
      <c r="C72" s="751" t="s">
        <v>637</v>
      </c>
      <c r="D72" s="751" t="s">
        <v>638</v>
      </c>
      <c r="E72" s="828">
        <v>0.5</v>
      </c>
      <c r="F72" s="815">
        <v>80</v>
      </c>
    </row>
    <row r="73" spans="1:6" s="811" customFormat="1" ht="24">
      <c r="A73" s="815">
        <v>13</v>
      </c>
      <c r="B73" s="3521"/>
      <c r="C73" s="751" t="s">
        <v>639</v>
      </c>
      <c r="D73" s="751" t="s">
        <v>640</v>
      </c>
      <c r="E73" s="828">
        <v>0.4</v>
      </c>
      <c r="F73" s="815">
        <v>60</v>
      </c>
    </row>
    <row r="74" spans="1:6" s="811" customFormat="1" ht="24">
      <c r="A74" s="815">
        <v>14</v>
      </c>
      <c r="B74" s="3521"/>
      <c r="C74" s="751" t="s">
        <v>641</v>
      </c>
      <c r="D74" s="751" t="s">
        <v>642</v>
      </c>
      <c r="E74" s="828">
        <v>0.2</v>
      </c>
      <c r="F74" s="815">
        <v>30</v>
      </c>
    </row>
    <row r="75" spans="1:6" s="811" customFormat="1" ht="24">
      <c r="A75" s="815">
        <v>15</v>
      </c>
      <c r="B75" s="3521"/>
      <c r="C75" s="751" t="s">
        <v>643</v>
      </c>
      <c r="D75" s="751" t="s">
        <v>644</v>
      </c>
      <c r="E75" s="828">
        <v>0.2</v>
      </c>
      <c r="F75" s="815">
        <v>30</v>
      </c>
    </row>
    <row r="76" spans="1:6" s="811" customFormat="1" ht="24">
      <c r="A76" s="815">
        <v>16</v>
      </c>
      <c r="B76" s="3521" t="s">
        <v>645</v>
      </c>
      <c r="C76" s="751" t="s">
        <v>646</v>
      </c>
      <c r="D76" s="751" t="s">
        <v>647</v>
      </c>
      <c r="E76" s="828">
        <v>0.5</v>
      </c>
      <c r="F76" s="815">
        <v>80</v>
      </c>
    </row>
    <row r="77" spans="1:6" s="811" customFormat="1" ht="24">
      <c r="A77" s="815">
        <v>17</v>
      </c>
      <c r="B77" s="3521"/>
      <c r="C77" s="751" t="s">
        <v>648</v>
      </c>
      <c r="D77" s="751" t="s">
        <v>649</v>
      </c>
      <c r="E77" s="828">
        <v>0.5</v>
      </c>
      <c r="F77" s="815">
        <v>80</v>
      </c>
    </row>
    <row r="78" spans="1:6" s="811" customFormat="1" ht="24">
      <c r="A78" s="815">
        <v>18</v>
      </c>
      <c r="B78" s="3521"/>
      <c r="C78" s="751" t="s">
        <v>650</v>
      </c>
      <c r="D78" s="751" t="s">
        <v>651</v>
      </c>
      <c r="E78" s="828">
        <v>0.2</v>
      </c>
      <c r="F78" s="815">
        <v>30</v>
      </c>
    </row>
    <row r="79" spans="1:6" s="811" customFormat="1" ht="24">
      <c r="A79" s="815">
        <v>19</v>
      </c>
      <c r="B79" s="3521"/>
      <c r="C79" s="751" t="s">
        <v>652</v>
      </c>
      <c r="D79" s="751" t="s">
        <v>653</v>
      </c>
      <c r="E79" s="828">
        <v>0.5</v>
      </c>
      <c r="F79" s="815">
        <v>80</v>
      </c>
    </row>
    <row r="80" spans="1:6" s="811" customFormat="1" ht="36">
      <c r="A80" s="815">
        <v>20</v>
      </c>
      <c r="B80" s="3521"/>
      <c r="C80" s="751" t="s">
        <v>654</v>
      </c>
      <c r="D80" s="751" t="s">
        <v>655</v>
      </c>
      <c r="E80" s="828">
        <v>0.2</v>
      </c>
      <c r="F80" s="815">
        <v>30</v>
      </c>
    </row>
    <row r="81" spans="1:6" s="811" customFormat="1" ht="36">
      <c r="A81" s="815">
        <v>21</v>
      </c>
      <c r="B81" s="3521"/>
      <c r="C81" s="751" t="s">
        <v>656</v>
      </c>
      <c r="D81" s="751" t="s">
        <v>657</v>
      </c>
      <c r="E81" s="828">
        <v>0.2</v>
      </c>
      <c r="F81" s="815">
        <v>30</v>
      </c>
    </row>
    <row r="82" spans="1:6" s="811" customFormat="1" ht="48">
      <c r="A82" s="815">
        <v>22</v>
      </c>
      <c r="B82" s="3521"/>
      <c r="C82" s="751" t="s">
        <v>658</v>
      </c>
      <c r="D82" s="751" t="s">
        <v>659</v>
      </c>
      <c r="E82" s="828">
        <v>0.2</v>
      </c>
      <c r="F82" s="815">
        <v>30</v>
      </c>
    </row>
    <row r="83" spans="1:6" s="811" customFormat="1" ht="48">
      <c r="A83" s="815">
        <v>23</v>
      </c>
      <c r="B83" s="3521"/>
      <c r="C83" s="751" t="s">
        <v>660</v>
      </c>
      <c r="D83" s="751" t="s">
        <v>661</v>
      </c>
      <c r="E83" s="828">
        <v>0.2</v>
      </c>
      <c r="F83" s="815">
        <v>30</v>
      </c>
    </row>
    <row r="84" spans="1:6" s="811" customFormat="1" ht="36">
      <c r="A84" s="815">
        <v>24</v>
      </c>
      <c r="B84" s="3521"/>
      <c r="C84" s="751" t="s">
        <v>662</v>
      </c>
      <c r="D84" s="751" t="s">
        <v>663</v>
      </c>
      <c r="E84" s="828">
        <v>0.2</v>
      </c>
      <c r="F84" s="815">
        <v>30</v>
      </c>
    </row>
    <row r="85" spans="1:6" s="811" customFormat="1" ht="36">
      <c r="A85" s="815">
        <v>25</v>
      </c>
      <c r="B85" s="3521"/>
      <c r="C85" s="751" t="s">
        <v>664</v>
      </c>
      <c r="D85" s="751" t="s">
        <v>665</v>
      </c>
      <c r="E85" s="828">
        <v>0.5</v>
      </c>
      <c r="F85" s="815">
        <v>80</v>
      </c>
    </row>
    <row r="86" spans="1:6" s="811" customFormat="1" ht="36">
      <c r="A86" s="815">
        <v>26</v>
      </c>
      <c r="B86" s="3521"/>
      <c r="C86" s="751" t="s">
        <v>666</v>
      </c>
      <c r="D86" s="751" t="s">
        <v>667</v>
      </c>
      <c r="E86" s="828">
        <v>0.2</v>
      </c>
      <c r="F86" s="815">
        <v>30</v>
      </c>
    </row>
    <row r="87" spans="1:6" s="811" customFormat="1" ht="36">
      <c r="A87" s="815">
        <v>27</v>
      </c>
      <c r="B87" s="3521"/>
      <c r="C87" s="751" t="s">
        <v>668</v>
      </c>
      <c r="D87" s="751" t="s">
        <v>669</v>
      </c>
      <c r="E87" s="828">
        <v>0.2</v>
      </c>
      <c r="F87" s="815">
        <v>30</v>
      </c>
    </row>
    <row r="88" spans="1:6" s="811" customFormat="1" ht="36">
      <c r="A88" s="815">
        <v>28</v>
      </c>
      <c r="B88" s="3521"/>
      <c r="C88" s="751" t="s">
        <v>670</v>
      </c>
      <c r="D88" s="751" t="s">
        <v>671</v>
      </c>
      <c r="E88" s="828">
        <v>0.2</v>
      </c>
      <c r="F88" s="815">
        <v>30</v>
      </c>
    </row>
    <row r="89" spans="1:6" s="811" customFormat="1" ht="24">
      <c r="A89" s="815">
        <v>29</v>
      </c>
      <c r="B89" s="3521"/>
      <c r="C89" s="751" t="s">
        <v>672</v>
      </c>
      <c r="D89" s="751" t="s">
        <v>673</v>
      </c>
      <c r="E89" s="828">
        <v>0.2</v>
      </c>
      <c r="F89" s="815">
        <v>30</v>
      </c>
    </row>
    <row r="90" spans="1:6" s="811" customFormat="1" ht="24">
      <c r="A90" s="815">
        <v>30</v>
      </c>
      <c r="B90" s="3521"/>
      <c r="C90" s="751" t="s">
        <v>674</v>
      </c>
      <c r="D90" s="751" t="s">
        <v>675</v>
      </c>
      <c r="E90" s="828">
        <v>0.2</v>
      </c>
      <c r="F90" s="815">
        <v>30</v>
      </c>
    </row>
    <row r="91" spans="1:6" s="811" customFormat="1" ht="36">
      <c r="A91" s="815">
        <v>31</v>
      </c>
      <c r="B91" s="3521"/>
      <c r="C91" s="751" t="s">
        <v>676</v>
      </c>
      <c r="D91" s="751" t="s">
        <v>677</v>
      </c>
      <c r="E91" s="828">
        <v>0.2</v>
      </c>
      <c r="F91" s="815">
        <v>30</v>
      </c>
    </row>
    <row r="92" spans="1:6" s="811" customFormat="1" ht="24">
      <c r="A92" s="815">
        <v>32</v>
      </c>
      <c r="B92" s="3521" t="s">
        <v>678</v>
      </c>
      <c r="C92" s="815" t="s">
        <v>679</v>
      </c>
      <c r="D92" s="751" t="s">
        <v>680</v>
      </c>
      <c r="E92" s="828">
        <v>0.2</v>
      </c>
      <c r="F92" s="815">
        <v>30</v>
      </c>
    </row>
    <row r="93" spans="1:6" s="811" customFormat="1" ht="36">
      <c r="A93" s="815">
        <v>33</v>
      </c>
      <c r="B93" s="3521"/>
      <c r="C93" s="815" t="s">
        <v>681</v>
      </c>
      <c r="D93" s="751" t="s">
        <v>682</v>
      </c>
      <c r="E93" s="828">
        <v>0.2</v>
      </c>
      <c r="F93" s="815">
        <v>30</v>
      </c>
    </row>
    <row r="94" spans="1:6" s="811" customFormat="1" ht="48">
      <c r="A94" s="815">
        <v>34</v>
      </c>
      <c r="B94" s="3521"/>
      <c r="C94" s="815" t="s">
        <v>683</v>
      </c>
      <c r="D94" s="751" t="s">
        <v>684</v>
      </c>
      <c r="E94" s="828">
        <v>0.2</v>
      </c>
      <c r="F94" s="815">
        <v>30</v>
      </c>
    </row>
    <row r="95" spans="1:6" s="811" customFormat="1" ht="36">
      <c r="A95" s="815">
        <v>35</v>
      </c>
      <c r="B95" s="3521"/>
      <c r="C95" s="815" t="s">
        <v>685</v>
      </c>
      <c r="D95" s="751" t="s">
        <v>686</v>
      </c>
      <c r="E95" s="828">
        <v>0.2</v>
      </c>
      <c r="F95" s="815">
        <v>30</v>
      </c>
    </row>
    <row r="96" spans="1:6" s="811" customFormat="1" ht="48">
      <c r="A96" s="815">
        <v>36</v>
      </c>
      <c r="B96" s="3521"/>
      <c r="C96" s="751" t="s">
        <v>687</v>
      </c>
      <c r="D96" s="751" t="s">
        <v>688</v>
      </c>
      <c r="E96" s="828">
        <v>0.2</v>
      </c>
      <c r="F96" s="815">
        <v>30</v>
      </c>
    </row>
    <row r="97" spans="1:6" s="811" customFormat="1" ht="36">
      <c r="A97" s="815">
        <v>37</v>
      </c>
      <c r="B97" s="3521"/>
      <c r="C97" s="815" t="s">
        <v>689</v>
      </c>
      <c r="D97" s="751" t="s">
        <v>690</v>
      </c>
      <c r="E97" s="828">
        <v>0.2</v>
      </c>
      <c r="F97" s="815">
        <v>30</v>
      </c>
    </row>
    <row r="98" spans="1:6" s="811" customFormat="1" ht="36">
      <c r="A98" s="815">
        <v>38</v>
      </c>
      <c r="B98" s="3521"/>
      <c r="C98" s="815" t="s">
        <v>691</v>
      </c>
      <c r="D98" s="751" t="s">
        <v>692</v>
      </c>
      <c r="E98" s="828">
        <v>0.2</v>
      </c>
      <c r="F98" s="815">
        <v>30</v>
      </c>
    </row>
    <row r="99" spans="1:6" s="811" customFormat="1" ht="36">
      <c r="A99" s="815">
        <v>39</v>
      </c>
      <c r="B99" s="3521" t="s">
        <v>693</v>
      </c>
      <c r="C99" s="815" t="s">
        <v>694</v>
      </c>
      <c r="D99" s="751" t="s">
        <v>695</v>
      </c>
      <c r="E99" s="828">
        <v>0.3</v>
      </c>
      <c r="F99" s="815">
        <v>50</v>
      </c>
    </row>
    <row r="100" spans="1:6" s="811" customFormat="1" ht="24">
      <c r="A100" s="815">
        <v>40</v>
      </c>
      <c r="B100" s="3521"/>
      <c r="C100" s="815" t="s">
        <v>696</v>
      </c>
      <c r="D100" s="751" t="s">
        <v>697</v>
      </c>
      <c r="E100" s="828">
        <v>0.2</v>
      </c>
      <c r="F100" s="815">
        <v>30</v>
      </c>
    </row>
    <row r="101" spans="1:6" s="811" customFormat="1" ht="36">
      <c r="A101" s="815">
        <v>41</v>
      </c>
      <c r="B101" s="352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521" t="s">
        <v>708</v>
      </c>
      <c r="C105" s="815" t="s">
        <v>709</v>
      </c>
      <c r="D105" s="751" t="s">
        <v>710</v>
      </c>
      <c r="E105" s="828">
        <v>0.2</v>
      </c>
      <c r="F105" s="815">
        <v>30</v>
      </c>
    </row>
    <row r="106" spans="1:6" s="811" customFormat="1" ht="36">
      <c r="A106" s="815">
        <v>46</v>
      </c>
      <c r="B106" s="3521"/>
      <c r="C106" s="815" t="s">
        <v>711</v>
      </c>
      <c r="D106" s="751" t="s">
        <v>712</v>
      </c>
      <c r="E106" s="828">
        <v>0.2</v>
      </c>
      <c r="F106" s="815">
        <v>30</v>
      </c>
    </row>
    <row r="107" spans="1:6" s="811" customFormat="1" ht="36">
      <c r="A107" s="815">
        <v>47</v>
      </c>
      <c r="B107" s="3521" t="s">
        <v>713</v>
      </c>
      <c r="C107" s="815" t="s">
        <v>714</v>
      </c>
      <c r="D107" s="751" t="s">
        <v>715</v>
      </c>
      <c r="E107" s="828">
        <v>0.3</v>
      </c>
      <c r="F107" s="815">
        <v>50</v>
      </c>
    </row>
    <row r="108" spans="1:6" s="811" customFormat="1" ht="36">
      <c r="A108" s="815">
        <v>48</v>
      </c>
      <c r="B108" s="352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521" t="s">
        <v>724</v>
      </c>
      <c r="C111" s="815" t="s">
        <v>725</v>
      </c>
      <c r="D111" s="751" t="s">
        <v>726</v>
      </c>
      <c r="E111" s="828">
        <v>0.2</v>
      </c>
      <c r="F111" s="815">
        <v>30</v>
      </c>
    </row>
    <row r="112" spans="1:6" s="811" customFormat="1" ht="24">
      <c r="A112" s="815">
        <v>52</v>
      </c>
      <c r="B112" s="3521"/>
      <c r="C112" s="815" t="s">
        <v>727</v>
      </c>
      <c r="D112" s="751" t="s">
        <v>728</v>
      </c>
      <c r="E112" s="828">
        <v>0.2</v>
      </c>
      <c r="F112" s="815">
        <v>30</v>
      </c>
    </row>
    <row r="113" spans="1:6" s="811" customFormat="1" ht="24">
      <c r="A113" s="815">
        <v>53</v>
      </c>
      <c r="B113" s="352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521" t="s">
        <v>737</v>
      </c>
      <c r="C116" s="815" t="s">
        <v>738</v>
      </c>
      <c r="D116" s="751" t="s">
        <v>739</v>
      </c>
      <c r="E116" s="828">
        <v>0.2</v>
      </c>
      <c r="F116" s="815">
        <v>30</v>
      </c>
    </row>
    <row r="117" spans="1:6" ht="36">
      <c r="A117" s="815">
        <v>57</v>
      </c>
      <c r="B117" s="352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t="e">
        <f>SUMPRODUCT((A105:A204=ROUNDDOWN(基准地价修正!G3,1))*(B104:M104=基准地价修正!G2)*(B105:M204))</f>
        <v>#DIV/0!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v>
      </c>
      <c r="B3" s="3203"/>
      <c r="C3" s="3203"/>
      <c r="D3" s="3203"/>
      <c r="E3" s="3203"/>
    </row>
    <row r="4" spans="1:5" ht="19.5" thickBot="1">
      <c r="A4" s="1668"/>
      <c r="B4" s="3201" t="s">
        <v>1595</v>
      </c>
      <c r="C4" s="3201"/>
      <c r="D4" s="3201"/>
      <c r="E4" s="1668"/>
    </row>
    <row r="5" spans="1:5" ht="16.5" thickTop="1">
      <c r="A5" s="1666"/>
      <c r="B5" s="3199" t="s">
        <v>1587</v>
      </c>
      <c r="C5" s="1669" t="s">
        <v>1588</v>
      </c>
      <c r="D5" s="953">
        <f ca="1">结果表!H101</f>
        <v>2338</v>
      </c>
      <c r="E5" s="1666"/>
    </row>
    <row r="6" spans="1:5" ht="15.75">
      <c r="A6" s="1666"/>
      <c r="B6" s="3199"/>
      <c r="C6" s="1669" t="s">
        <v>1589</v>
      </c>
      <c r="D6" s="953" t="str">
        <f ca="1">NUMBERSTRING(INT(D5*10000),2)&amp;"元整"</f>
        <v>贰仟叁佰叁拾捌万元整</v>
      </c>
      <c r="E6" s="1666"/>
    </row>
    <row r="7" spans="1:5" ht="15.75">
      <c r="A7" s="1666"/>
      <c r="B7" s="3204"/>
      <c r="C7" s="1670" t="s">
        <v>1590</v>
      </c>
      <c r="D7" s="954">
        <f ca="1">结果表!H102</f>
        <v>23408</v>
      </c>
      <c r="E7" s="1666"/>
    </row>
    <row r="8" spans="1:5" ht="15.75">
      <c r="A8" s="1666"/>
      <c r="B8" s="3205" t="str">
        <f>结果表!E103</f>
        <v>2.估价师知悉的除抵押担保权以外的法定优先受偿款</v>
      </c>
      <c r="C8" s="1671" t="s">
        <v>1591</v>
      </c>
      <c r="D8" s="954">
        <f>结果表!H103</f>
        <v>0</v>
      </c>
      <c r="E8" s="1666"/>
    </row>
    <row r="9" spans="1:5" ht="15.75">
      <c r="A9" s="1666"/>
      <c r="B9" s="3207"/>
      <c r="C9" s="1669" t="s">
        <v>1589</v>
      </c>
      <c r="D9" s="953" t="str">
        <f>NUMBERSTRING(INT(D8*10000),2)&amp;"元整"</f>
        <v>零元整</v>
      </c>
      <c r="E9" s="1666"/>
    </row>
    <row r="10" spans="1:5" ht="15">
      <c r="A10" s="1666"/>
      <c r="B10" s="1672" t="s">
        <v>1594</v>
      </c>
      <c r="C10" s="1673" t="s">
        <v>1592</v>
      </c>
      <c r="D10" s="955">
        <f>结果表!H104</f>
        <v>2177.6000000000004</v>
      </c>
      <c r="E10" s="1666"/>
    </row>
    <row r="11" spans="1:5" ht="15">
      <c r="A11" s="1666"/>
      <c r="B11" s="1672" t="s">
        <v>1596</v>
      </c>
      <c r="C11" s="1673" t="s">
        <v>1597</v>
      </c>
      <c r="D11" s="955">
        <f>结果表!H105</f>
        <v>0</v>
      </c>
      <c r="E11" s="1666"/>
    </row>
    <row r="12" spans="1:5" ht="15">
      <c r="A12" s="1666"/>
      <c r="B12" s="1672" t="s">
        <v>1598</v>
      </c>
      <c r="C12" s="1673" t="s">
        <v>1597</v>
      </c>
      <c r="D12" s="955">
        <f>结果表!H106</f>
        <v>0</v>
      </c>
      <c r="E12" s="1666"/>
    </row>
    <row r="13" spans="1:5" ht="15.75">
      <c r="A13" s="1666"/>
      <c r="B13" s="3198" t="str">
        <f>结果表!E107</f>
        <v>——</v>
      </c>
      <c r="C13" s="1674" t="s">
        <v>1588</v>
      </c>
      <c r="D13" s="956" t="str">
        <f>结果表!H107</f>
        <v>——</v>
      </c>
      <c r="E13" s="1666"/>
    </row>
    <row r="14" spans="1:5" ht="15.75">
      <c r="A14" s="1666"/>
      <c r="B14" s="3199"/>
      <c r="C14" s="1669" t="s">
        <v>1589</v>
      </c>
      <c r="D14" s="953" t="e">
        <f>NUMBERSTRING(INT(D13*10000),2)&amp;"元整"</f>
        <v>#VALUE!</v>
      </c>
      <c r="E14" s="1666"/>
    </row>
    <row r="15" spans="1:5" ht="15">
      <c r="A15" s="1666"/>
      <c r="B15" s="3204"/>
      <c r="C15" s="1670" t="s">
        <v>1599</v>
      </c>
      <c r="D15" s="962" t="e">
        <f>结果表!H108</f>
        <v>#VALUE!</v>
      </c>
      <c r="E15" s="1666"/>
    </row>
    <row r="16" spans="1:5" ht="15">
      <c r="A16" s="1666"/>
      <c r="B16" s="3205" t="str">
        <f>结果表!E109</f>
        <v>3.抵押担保权已注销时的房地产抵押价值</v>
      </c>
      <c r="C16" s="1674" t="s">
        <v>1600</v>
      </c>
      <c r="D16" s="1675">
        <f ca="1">结果表!H109</f>
        <v>2338</v>
      </c>
      <c r="E16" s="1666"/>
    </row>
    <row r="17" spans="1:5" ht="15.75">
      <c r="A17" s="1666"/>
      <c r="B17" s="3206"/>
      <c r="C17" s="1669" t="s">
        <v>1601</v>
      </c>
      <c r="D17" s="953" t="str">
        <f ca="1">NUMBERSTRING(INT(D16*10000),2)&amp;"元整"</f>
        <v>贰仟叁佰叁拾捌万元整</v>
      </c>
      <c r="E17" s="1666"/>
    </row>
    <row r="18" spans="1:5" ht="15">
      <c r="A18" s="1666"/>
      <c r="B18" s="3207"/>
      <c r="C18" s="1670" t="s">
        <v>1590</v>
      </c>
      <c r="D18" s="962">
        <f ca="1">结果表!H110</f>
        <v>23408</v>
      </c>
      <c r="E18" s="1666"/>
    </row>
    <row r="19" spans="1:5" ht="15.75">
      <c r="A19" s="1666"/>
      <c r="B19" s="3198" t="str">
        <f>结果表!E111</f>
        <v>——</v>
      </c>
      <c r="C19" s="1674" t="s">
        <v>1588</v>
      </c>
      <c r="D19" s="954" t="str">
        <f>结果表!H111</f>
        <v>——</v>
      </c>
      <c r="E19" s="1666"/>
    </row>
    <row r="20" spans="1:5" ht="15.75">
      <c r="A20" s="1666"/>
      <c r="B20" s="3199"/>
      <c r="C20" s="1669" t="s">
        <v>1601</v>
      </c>
      <c r="D20" s="953" t="e">
        <f>NUMBERSTRING(INT(D19*10000),2)&amp;"元整"</f>
        <v>#VALUE!</v>
      </c>
      <c r="E20" s="1666"/>
    </row>
    <row r="21" spans="1:5" ht="15.75" thickBot="1">
      <c r="A21" s="1666"/>
      <c r="B21" s="3200"/>
      <c r="C21" s="1676" t="s">
        <v>1599</v>
      </c>
      <c r="D21" s="963" t="str">
        <f>结果表!H112</f>
        <v>——</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2" t="s">
        <v>2818</v>
      </c>
      <c r="B1" s="2352"/>
      <c r="C1" s="2352"/>
      <c r="D1" s="2352"/>
      <c r="E1" s="2352"/>
      <c r="F1" s="3011"/>
      <c r="G1" s="3011"/>
      <c r="H1" s="3011"/>
      <c r="I1" s="3011"/>
      <c r="J1" s="3011"/>
      <c r="K1" s="3011"/>
      <c r="L1" s="3011"/>
      <c r="M1" s="3011"/>
      <c r="N1" s="3011"/>
      <c r="O1" s="3011"/>
      <c r="P1" s="3011"/>
    </row>
    <row r="2" spans="1:16" ht="15.75">
      <c r="A2" s="2350" t="s">
        <v>2810</v>
      </c>
      <c r="B2" s="2816" t="e">
        <f ca="1">SUMIF(B6:B13,"&lt;&gt;#ref!",B6:B13)</f>
        <v>#DIV/0!</v>
      </c>
      <c r="C2" s="2350" t="s">
        <v>2811</v>
      </c>
      <c r="D2" s="2350" t="s">
        <v>2812</v>
      </c>
      <c r="E2" s="2826">
        <f ca="1">SUMIF(E6:E13,"&lt;&gt;#ref!",E6:E13)</f>
        <v>998.81000000000006</v>
      </c>
      <c r="F2" s="3011"/>
      <c r="G2" s="3011"/>
      <c r="H2" s="3011"/>
      <c r="I2" s="3011"/>
      <c r="J2" s="3011"/>
      <c r="K2" s="3011"/>
      <c r="L2" s="3011"/>
      <c r="M2" s="3011"/>
      <c r="N2" s="3011"/>
      <c r="O2" s="3011"/>
      <c r="P2" s="3011"/>
    </row>
    <row r="3" spans="1:16" ht="15.75">
      <c r="A3" s="2350" t="s">
        <v>2813</v>
      </c>
      <c r="B3" s="2816" t="e">
        <f ca="1">ROUND(B2*10000/E2,0)</f>
        <v>#DIV/0!</v>
      </c>
      <c r="C3" s="2350" t="s">
        <v>2819</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2814</v>
      </c>
      <c r="B5" s="2824" t="s">
        <v>2815</v>
      </c>
      <c r="C5" s="2351"/>
      <c r="D5" s="3011"/>
      <c r="E5" s="2825" t="s">
        <v>2816</v>
      </c>
      <c r="F5" s="3011"/>
      <c r="G5" s="3011"/>
      <c r="H5" s="3011"/>
      <c r="I5" s="3011"/>
      <c r="J5" s="3011"/>
      <c r="K5" s="3011"/>
      <c r="L5" s="3011"/>
      <c r="M5" s="3011"/>
      <c r="N5" s="3011"/>
      <c r="O5" s="3011"/>
      <c r="P5" s="3011"/>
    </row>
    <row r="6" spans="1:16" ht="15.75">
      <c r="A6" s="2823" t="s">
        <v>2817</v>
      </c>
      <c r="B6" s="2816" t="e">
        <f ca="1">SUMIF(INDIRECT("'"&amp;A6&amp;"'"&amp;"!A:A"),"总价",INDIRECT("'"&amp;A6&amp;"'"&amp;"!B:B"))</f>
        <v>#DIV/0!</v>
      </c>
      <c r="C6" s="2350" t="s">
        <v>2811</v>
      </c>
      <c r="D6" s="3011"/>
      <c r="E6" s="2826">
        <f ca="1">SUMIF(INDIRECT("'"&amp;A6&amp;"'"&amp;"!C:C"),"建筑面积",INDIRECT("'"&amp;A6&amp;"'"&amp;"!D:D"))</f>
        <v>998.81000000000006</v>
      </c>
      <c r="F6" s="3011"/>
      <c r="G6" s="3011"/>
      <c r="H6" s="3011"/>
      <c r="I6" s="3011"/>
      <c r="J6" s="3011"/>
      <c r="K6" s="3011"/>
      <c r="L6" s="3011"/>
      <c r="M6" s="3011"/>
      <c r="N6" s="3011"/>
      <c r="O6" s="3011"/>
      <c r="P6" s="3011"/>
    </row>
    <row r="7" spans="1:16" ht="15.75">
      <c r="A7" s="2823"/>
      <c r="B7" s="2816" t="e">
        <f ca="1">SUMIF(INDIRECT("'"&amp;A7&amp;"'"&amp;"!A:A"),"总价",INDIRECT("'"&amp;A7&amp;"'"&amp;"!B:B"))</f>
        <v>#REF!</v>
      </c>
      <c r="C7" s="2350" t="s">
        <v>2811</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0" t="s">
        <v>2811</v>
      </c>
      <c r="D8" s="3011"/>
      <c r="E8" s="2826" t="e">
        <f t="shared" ca="1" si="0"/>
        <v>#REF!</v>
      </c>
      <c r="F8" s="3011"/>
      <c r="G8" s="3011"/>
      <c r="H8" s="3011"/>
      <c r="I8" s="3011"/>
      <c r="J8" s="3011"/>
      <c r="K8" s="3011"/>
      <c r="L8" s="3011"/>
      <c r="M8" s="3011"/>
      <c r="N8" s="3011"/>
      <c r="O8" s="3011"/>
      <c r="P8" s="3011"/>
    </row>
    <row r="9" spans="1:16" ht="15.75">
      <c r="A9" s="2823"/>
      <c r="B9" s="2816" t="e">
        <f t="shared" ca="1" si="1"/>
        <v>#REF!</v>
      </c>
      <c r="C9" s="2350" t="s">
        <v>2811</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0" t="s">
        <v>2811</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0" t="s">
        <v>2811</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0" t="s">
        <v>2811</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0" t="s">
        <v>2811</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99"/>
    <col min="2" max="6" width="9" style="2399" customWidth="1"/>
    <col min="7" max="7" width="9" style="2437"/>
    <col min="8" max="8" width="9" style="2399"/>
    <col min="9" max="12" width="9" style="2399" customWidth="1"/>
    <col min="13" max="13" width="2.25" style="2399" customWidth="1"/>
    <col min="14" max="14" width="9" style="2437" customWidth="1"/>
    <col min="15" max="17" width="9" style="2399" customWidth="1"/>
    <col min="18" max="18" width="2.375" style="2399" customWidth="1"/>
    <col min="19" max="19" width="7.125" style="2437"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527" t="s">
        <v>1117</v>
      </c>
      <c r="C1" s="3527"/>
      <c r="D1" s="3527"/>
      <c r="E1" s="3527"/>
      <c r="F1" s="3527"/>
      <c r="G1" s="3523" t="s">
        <v>1118</v>
      </c>
      <c r="H1" s="3523"/>
      <c r="I1" s="3523"/>
      <c r="J1" s="3523"/>
      <c r="K1" s="3523"/>
      <c r="L1" s="3523"/>
      <c r="N1" s="3523" t="s">
        <v>1119</v>
      </c>
      <c r="O1" s="3523"/>
      <c r="P1" s="3523"/>
      <c r="Q1" s="3523"/>
      <c r="S1" s="3523" t="s">
        <v>1120</v>
      </c>
      <c r="T1" s="3523"/>
      <c r="U1" s="3523"/>
      <c r="V1" s="3523"/>
      <c r="X1" s="3522" t="s">
        <v>1121</v>
      </c>
      <c r="Y1" s="3523"/>
      <c r="Z1" s="3523"/>
      <c r="AA1" s="3523"/>
      <c r="AB1" s="3523"/>
      <c r="AD1" s="3522" t="s">
        <v>1122</v>
      </c>
      <c r="AE1" s="3523"/>
      <c r="AF1" s="3523"/>
      <c r="AG1" s="3523"/>
      <c r="AH1" s="3523"/>
    </row>
    <row r="2" spans="1:34" s="2379" customFormat="1" ht="14.25" thickBot="1">
      <c r="B2" s="2380" t="s">
        <v>1123</v>
      </c>
      <c r="C2" s="2380" t="s">
        <v>1124</v>
      </c>
      <c r="D2" s="2381" t="s">
        <v>1125</v>
      </c>
      <c r="E2" s="2381" t="s">
        <v>1126</v>
      </c>
      <c r="F2" s="2380" t="s">
        <v>1127</v>
      </c>
      <c r="G2" s="2382"/>
      <c r="I2" s="2380" t="s">
        <v>1123</v>
      </c>
      <c r="J2" s="2381" t="s">
        <v>1350</v>
      </c>
      <c r="K2" s="2381" t="s">
        <v>751</v>
      </c>
      <c r="L2" s="2380" t="s">
        <v>1127</v>
      </c>
      <c r="N2" s="2380" t="s">
        <v>1123</v>
      </c>
      <c r="O2" s="2381" t="s">
        <v>1350</v>
      </c>
      <c r="P2" s="2381" t="s">
        <v>751</v>
      </c>
      <c r="Q2" s="2380" t="s">
        <v>1127</v>
      </c>
      <c r="S2" s="2380" t="s">
        <v>1123</v>
      </c>
      <c r="T2" s="2381" t="s">
        <v>1350</v>
      </c>
      <c r="U2" s="2381" t="s">
        <v>751</v>
      </c>
      <c r="V2" s="2380" t="s">
        <v>1127</v>
      </c>
      <c r="X2" s="2380" t="s">
        <v>1123</v>
      </c>
      <c r="Y2" s="2380" t="s">
        <v>1124</v>
      </c>
      <c r="Z2" s="2381" t="s">
        <v>1125</v>
      </c>
      <c r="AA2" s="2381" t="s">
        <v>1126</v>
      </c>
      <c r="AB2" s="2380" t="s">
        <v>1127</v>
      </c>
      <c r="AD2" s="2380" t="s">
        <v>1123</v>
      </c>
      <c r="AE2" s="2380" t="s">
        <v>1124</v>
      </c>
      <c r="AF2" s="2381" t="s">
        <v>1125</v>
      </c>
      <c r="AG2" s="2381" t="s">
        <v>1126</v>
      </c>
      <c r="AH2" s="2380" t="s">
        <v>1127</v>
      </c>
    </row>
    <row r="3" spans="1:34" s="2389" customFormat="1" ht="14.25">
      <c r="A3" s="2383" t="s">
        <v>2847</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2406" customFormat="1">
      <c r="A5" s="2401" t="s">
        <v>3052</v>
      </c>
      <c r="B5" s="2402">
        <f t="shared" ref="B5" si="2">B6*(1+N5)</f>
        <v>504.87072809615569</v>
      </c>
      <c r="C5" s="2402">
        <f t="shared" ref="C5" si="3">C6*(1+O5)</f>
        <v>351.71182348101968</v>
      </c>
      <c r="D5" s="2402">
        <f t="shared" ref="D5" si="4">C5</f>
        <v>351.71182348101968</v>
      </c>
      <c r="E5" s="2402">
        <f t="shared" ref="E5" si="5">E6*(1+P5)</f>
        <v>728.75350858360832</v>
      </c>
      <c r="F5" s="2402">
        <f t="shared" ref="F5" si="6">F6*(1+Q5)</f>
        <v>334.04593931673656</v>
      </c>
      <c r="G5" s="3048">
        <v>2021</v>
      </c>
      <c r="H5" s="2404">
        <v>4</v>
      </c>
      <c r="I5" s="2405">
        <v>0</v>
      </c>
      <c r="J5" s="2405">
        <v>0</v>
      </c>
      <c r="K5" s="2405">
        <v>0</v>
      </c>
      <c r="L5" s="2405">
        <v>0</v>
      </c>
      <c r="N5" s="2407">
        <f t="shared" ref="N5" si="7">I5/100</f>
        <v>0</v>
      </c>
      <c r="O5" s="2407">
        <f t="shared" ref="O5" si="8">J5/100</f>
        <v>0</v>
      </c>
      <c r="P5" s="2407">
        <f t="shared" ref="P5" si="9">K5/100</f>
        <v>0</v>
      </c>
      <c r="Q5" s="2407">
        <f t="shared" ref="Q5" si="10">L5/100</f>
        <v>0</v>
      </c>
      <c r="S5" s="2408"/>
      <c r="W5" s="2409" t="s">
        <v>2848</v>
      </c>
      <c r="X5" s="2410">
        <f>ROUND(IF(项目基本情况!B2="出让",SUMPRODUCT(PRODUCT(1+N5:N$36)),SUMPRODUCT(PRODUCT(1+N5:N$35))),4)</f>
        <v>1.6415999999999999</v>
      </c>
      <c r="Y5" s="2410">
        <f>ROUND(IF(项目基本情况!B2="出让",SUMPRODUCT(PRODUCT(1+O5:O$36)),SUMPRODUCT(PRODUCT(1+O5:O$35))),4)</f>
        <v>1.3644000000000001</v>
      </c>
      <c r="Z5" s="2410">
        <f t="shared" ref="Z5" si="11">Y5</f>
        <v>1.3644000000000001</v>
      </c>
      <c r="AA5" s="2410">
        <f>ROUND(IF(项目基本情况!B2="出让",SUMPRODUCT(PRODUCT(1+P5:P$36)),SUMPRODUCT(PRODUCT(1+P5:P$35))),4)</f>
        <v>1.7232000000000001</v>
      </c>
      <c r="AB5" s="2410">
        <f>ROUND(IF(项目基本情况!B2="出让",SUMPRODUCT(PRODUCT(1+Q5:Q$36)),SUMPRODUCT(PRODUCT(1+Q5:Q$35))),4)</f>
        <v>1.4529000000000001</v>
      </c>
      <c r="AD5" s="2411">
        <f>ROUND(AVERAGE(I5:I$36)/100,4)</f>
        <v>1.66E-2</v>
      </c>
      <c r="AE5" s="2411">
        <f>ROUND(AVERAGE(J5:J$36)/100,4)</f>
        <v>1.0500000000000001E-2</v>
      </c>
      <c r="AF5" s="2411">
        <f t="shared" ref="AF5" si="12">AE5</f>
        <v>1.0500000000000001E-2</v>
      </c>
      <c r="AG5" s="2411">
        <f>ROUND(AVERAGE(K5:K$36)/100,4)</f>
        <v>1.83E-2</v>
      </c>
      <c r="AH5" s="2411">
        <f>ROUND(AVERAGE(L5:L$36)/100,4)</f>
        <v>1.2200000000000001E-2</v>
      </c>
    </row>
    <row r="6" spans="1:34" s="2419" customFormat="1">
      <c r="A6" s="2412" t="s">
        <v>3051</v>
      </c>
      <c r="B6" s="2413">
        <f t="shared" ref="B6" si="13">B7*(1+N6)</f>
        <v>504.87072809615569</v>
      </c>
      <c r="C6" s="2413">
        <f t="shared" ref="C6" si="14">C7*(1+O6)</f>
        <v>351.71182348101968</v>
      </c>
      <c r="D6" s="2413">
        <f t="shared" ref="D6" si="15">C6</f>
        <v>351.71182348101968</v>
      </c>
      <c r="E6" s="2413">
        <f t="shared" ref="E6" si="16">E7*(1+P6)</f>
        <v>728.75350858360832</v>
      </c>
      <c r="F6" s="2413">
        <f t="shared" ref="F6" si="17">F7*(1+Q6)</f>
        <v>334.04593931673656</v>
      </c>
      <c r="G6" s="3048">
        <v>2021</v>
      </c>
      <c r="H6" s="2414">
        <v>3</v>
      </c>
      <c r="I6" s="2376">
        <v>0.47</v>
      </c>
      <c r="J6" s="2376">
        <v>0.41</v>
      </c>
      <c r="K6" s="2376">
        <v>0.48</v>
      </c>
      <c r="L6" s="2377">
        <v>0.48</v>
      </c>
      <c r="M6" s="2399"/>
      <c r="N6" s="2415">
        <f t="shared" ref="N6" si="18">I6/100</f>
        <v>4.6999999999999993E-3</v>
      </c>
      <c r="O6" s="2400">
        <f t="shared" ref="O6" si="19">J6/100</f>
        <v>4.0999999999999995E-3</v>
      </c>
      <c r="P6" s="2400">
        <f t="shared" ref="P6" si="20">K6/100</f>
        <v>4.7999999999999996E-3</v>
      </c>
      <c r="Q6" s="2400">
        <f t="shared" ref="Q6" si="21">L6/100</f>
        <v>4.7999999999999996E-3</v>
      </c>
      <c r="R6" s="2416"/>
      <c r="S6" s="2415"/>
      <c r="T6" s="2400"/>
      <c r="U6" s="2400"/>
      <c r="V6" s="2400"/>
      <c r="W6" s="2417"/>
      <c r="X6" s="2417">
        <f>ROUND(IF(项目基本情况!B3="出让",SUMPRODUCT(PRODUCT(1+N6:N$36)),SUMPRODUCT(PRODUCT(1+N6:N$35))),4)</f>
        <v>1.6415999999999999</v>
      </c>
      <c r="Y6" s="2417">
        <f>ROUND(IF(项目基本情况!B3="出让",SUMPRODUCT(PRODUCT(1+O6:O$36)),SUMPRODUCT(PRODUCT(1+O6:O$35))),4)</f>
        <v>1.3644000000000001</v>
      </c>
      <c r="Z6" s="2417">
        <f t="shared" ref="Z6" si="22">Y6</f>
        <v>1.3644000000000001</v>
      </c>
      <c r="AA6" s="2417">
        <f>ROUND(IF(项目基本情况!B3="出让",SUMPRODUCT(PRODUCT(1+P6:P$36)),SUMPRODUCT(PRODUCT(1+P6:P$35))),4)</f>
        <v>1.7232000000000001</v>
      </c>
      <c r="AB6" s="2417">
        <f>ROUND(IF(项目基本情况!B3="出让",SUMPRODUCT(PRODUCT(1+Q6:Q$36)),SUMPRODUCT(PRODUCT(1+Q6:Q$35))),4)</f>
        <v>1.4529000000000001</v>
      </c>
      <c r="AC6" s="2417"/>
      <c r="AD6" s="2418">
        <f>ROUND(AVERAGE(I6:I$36)/100,4)</f>
        <v>1.72E-2</v>
      </c>
      <c r="AE6" s="2418">
        <f>ROUND(AVERAGE(J6:J$36)/100,4)</f>
        <v>1.09E-2</v>
      </c>
      <c r="AF6" s="2418">
        <f t="shared" ref="AF6" si="23">AE6</f>
        <v>1.09E-2</v>
      </c>
      <c r="AG6" s="2418">
        <f>ROUND(AVERAGE(K6:K$36)/100,4)</f>
        <v>1.89E-2</v>
      </c>
      <c r="AH6" s="2418">
        <f>ROUND(AVERAGE(L6:L$36)/100,4)</f>
        <v>1.26E-2</v>
      </c>
    </row>
    <row r="7" spans="1:34" s="2419" customFormat="1">
      <c r="A7" s="2412" t="s">
        <v>3050</v>
      </c>
      <c r="B7" s="2413">
        <f t="shared" ref="B7" si="24">B8*(1+N7)</f>
        <v>502.50893609650217</v>
      </c>
      <c r="C7" s="2413">
        <f t="shared" ref="C7" si="25">C8*(1+O7)</f>
        <v>350.27569313914915</v>
      </c>
      <c r="D7" s="2413">
        <f t="shared" ref="D7" si="26">C7</f>
        <v>350.27569313914915</v>
      </c>
      <c r="E7" s="2413">
        <f t="shared" ref="E7" si="27">E8*(1+P7)</f>
        <v>725.27220201394141</v>
      </c>
      <c r="F7" s="2413">
        <f t="shared" ref="F7" si="28">F8*(1+Q7)</f>
        <v>332.45017846012797</v>
      </c>
      <c r="G7" s="3047">
        <v>2021</v>
      </c>
      <c r="H7" s="2414">
        <v>2</v>
      </c>
      <c r="I7" s="2376">
        <v>0.92</v>
      </c>
      <c r="J7" s="2376">
        <v>0.72</v>
      </c>
      <c r="K7" s="2376">
        <v>0.95</v>
      </c>
      <c r="L7" s="2377">
        <v>1.01</v>
      </c>
      <c r="M7" s="2399"/>
      <c r="N7" s="2415">
        <f t="shared" ref="N7" si="29">I7/100</f>
        <v>9.1999999999999998E-3</v>
      </c>
      <c r="O7" s="2400">
        <f t="shared" ref="O7" si="30">J7/100</f>
        <v>7.1999999999999998E-3</v>
      </c>
      <c r="P7" s="2400">
        <f t="shared" ref="P7" si="31">K7/100</f>
        <v>9.4999999999999998E-3</v>
      </c>
      <c r="Q7" s="2400">
        <f t="shared" ref="Q7" si="32">L7/100</f>
        <v>1.01E-2</v>
      </c>
      <c r="R7" s="2416"/>
      <c r="S7" s="2415"/>
      <c r="T7" s="2400"/>
      <c r="U7" s="2400"/>
      <c r="V7" s="2400"/>
      <c r="W7" s="2417"/>
      <c r="X7" s="2417">
        <f>ROUND(IF(项目基本情况!B4="出让",SUMPRODUCT(PRODUCT(1+N7:N$36)),SUMPRODUCT(PRODUCT(1+N7:N$35))),4)</f>
        <v>1.6338999999999999</v>
      </c>
      <c r="Y7" s="2417">
        <f>ROUND(IF(项目基本情况!B4="出让",SUMPRODUCT(PRODUCT(1+O7:O$36)),SUMPRODUCT(PRODUCT(1+O7:O$35))),4)</f>
        <v>1.3588</v>
      </c>
      <c r="Z7" s="2417">
        <f t="shared" ref="Z7" si="33">Y7</f>
        <v>1.3588</v>
      </c>
      <c r="AA7" s="2417">
        <f>ROUND(IF(项目基本情况!B4="出让",SUMPRODUCT(PRODUCT(1+P7:P$36)),SUMPRODUCT(PRODUCT(1+P7:P$35))),4)</f>
        <v>1.7150000000000001</v>
      </c>
      <c r="AB7" s="2417">
        <f>ROUND(IF(项目基本情况!B4="出让",SUMPRODUCT(PRODUCT(1+Q7:Q$36)),SUMPRODUCT(PRODUCT(1+Q7:Q$35))),4)</f>
        <v>1.446</v>
      </c>
      <c r="AC7" s="2417"/>
      <c r="AD7" s="2418">
        <f>ROUND(AVERAGE(I7:I$36)/100,4)</f>
        <v>1.7600000000000001E-2</v>
      </c>
      <c r="AE7" s="2418">
        <f>ROUND(AVERAGE(J7:J$36)/100,4)</f>
        <v>1.11E-2</v>
      </c>
      <c r="AF7" s="2418">
        <f t="shared" ref="AF7" si="34">AE7</f>
        <v>1.11E-2</v>
      </c>
      <c r="AG7" s="2418">
        <f>ROUND(AVERAGE(K7:K$36)/100,4)</f>
        <v>1.9400000000000001E-2</v>
      </c>
      <c r="AH7" s="2418">
        <f>ROUND(AVERAGE(L7:L$36)/100,4)</f>
        <v>1.2800000000000001E-2</v>
      </c>
    </row>
    <row r="8" spans="1:34" s="2419" customFormat="1">
      <c r="A8" s="2412" t="s">
        <v>3049</v>
      </c>
      <c r="B8" s="2413">
        <f t="shared" ref="B8" si="35">B9*(1+N8)</f>
        <v>497.92799851020823</v>
      </c>
      <c r="C8" s="2413">
        <f t="shared" ref="C8" si="36">C9*(1+O8)</f>
        <v>347.77173663537445</v>
      </c>
      <c r="D8" s="2413">
        <f t="shared" ref="D8" si="37">C8</f>
        <v>347.77173663537445</v>
      </c>
      <c r="E8" s="2413">
        <f t="shared" ref="E8" si="38">E9*(1+P8)</f>
        <v>718.44695593258189</v>
      </c>
      <c r="F8" s="2413">
        <f t="shared" ref="F8" si="39">F9*(1+Q8)</f>
        <v>329.12600580153247</v>
      </c>
      <c r="G8" s="3031">
        <v>2021</v>
      </c>
      <c r="H8" s="2414">
        <v>1</v>
      </c>
      <c r="I8" s="2376">
        <v>0.97</v>
      </c>
      <c r="J8" s="2376">
        <v>0.16</v>
      </c>
      <c r="K8" s="2376">
        <v>1.1100000000000001</v>
      </c>
      <c r="L8" s="2377">
        <v>0.36</v>
      </c>
      <c r="M8" s="2399"/>
      <c r="N8" s="2415">
        <f t="shared" ref="N8" si="40">I8/100</f>
        <v>9.7000000000000003E-3</v>
      </c>
      <c r="O8" s="2400">
        <f t="shared" ref="O8" si="41">J8/100</f>
        <v>1.6000000000000001E-3</v>
      </c>
      <c r="P8" s="2400">
        <f t="shared" ref="P8" si="42">K8/100</f>
        <v>1.11E-2</v>
      </c>
      <c r="Q8" s="2400">
        <f t="shared" ref="Q8" si="43">L8/100</f>
        <v>3.5999999999999999E-3</v>
      </c>
      <c r="R8" s="2416"/>
      <c r="S8" s="2415">
        <f>B8/B9-1</f>
        <v>9.7000000000000419E-3</v>
      </c>
      <c r="T8" s="2400">
        <f t="shared" ref="T8" si="44">C8/C9-1</f>
        <v>1.6000000000000458E-3</v>
      </c>
      <c r="U8" s="2400">
        <f t="shared" ref="U8" si="45">D8/D9-1</f>
        <v>1.6000000000000458E-3</v>
      </c>
      <c r="V8" s="2400">
        <f t="shared" ref="V8" si="46">E8/E9-1</f>
        <v>1.110000000000011E-2</v>
      </c>
      <c r="W8" s="2417"/>
      <c r="X8" s="2417">
        <f>ROUND(IF(项目基本情况!B5="出让",SUMPRODUCT(PRODUCT(1+N8:N$36)),SUMPRODUCT(PRODUCT(1+N8:N$35))),4)</f>
        <v>1.619</v>
      </c>
      <c r="Y8" s="2417">
        <f>ROUND(IF(项目基本情况!B5="出让",SUMPRODUCT(PRODUCT(1+O8:O$36)),SUMPRODUCT(PRODUCT(1+O8:O$35))),4)</f>
        <v>1.3491</v>
      </c>
      <c r="Z8" s="2417">
        <f t="shared" ref="Z8" si="47">Y8</f>
        <v>1.3491</v>
      </c>
      <c r="AA8" s="2417">
        <f>ROUND(IF(项目基本情况!B5="出让",SUMPRODUCT(PRODUCT(1+P8:P$36)),SUMPRODUCT(PRODUCT(1+P8:P$35))),4)</f>
        <v>1.6988000000000001</v>
      </c>
      <c r="AB8" s="2417">
        <f>ROUND(IF(项目基本情况!B5="出让",SUMPRODUCT(PRODUCT(1+Q8:Q$36)),SUMPRODUCT(PRODUCT(1+Q8:Q$35))),4)</f>
        <v>1.4315</v>
      </c>
      <c r="AC8" s="2417"/>
      <c r="AD8" s="2418">
        <f>ROUND(AVERAGE(I8:I$36)/100,4)</f>
        <v>1.7899999999999999E-2</v>
      </c>
      <c r="AE8" s="2418">
        <f>ROUND(AVERAGE(J8:J$36)/100,4)</f>
        <v>1.12E-2</v>
      </c>
      <c r="AF8" s="2418">
        <f t="shared" ref="AF8" si="48">AE8</f>
        <v>1.12E-2</v>
      </c>
      <c r="AG8" s="2418">
        <f>ROUND(AVERAGE(K8:K$36)/100,4)</f>
        <v>1.9699999999999999E-2</v>
      </c>
      <c r="AH8" s="2418">
        <f>ROUND(AVERAGE(L8:L$36)/100,4)</f>
        <v>1.29E-2</v>
      </c>
    </row>
    <row r="9" spans="1:34" s="2419" customFormat="1">
      <c r="A9" s="2412" t="s">
        <v>3047</v>
      </c>
      <c r="B9" s="2413">
        <f t="shared" ref="B9" si="49">B10*(1+N9)</f>
        <v>493.14449689037161</v>
      </c>
      <c r="C9" s="2413">
        <f t="shared" ref="C9" si="50">C10*(1+O9)</f>
        <v>347.21619073020611</v>
      </c>
      <c r="D9" s="2413">
        <f t="shared" ref="D9" si="51">C9</f>
        <v>347.21619073020611</v>
      </c>
      <c r="E9" s="2413">
        <f t="shared" ref="E9" si="52">E10*(1+P9)</f>
        <v>710.55974278763904</v>
      </c>
      <c r="F9" s="2413">
        <f t="shared" ref="F9" si="53">F10*(1+Q9)</f>
        <v>327.94540235306141</v>
      </c>
      <c r="G9" s="3030">
        <v>2020</v>
      </c>
      <c r="H9" s="2414">
        <v>4</v>
      </c>
      <c r="I9" s="2376">
        <v>2.0699999999999998</v>
      </c>
      <c r="J9" s="2376">
        <v>0.37</v>
      </c>
      <c r="K9" s="2376">
        <v>2.35</v>
      </c>
      <c r="L9" s="2377">
        <v>2.69</v>
      </c>
      <c r="M9" s="2399"/>
      <c r="N9" s="2415">
        <f t="shared" ref="N9" si="54">I9/100</f>
        <v>2.07E-2</v>
      </c>
      <c r="O9" s="2400">
        <f t="shared" ref="O9" si="55">J9/100</f>
        <v>3.7000000000000002E-3</v>
      </c>
      <c r="P9" s="2400">
        <f t="shared" ref="P9" si="56">K9/100</f>
        <v>2.35E-2</v>
      </c>
      <c r="Q9" s="2400">
        <f t="shared" ref="Q9" si="57">L9/100</f>
        <v>2.69E-2</v>
      </c>
      <c r="R9" s="2416"/>
      <c r="S9" s="2415"/>
      <c r="T9" s="2400"/>
      <c r="U9" s="2400"/>
      <c r="V9" s="2400"/>
      <c r="W9" s="2417"/>
      <c r="X9" s="2417">
        <f>ROUND(IF(项目基本情况!B6="出让",SUMPRODUCT(PRODUCT(1+N9:N$36)),SUMPRODUCT(PRODUCT(1+N9:N$35))),4)</f>
        <v>1.6034999999999999</v>
      </c>
      <c r="Y9" s="2417">
        <f>ROUND(IF(项目基本情况!B6="出让",SUMPRODUCT(PRODUCT(1+O9:O$36)),SUMPRODUCT(PRODUCT(1+O9:O$35))),4)</f>
        <v>1.3469</v>
      </c>
      <c r="Z9" s="2417">
        <f t="shared" ref="Z9" si="58">Y9</f>
        <v>1.3469</v>
      </c>
      <c r="AA9" s="2417">
        <f>ROUND(IF(项目基本情况!B6="出让",SUMPRODUCT(PRODUCT(1+P9:P$36)),SUMPRODUCT(PRODUCT(1+P9:P$35))),4)</f>
        <v>1.6801999999999999</v>
      </c>
      <c r="AB9" s="2417">
        <f>ROUND(IF(项目基本情况!B6="出让",SUMPRODUCT(PRODUCT(1+Q9:Q$36)),SUMPRODUCT(PRODUCT(1+Q9:Q$35))),4)</f>
        <v>1.4263999999999999</v>
      </c>
      <c r="AC9" s="2417"/>
      <c r="AD9" s="2418">
        <f>ROUND(AVERAGE(I9:I$36)/100,4)</f>
        <v>1.8200000000000001E-2</v>
      </c>
      <c r="AE9" s="2418">
        <f>ROUND(AVERAGE(J9:J$36)/100,4)</f>
        <v>1.1599999999999999E-2</v>
      </c>
      <c r="AF9" s="2418">
        <f t="shared" ref="AF9" si="59">AE9</f>
        <v>1.1599999999999999E-2</v>
      </c>
      <c r="AG9" s="2418">
        <f>ROUND(AVERAGE(K9:K$36)/100,4)</f>
        <v>0.02</v>
      </c>
      <c r="AH9" s="2418">
        <f>ROUND(AVERAGE(L9:L$36)/100,4)</f>
        <v>1.3299999999999999E-2</v>
      </c>
    </row>
    <row r="10" spans="1:34" s="2419" customFormat="1">
      <c r="A10" s="2412" t="s">
        <v>3046</v>
      </c>
      <c r="B10" s="2413">
        <f t="shared" ref="B10" si="60">B11*(1+N10)</f>
        <v>483.1434279321756</v>
      </c>
      <c r="C10" s="2413">
        <f t="shared" ref="C10" si="61">C11*(1+O10)</f>
        <v>345.93622669144776</v>
      </c>
      <c r="D10" s="2413">
        <f t="shared" ref="D10" si="62">C10</f>
        <v>345.93622669144776</v>
      </c>
      <c r="E10" s="2413">
        <f t="shared" ref="E10" si="63">E11*(1+P10)</f>
        <v>694.24498562544113</v>
      </c>
      <c r="F10" s="2413">
        <f t="shared" ref="F10" si="64">F11*(1+Q10)</f>
        <v>319.35475932716082</v>
      </c>
      <c r="G10" s="3027">
        <v>2020</v>
      </c>
      <c r="H10" s="2414">
        <v>3</v>
      </c>
      <c r="I10" s="2376">
        <v>0.36</v>
      </c>
      <c r="J10" s="2376">
        <v>-0.39</v>
      </c>
      <c r="K10" s="2376">
        <v>0.49</v>
      </c>
      <c r="L10" s="2377">
        <v>7.0000000000000007E-2</v>
      </c>
      <c r="M10" s="2399"/>
      <c r="N10" s="2415">
        <f t="shared" ref="N10" si="65">I10/100</f>
        <v>3.5999999999999999E-3</v>
      </c>
      <c r="O10" s="2400">
        <f t="shared" ref="O10" si="66">J10/100</f>
        <v>-3.9000000000000003E-3</v>
      </c>
      <c r="P10" s="2400">
        <f t="shared" ref="P10" si="67">K10/100</f>
        <v>4.8999999999999998E-3</v>
      </c>
      <c r="Q10" s="2400">
        <f t="shared" ref="Q10" si="68">L10/100</f>
        <v>7.000000000000001E-4</v>
      </c>
      <c r="R10" s="2416"/>
      <c r="S10" s="2415"/>
      <c r="T10" s="2400"/>
      <c r="U10" s="2400"/>
      <c r="V10" s="2400"/>
      <c r="W10" s="2417"/>
      <c r="X10" s="2417">
        <f>ROUND(IF(项目基本情况!B7="出让",SUMPRODUCT(PRODUCT(1+N10:N$36)),SUMPRODUCT(PRODUCT(1+N10:N$35))),4)</f>
        <v>1.571</v>
      </c>
      <c r="Y10" s="2417">
        <f>ROUND(IF(项目基本情况!B7="出让",SUMPRODUCT(PRODUCT(1+O10:O$36)),SUMPRODUCT(PRODUCT(1+O10:O$35))),4)</f>
        <v>1.3420000000000001</v>
      </c>
      <c r="Z10" s="2417">
        <f t="shared" ref="Z10" si="69">Y10</f>
        <v>1.3420000000000001</v>
      </c>
      <c r="AA10" s="2417">
        <f>ROUND(IF(项目基本情况!B7="出让",SUMPRODUCT(PRODUCT(1+P10:P$36)),SUMPRODUCT(PRODUCT(1+P10:P$35))),4)</f>
        <v>1.6415999999999999</v>
      </c>
      <c r="AB10" s="2417">
        <f>ROUND(IF(项目基本情况!B7="出让",SUMPRODUCT(PRODUCT(1+Q10:Q$36)),SUMPRODUCT(PRODUCT(1+Q10:Q$35))),4)</f>
        <v>1.389</v>
      </c>
      <c r="AC10" s="2417"/>
      <c r="AD10" s="2418">
        <f>ROUND(AVERAGE(I10:I$36)/100,4)</f>
        <v>1.8100000000000002E-2</v>
      </c>
      <c r="AE10" s="2418">
        <f>ROUND(AVERAGE(J10:J$36)/100,4)</f>
        <v>1.1900000000000001E-2</v>
      </c>
      <c r="AF10" s="2418">
        <f t="shared" ref="AF10" si="70">AE10</f>
        <v>1.1900000000000001E-2</v>
      </c>
      <c r="AG10" s="2418">
        <f>ROUND(AVERAGE(K10:K$36)/100,4)</f>
        <v>1.9900000000000001E-2</v>
      </c>
      <c r="AH10" s="2418">
        <f>ROUND(AVERAGE(L10:L$36)/100,4)</f>
        <v>1.2800000000000001E-2</v>
      </c>
    </row>
    <row r="11" spans="1:34" s="2419" customFormat="1">
      <c r="A11" s="2412" t="s">
        <v>2864</v>
      </c>
      <c r="B11" s="2413">
        <f t="shared" ref="B11" si="71">B12*(1+N11)</f>
        <v>481.4103506697644</v>
      </c>
      <c r="C11" s="2413">
        <f t="shared" ref="C11" si="72">C12*(1+O11)</f>
        <v>347.29066026648707</v>
      </c>
      <c r="D11" s="2413">
        <f t="shared" ref="D11" si="73">C11</f>
        <v>347.29066026648707</v>
      </c>
      <c r="E11" s="2413">
        <f t="shared" ref="E11" si="74">E12*(1+P11)</f>
        <v>690.85977273901995</v>
      </c>
      <c r="F11" s="2413">
        <f t="shared" ref="F11" si="75">F12*(1+Q11)</f>
        <v>319.13136737000184</v>
      </c>
      <c r="G11" s="2403">
        <v>2020</v>
      </c>
      <c r="H11" s="2414">
        <v>2</v>
      </c>
      <c r="I11" s="2376">
        <v>0.31</v>
      </c>
      <c r="J11" s="2376">
        <v>-0.78</v>
      </c>
      <c r="K11" s="2376">
        <v>0.5</v>
      </c>
      <c r="L11" s="2377">
        <v>0.47</v>
      </c>
      <c r="M11" s="2399"/>
      <c r="N11" s="2415">
        <f t="shared" ref="N11" si="76">I11/100</f>
        <v>3.0999999999999999E-3</v>
      </c>
      <c r="O11" s="2400">
        <f t="shared" ref="O11" si="77">J11/100</f>
        <v>-7.8000000000000005E-3</v>
      </c>
      <c r="P11" s="2400">
        <f t="shared" ref="P11" si="78">K11/100</f>
        <v>5.0000000000000001E-3</v>
      </c>
      <c r="Q11" s="2400">
        <f t="shared" ref="Q11" si="79">L11/100</f>
        <v>4.6999999999999993E-3</v>
      </c>
      <c r="R11" s="2416"/>
      <c r="S11" s="2415"/>
      <c r="T11" s="2400"/>
      <c r="U11" s="2400"/>
      <c r="V11" s="2400"/>
      <c r="W11" s="2417"/>
      <c r="X11" s="2417">
        <f>ROUND(IF(项目基本情况!B8="出让",SUMPRODUCT(PRODUCT(1+N11:N$36)),SUMPRODUCT(PRODUCT(1+N11:N$35))),4)</f>
        <v>1.5652999999999999</v>
      </c>
      <c r="Y11" s="2417">
        <f>ROUND(IF(项目基本情况!B8="出让",SUMPRODUCT(PRODUCT(1+O11:O$36)),SUMPRODUCT(PRODUCT(1+O11:O$35))),4)</f>
        <v>1.3472</v>
      </c>
      <c r="Z11" s="2417">
        <f t="shared" ref="Z11" si="80">Y11</f>
        <v>1.3472</v>
      </c>
      <c r="AA11" s="2417">
        <f>ROUND(IF(项目基本情况!B8="出让",SUMPRODUCT(PRODUCT(1+P11:P$36)),SUMPRODUCT(PRODUCT(1+P11:P$35))),4)</f>
        <v>1.6335999999999999</v>
      </c>
      <c r="AB11" s="2417">
        <f>ROUND(IF(项目基本情况!B8="出让",SUMPRODUCT(PRODUCT(1+Q11:Q$36)),SUMPRODUCT(PRODUCT(1+Q11:Q$35))),4)</f>
        <v>1.3880999999999999</v>
      </c>
      <c r="AC11" s="2417"/>
      <c r="AD11" s="2418">
        <f>ROUND(AVERAGE(I11:I$36)/100,4)</f>
        <v>1.8599999999999998E-2</v>
      </c>
      <c r="AE11" s="2418">
        <f>ROUND(AVERAGE(J11:J$36)/100,4)</f>
        <v>1.2500000000000001E-2</v>
      </c>
      <c r="AF11" s="2418">
        <f t="shared" ref="AF11" si="81">AE11</f>
        <v>1.2500000000000001E-2</v>
      </c>
      <c r="AG11" s="2418">
        <f>ROUND(AVERAGE(K11:K$36)/100,4)</f>
        <v>2.0400000000000001E-2</v>
      </c>
      <c r="AH11" s="2418">
        <f>ROUND(AVERAGE(L11:L$36)/100,4)</f>
        <v>1.32E-2</v>
      </c>
    </row>
    <row r="12" spans="1:34" s="2419" customFormat="1">
      <c r="A12" s="2412" t="s">
        <v>2862</v>
      </c>
      <c r="B12" s="2413">
        <f t="shared" ref="B12" si="82">B13*(1+N12)</f>
        <v>479.92259063878413</v>
      </c>
      <c r="C12" s="2413">
        <f t="shared" ref="C12" si="83">C13*(1+O12)</f>
        <v>350.02082268341775</v>
      </c>
      <c r="D12" s="2413">
        <f t="shared" ref="D12" si="84">C12</f>
        <v>350.02082268341775</v>
      </c>
      <c r="E12" s="2413">
        <f t="shared" ref="E12" si="85">E13*(1+P12)</f>
        <v>687.42265944181099</v>
      </c>
      <c r="F12" s="2413">
        <f t="shared" ref="F12" si="86">F13*(1+Q12)</f>
        <v>317.63846657708956</v>
      </c>
      <c r="G12" s="2403">
        <v>2020</v>
      </c>
      <c r="H12" s="2414">
        <v>1</v>
      </c>
      <c r="I12" s="2376">
        <v>0.12</v>
      </c>
      <c r="J12" s="2376">
        <v>-0.4</v>
      </c>
      <c r="K12" s="2376">
        <v>0.21</v>
      </c>
      <c r="L12" s="2377">
        <v>0.27</v>
      </c>
      <c r="M12" s="2399"/>
      <c r="N12" s="2415">
        <f t="shared" ref="N12" si="87">I12/100</f>
        <v>1.1999999999999999E-3</v>
      </c>
      <c r="O12" s="2400">
        <f t="shared" ref="O12" si="88">J12/100</f>
        <v>-4.0000000000000001E-3</v>
      </c>
      <c r="P12" s="2400">
        <f t="shared" ref="P12" si="89">K12/100</f>
        <v>2.0999999999999999E-3</v>
      </c>
      <c r="Q12" s="2400">
        <f t="shared" ref="Q12" si="90">L12/100</f>
        <v>2.7000000000000001E-3</v>
      </c>
      <c r="R12" s="2416"/>
      <c r="S12" s="2415">
        <f>B12/B13-1</f>
        <v>1.2000000000000899E-3</v>
      </c>
      <c r="T12" s="2400">
        <f t="shared" ref="T12" si="91">C12/C13-1</f>
        <v>-4.0000000000000036E-3</v>
      </c>
      <c r="U12" s="2400">
        <f t="shared" ref="U12" si="92">D12/D13-1</f>
        <v>-4.0000000000000036E-3</v>
      </c>
      <c r="V12" s="2400">
        <f t="shared" ref="V12" si="93">E12/E13-1</f>
        <v>2.0999999999999908E-3</v>
      </c>
      <c r="W12" s="2417"/>
      <c r="X12" s="2417">
        <f>ROUND(IF(项目基本情况!B8="出让",SUMPRODUCT(PRODUCT(1+N12:N$36)),SUMPRODUCT(PRODUCT(1+N12:N$35))),4)</f>
        <v>1.5605</v>
      </c>
      <c r="Y12" s="2417">
        <f>ROUND(IF(项目基本情况!B8="出让",SUMPRODUCT(PRODUCT(1+O12:O$36)),SUMPRODUCT(PRODUCT(1+O12:O$35))),4)</f>
        <v>1.3577999999999999</v>
      </c>
      <c r="Z12" s="2417">
        <f t="shared" ref="Z12" si="94">Y12</f>
        <v>1.3577999999999999</v>
      </c>
      <c r="AA12" s="2417">
        <f>ROUND(IF(项目基本情况!B8="出让",SUMPRODUCT(PRODUCT(1+P12:P$36)),SUMPRODUCT(PRODUCT(1+P12:P$35))),4)</f>
        <v>1.6254999999999999</v>
      </c>
      <c r="AB12" s="2417">
        <f>ROUND(IF(项目基本情况!B8="出让",SUMPRODUCT(PRODUCT(1+Q12:Q$36)),SUMPRODUCT(PRODUCT(1+Q12:Q$35))),4)</f>
        <v>1.3815999999999999</v>
      </c>
      <c r="AC12" s="2417"/>
      <c r="AD12" s="2418">
        <f>ROUND(AVERAGE(I12:I$36)/100,4)</f>
        <v>1.9199999999999998E-2</v>
      </c>
      <c r="AE12" s="2418">
        <f>ROUND(AVERAGE(J12:J$36)/100,4)</f>
        <v>1.3299999999999999E-2</v>
      </c>
      <c r="AF12" s="2418">
        <f t="shared" ref="AF12" si="95">AE12</f>
        <v>1.3299999999999999E-2</v>
      </c>
      <c r="AG12" s="2418">
        <f>ROUND(AVERAGE(K12:K$36)/100,4)</f>
        <v>2.1100000000000001E-2</v>
      </c>
      <c r="AH12" s="2418">
        <f>ROUND(AVERAGE(L12:L$36)/100,4)</f>
        <v>1.3599999999999999E-2</v>
      </c>
    </row>
    <row r="13" spans="1:34" s="2419" customFormat="1">
      <c r="A13" s="2412" t="s">
        <v>2861</v>
      </c>
      <c r="B13" s="2413">
        <f t="shared" ref="B13" si="96">B14*(1+N13)</f>
        <v>479.34737379023579</v>
      </c>
      <c r="C13" s="2413">
        <f t="shared" ref="C13" si="97">C14*(1+O13)</f>
        <v>351.4265287986122</v>
      </c>
      <c r="D13" s="2413">
        <f t="shared" ref="D13" si="98">C13</f>
        <v>351.4265287986122</v>
      </c>
      <c r="E13" s="2413">
        <f t="shared" ref="E13" si="99">E14*(1+P13)</f>
        <v>685.98209703803116</v>
      </c>
      <c r="F13" s="2413">
        <f t="shared" ref="F13" si="100">F14*(1+Q13)</f>
        <v>316.78315206651001</v>
      </c>
      <c r="G13" s="2403">
        <v>2019</v>
      </c>
      <c r="H13" s="2414">
        <v>4</v>
      </c>
      <c r="I13" s="2414">
        <v>0.45</v>
      </c>
      <c r="J13" s="2414">
        <v>-0.12</v>
      </c>
      <c r="K13" s="2414">
        <v>0.54</v>
      </c>
      <c r="L13" s="2420">
        <v>0.48</v>
      </c>
      <c r="M13" s="2399"/>
      <c r="N13" s="2415">
        <f t="shared" ref="N13:N18" si="101">I13/100</f>
        <v>4.5000000000000005E-3</v>
      </c>
      <c r="O13" s="2400">
        <f t="shared" ref="O13" si="102">J13/100</f>
        <v>-1.1999999999999999E-3</v>
      </c>
      <c r="P13" s="2400">
        <f t="shared" ref="P13" si="103">K13/100</f>
        <v>5.4000000000000003E-3</v>
      </c>
      <c r="Q13" s="2400">
        <f t="shared" ref="Q13" si="104">L13/100</f>
        <v>4.7999999999999996E-3</v>
      </c>
      <c r="R13" s="2416"/>
      <c r="S13" s="2415"/>
      <c r="T13" s="2400"/>
      <c r="U13" s="2400"/>
      <c r="V13" s="2400"/>
      <c r="W13" s="2417"/>
      <c r="X13" s="2417">
        <f>ROUND(IF(项目基本情况!B8="出让",SUMPRODUCT(PRODUCT(1+N13:N$36)),SUMPRODUCT(PRODUCT(1+N13:N$35))),4)</f>
        <v>1.5586</v>
      </c>
      <c r="Y13" s="2417">
        <f>ROUND(IF(项目基本情况!B8="出让",SUMPRODUCT(PRODUCT(1+O13:O$36)),SUMPRODUCT(PRODUCT(1+O13:O$35))),4)</f>
        <v>1.3633</v>
      </c>
      <c r="Z13" s="2417">
        <f t="shared" ref="Z13" si="105">Y13</f>
        <v>1.3633</v>
      </c>
      <c r="AA13" s="2417">
        <f>ROUND(IF(项目基本情况!B8="出让",SUMPRODUCT(PRODUCT(1+P13:P$36)),SUMPRODUCT(PRODUCT(1+P13:P$35))),4)</f>
        <v>1.6221000000000001</v>
      </c>
      <c r="AB13" s="2417">
        <f>ROUND(IF(项目基本情况!B8="出让",SUMPRODUCT(PRODUCT(1+Q13:Q$36)),SUMPRODUCT(PRODUCT(1+Q13:Q$35))),4)</f>
        <v>1.3777999999999999</v>
      </c>
      <c r="AC13" s="2417"/>
      <c r="AD13" s="2418">
        <f>ROUND(AVERAGE(I13:I$36)/100,4)</f>
        <v>0.02</v>
      </c>
      <c r="AE13" s="2418">
        <f>ROUND(AVERAGE(J13:J$36)/100,4)</f>
        <v>1.4E-2</v>
      </c>
      <c r="AF13" s="2418">
        <f t="shared" ref="AF13" si="106">AE13</f>
        <v>1.4E-2</v>
      </c>
      <c r="AG13" s="2418">
        <f>ROUND(AVERAGE(K13:K$36)/100,4)</f>
        <v>2.1899999999999999E-2</v>
      </c>
      <c r="AH13" s="2418">
        <f>ROUND(AVERAGE(L13:L$36)/100,4)</f>
        <v>1.4E-2</v>
      </c>
    </row>
    <row r="14" spans="1:34" s="2419" customFormat="1" ht="13.5" thickBot="1">
      <c r="A14" s="2412" t="s">
        <v>2860</v>
      </c>
      <c r="B14" s="2413">
        <f t="shared" ref="B14" si="107">B15*(1+N14)</f>
        <v>477.19997390765138</v>
      </c>
      <c r="C14" s="2413">
        <f t="shared" ref="C14" si="108">C15*(1+O14)</f>
        <v>351.84874729536665</v>
      </c>
      <c r="D14" s="2413">
        <f t="shared" ref="D14" si="109">C14</f>
        <v>351.84874729536665</v>
      </c>
      <c r="E14" s="2413">
        <f t="shared" ref="E14" si="110">E15*(1+P14)</f>
        <v>682.29768951465201</v>
      </c>
      <c r="F14" s="2413">
        <f t="shared" ref="F14" si="111">F15*(1+Q14)</f>
        <v>315.26985675409043</v>
      </c>
      <c r="G14" s="2403">
        <v>2019</v>
      </c>
      <c r="H14" s="2414">
        <v>3</v>
      </c>
      <c r="I14" s="2414">
        <v>0.61</v>
      </c>
      <c r="J14" s="2414">
        <v>0.67</v>
      </c>
      <c r="K14" s="2414">
        <v>0.6</v>
      </c>
      <c r="L14" s="2420">
        <v>1.03</v>
      </c>
      <c r="M14" s="2399"/>
      <c r="N14" s="2415">
        <f t="shared" si="101"/>
        <v>6.0999999999999995E-3</v>
      </c>
      <c r="O14" s="2400">
        <f t="shared" ref="O14" si="112">J14/100</f>
        <v>6.7000000000000002E-3</v>
      </c>
      <c r="P14" s="2400">
        <f t="shared" ref="P14" si="113">K14/100</f>
        <v>6.0000000000000001E-3</v>
      </c>
      <c r="Q14" s="2400">
        <f t="shared" ref="Q14" si="114">L14/100</f>
        <v>1.03E-2</v>
      </c>
      <c r="R14" s="2416"/>
      <c r="S14" s="2415"/>
      <c r="T14" s="2400"/>
      <c r="U14" s="2400"/>
      <c r="V14" s="2400"/>
      <c r="W14" s="2417"/>
      <c r="X14" s="2417">
        <f>ROUND(IF(项目基本情况!B8="出让",SUMPRODUCT(PRODUCT(1+N14:N$36)),SUMPRODUCT(PRODUCT(1+N14:N$35))),4)</f>
        <v>1.5516000000000001</v>
      </c>
      <c r="Y14" s="2417">
        <f>ROUND(IF(项目基本情况!B8="出让",SUMPRODUCT(PRODUCT(1+O14:O$36)),SUMPRODUCT(PRODUCT(1+O14:O$35))),4)</f>
        <v>1.3649</v>
      </c>
      <c r="Z14" s="2417">
        <f t="shared" ref="Z14" si="115">Y14</f>
        <v>1.3649</v>
      </c>
      <c r="AA14" s="2417">
        <f>ROUND(IF(项目基本情况!B8="出让",SUMPRODUCT(PRODUCT(1+P14:P$36)),SUMPRODUCT(PRODUCT(1+P14:P$35))),4)</f>
        <v>1.6133999999999999</v>
      </c>
      <c r="AB14" s="2417">
        <f>ROUND(IF(项目基本情况!B8="出让",SUMPRODUCT(PRODUCT(1+Q14:Q$36)),SUMPRODUCT(PRODUCT(1+Q14:Q$35))),4)</f>
        <v>1.3713</v>
      </c>
      <c r="AC14" s="2417"/>
      <c r="AD14" s="2418">
        <f>ROUND(AVERAGE(I14:I$36)/100,4)</f>
        <v>2.07E-2</v>
      </c>
      <c r="AE14" s="2418">
        <f>ROUND(AVERAGE(J14:J$36)/100,4)</f>
        <v>1.47E-2</v>
      </c>
      <c r="AF14" s="2418">
        <f t="shared" ref="AF14" si="116">AE14</f>
        <v>1.47E-2</v>
      </c>
      <c r="AG14" s="2418">
        <f>ROUND(AVERAGE(K14:K$36)/100,4)</f>
        <v>2.2599999999999999E-2</v>
      </c>
      <c r="AH14" s="2418">
        <f>ROUND(AVERAGE(L14:L$36)/100,4)</f>
        <v>1.44E-2</v>
      </c>
    </row>
    <row r="15" spans="1:34" s="2419" customFormat="1">
      <c r="A15" s="2412" t="s">
        <v>2858</v>
      </c>
      <c r="B15" s="2413">
        <f t="shared" ref="B15" si="117">B16*(1+N15)</f>
        <v>474.30670301923408</v>
      </c>
      <c r="C15" s="2413">
        <f t="shared" ref="C15" si="118">C16*(1+O15)</f>
        <v>349.50705005996491</v>
      </c>
      <c r="D15" s="2413">
        <f t="shared" ref="D15" si="119">C15</f>
        <v>349.50705005996491</v>
      </c>
      <c r="E15" s="2413">
        <f t="shared" ref="E15" si="120">E16*(1+P15)</f>
        <v>678.22831959706957</v>
      </c>
      <c r="F15" s="2413">
        <f t="shared" ref="F15" si="121">F16*(1+Q15)</f>
        <v>312.0556832169558</v>
      </c>
      <c r="G15" s="2403">
        <v>2019</v>
      </c>
      <c r="H15" s="2421">
        <v>2</v>
      </c>
      <c r="I15" s="2421">
        <v>1.53</v>
      </c>
      <c r="J15" s="2421">
        <v>1.01</v>
      </c>
      <c r="K15" s="2421">
        <v>1.62</v>
      </c>
      <c r="L15" s="2422">
        <v>1.25</v>
      </c>
      <c r="M15" s="2399"/>
      <c r="N15" s="2415">
        <f t="shared" si="101"/>
        <v>1.5300000000000001E-2</v>
      </c>
      <c r="O15" s="2400">
        <f t="shared" ref="O15" si="122">J15/100</f>
        <v>1.01E-2</v>
      </c>
      <c r="P15" s="2400">
        <f t="shared" ref="P15" si="123">K15/100</f>
        <v>1.6200000000000003E-2</v>
      </c>
      <c r="Q15" s="2400">
        <f t="shared" ref="Q15" si="124">L15/100</f>
        <v>1.2500000000000001E-2</v>
      </c>
      <c r="R15" s="2416"/>
      <c r="S15" s="2415"/>
      <c r="T15" s="2400"/>
      <c r="U15" s="2400"/>
      <c r="V15" s="2400"/>
      <c r="W15" s="2417"/>
      <c r="X15" s="2417">
        <f>ROUND(IF(项目基本情况!B8="出让",SUMPRODUCT(PRODUCT(1+N15:N$36)),SUMPRODUCT(PRODUCT(1+N15:N$35))),4)</f>
        <v>1.5422</v>
      </c>
      <c r="Y15" s="2417">
        <f>ROUND(IF(项目基本情况!B8="出让",SUMPRODUCT(PRODUCT(1+O15:O$36)),SUMPRODUCT(PRODUCT(1+O15:O$35))),4)</f>
        <v>1.3557999999999999</v>
      </c>
      <c r="Z15" s="2417">
        <f t="shared" ref="Z15" si="125">Y15</f>
        <v>1.3557999999999999</v>
      </c>
      <c r="AA15" s="2417">
        <f>ROUND(IF(项目基本情况!B8="出让",SUMPRODUCT(PRODUCT(1+P15:P$36)),SUMPRODUCT(PRODUCT(1+P15:P$35))),4)</f>
        <v>1.6036999999999999</v>
      </c>
      <c r="AB15" s="2417">
        <f>ROUND(IF(项目基本情况!B8="出让",SUMPRODUCT(PRODUCT(1+Q15:Q$36)),SUMPRODUCT(PRODUCT(1+Q15:Q$35))),4)</f>
        <v>1.3573</v>
      </c>
      <c r="AC15" s="2417"/>
      <c r="AD15" s="2418">
        <f>ROUND(AVERAGE(I15:I$36)/100,4)</f>
        <v>2.1299999999999999E-2</v>
      </c>
      <c r="AE15" s="2418">
        <f>ROUND(AVERAGE(J15:J$36)/100,4)</f>
        <v>1.4999999999999999E-2</v>
      </c>
      <c r="AF15" s="2418">
        <f t="shared" ref="AF15" si="126">AE15</f>
        <v>1.4999999999999999E-2</v>
      </c>
      <c r="AG15" s="2418">
        <f>ROUND(AVERAGE(K15:K$36)/100,4)</f>
        <v>2.3300000000000001E-2</v>
      </c>
      <c r="AH15" s="2418">
        <f>ROUND(AVERAGE(L15:L$36)/100,4)</f>
        <v>1.46E-2</v>
      </c>
    </row>
    <row r="16" spans="1:34" s="2419" customFormat="1" ht="13.5" thickBot="1">
      <c r="A16" s="2412" t="s">
        <v>2856</v>
      </c>
      <c r="B16" s="2413">
        <f t="shared" ref="B16" si="127">B17*(1+N16)</f>
        <v>467.15916775261894</v>
      </c>
      <c r="C16" s="2413">
        <f t="shared" ref="C16" si="128">C17*(1+O16)</f>
        <v>346.01232557169084</v>
      </c>
      <c r="D16" s="2413">
        <f t="shared" ref="D16" si="129">C16</f>
        <v>346.01232557169084</v>
      </c>
      <c r="E16" s="2413">
        <f t="shared" ref="E16" si="130">E17*(1+P16)</f>
        <v>667.41617752122568</v>
      </c>
      <c r="F16" s="2413">
        <f t="shared" ref="F16" si="131">F17*(1+Q16)</f>
        <v>308.20314391798104</v>
      </c>
      <c r="G16" s="2403">
        <v>2019</v>
      </c>
      <c r="H16" s="2414">
        <v>1</v>
      </c>
      <c r="I16" s="2414">
        <v>0.6</v>
      </c>
      <c r="J16" s="2414">
        <v>0.37</v>
      </c>
      <c r="K16" s="2414">
        <v>0.63</v>
      </c>
      <c r="L16" s="2420">
        <v>1.1299999999999999</v>
      </c>
      <c r="M16" s="2399"/>
      <c r="N16" s="2415">
        <f t="shared" si="101"/>
        <v>6.0000000000000001E-3</v>
      </c>
      <c r="O16" s="2400">
        <f t="shared" ref="O16" si="132">J16/100</f>
        <v>3.7000000000000002E-3</v>
      </c>
      <c r="P16" s="2400">
        <f t="shared" ref="P16" si="133">K16/100</f>
        <v>6.3E-3</v>
      </c>
      <c r="Q16" s="2400">
        <f t="shared" ref="Q16" si="134">L16/100</f>
        <v>1.1299999999999999E-2</v>
      </c>
      <c r="R16" s="2416"/>
      <c r="S16" s="2415">
        <f>B16/B17-1</f>
        <v>6.0000000000000053E-3</v>
      </c>
      <c r="T16" s="2400">
        <f t="shared" ref="T16" si="135">C16/C17-1</f>
        <v>3.7000000000000366E-3</v>
      </c>
      <c r="U16" s="2400">
        <f t="shared" ref="U16" si="136">D16/D17-1</f>
        <v>3.7000000000000366E-3</v>
      </c>
      <c r="V16" s="2400">
        <f t="shared" ref="V16" si="137">E16/E17-1</f>
        <v>6.2999999999999723E-3</v>
      </c>
      <c r="W16" s="2417"/>
      <c r="X16" s="2417">
        <f>ROUND(IF(项目基本情况!B8="出让",SUMPRODUCT(PRODUCT(1+N16:N$36)),SUMPRODUCT(PRODUCT(1+N16:N$35))),4)</f>
        <v>1.5189999999999999</v>
      </c>
      <c r="Y16" s="2417">
        <f>ROUND(IF(项目基本情况!B8="出让",SUMPRODUCT(PRODUCT(1+O16:O$36)),SUMPRODUCT(PRODUCT(1+O16:O$35))),4)</f>
        <v>1.3423</v>
      </c>
      <c r="Z16" s="2417">
        <f t="shared" ref="Z16" si="138">Y16</f>
        <v>1.3423</v>
      </c>
      <c r="AA16" s="2417">
        <f>ROUND(IF(项目基本情况!B8="出让",SUMPRODUCT(PRODUCT(1+P16:P$36)),SUMPRODUCT(PRODUCT(1+P16:P$35))),4)</f>
        <v>1.5782</v>
      </c>
      <c r="AB16" s="2417">
        <f>ROUND(IF(项目基本情况!B8="出让",SUMPRODUCT(PRODUCT(1+Q16:Q$36)),SUMPRODUCT(PRODUCT(1+Q16:Q$35))),4)</f>
        <v>1.3405</v>
      </c>
      <c r="AC16" s="2417"/>
      <c r="AD16" s="2418">
        <f>ROUND(AVERAGE(I16:I$36)/100,4)</f>
        <v>2.1600000000000001E-2</v>
      </c>
      <c r="AE16" s="2418">
        <f>ROUND(AVERAGE(J16:J$36)/100,4)</f>
        <v>1.5299999999999999E-2</v>
      </c>
      <c r="AF16" s="2418">
        <f t="shared" ref="AF16" si="139">AE16</f>
        <v>1.5299999999999999E-2</v>
      </c>
      <c r="AG16" s="2418">
        <f>ROUND(AVERAGE(K16:K$36)/100,4)</f>
        <v>2.3699999999999999E-2</v>
      </c>
      <c r="AH16" s="2418">
        <f>ROUND(AVERAGE(L16:L$36)/100,4)</f>
        <v>1.47E-2</v>
      </c>
    </row>
    <row r="17" spans="1:34" s="2419" customFormat="1">
      <c r="A17" s="2412" t="s">
        <v>2859</v>
      </c>
      <c r="B17" s="2423">
        <f t="shared" ref="B17" si="140">B18*(1+N17)</f>
        <v>464.37293017158942</v>
      </c>
      <c r="C17" s="2423">
        <f t="shared" ref="C17" si="141">C18*(1+O17)</f>
        <v>344.73679941385956</v>
      </c>
      <c r="D17" s="2423">
        <f t="shared" ref="D17" si="142">C17</f>
        <v>344.73679941385956</v>
      </c>
      <c r="E17" s="2423">
        <f t="shared" ref="E17" si="143">E18*(1+P17)</f>
        <v>663.2377795103107</v>
      </c>
      <c r="F17" s="2424">
        <f t="shared" ref="F17" si="144">F18*(1+Q17)</f>
        <v>304.75936311478398</v>
      </c>
      <c r="G17" s="3525">
        <v>2018</v>
      </c>
      <c r="H17" s="2421">
        <v>4</v>
      </c>
      <c r="I17" s="2421">
        <v>0.96</v>
      </c>
      <c r="J17" s="2421">
        <v>1.03</v>
      </c>
      <c r="K17" s="2421">
        <v>0.92</v>
      </c>
      <c r="L17" s="2422">
        <v>1.29</v>
      </c>
      <c r="M17" s="2399"/>
      <c r="N17" s="2415">
        <f t="shared" si="101"/>
        <v>9.5999999999999992E-3</v>
      </c>
      <c r="O17" s="2400">
        <f t="shared" ref="O17" si="145">J17/100</f>
        <v>1.03E-2</v>
      </c>
      <c r="P17" s="2400">
        <f t="shared" ref="P17" si="146">K17/100</f>
        <v>9.1999999999999998E-3</v>
      </c>
      <c r="Q17" s="2400">
        <f t="shared" ref="Q17" si="147">L17/100</f>
        <v>1.29E-2</v>
      </c>
      <c r="R17" s="2416"/>
      <c r="S17" s="2415"/>
      <c r="T17" s="2400"/>
      <c r="U17" s="2400"/>
      <c r="V17" s="2400"/>
      <c r="W17" s="2417"/>
      <c r="X17" s="2417">
        <f>ROUND(SUMPRODUCT(PRODUCT(1+N17:N$35)),4)</f>
        <v>1.5099</v>
      </c>
      <c r="Y17" s="2417">
        <f>ROUND(SUMPRODUCT(PRODUCT(1+O17:O$35)),4)</f>
        <v>1.3372999999999999</v>
      </c>
      <c r="Z17" s="2417">
        <f t="shared" ref="Z17" si="148">Y17</f>
        <v>1.3372999999999999</v>
      </c>
      <c r="AA17" s="2417">
        <f>ROUND(SUMPRODUCT(PRODUCT(1+P17:P$35)),4)</f>
        <v>1.5683</v>
      </c>
      <c r="AB17" s="2417">
        <f>ROUND(SUMPRODUCT(PRODUCT(1+Q17:Q$35)),4)</f>
        <v>1.3255999999999999</v>
      </c>
      <c r="AC17" s="2417"/>
      <c r="AD17" s="2418">
        <f>ROUND(AVERAGE(I17:I$36)/100,4)</f>
        <v>2.24E-2</v>
      </c>
      <c r="AE17" s="2418">
        <f>ROUND(AVERAGE(J17:J$36)/100,4)</f>
        <v>1.5800000000000002E-2</v>
      </c>
      <c r="AF17" s="2418">
        <f t="shared" ref="AF17" si="149">AE17</f>
        <v>1.5800000000000002E-2</v>
      </c>
      <c r="AG17" s="2418">
        <f>ROUND(AVERAGE(K17:K$36)/100,4)</f>
        <v>2.4500000000000001E-2</v>
      </c>
      <c r="AH17" s="2418">
        <f>ROUND(AVERAGE(L17:L$36)/100,4)</f>
        <v>1.49E-2</v>
      </c>
    </row>
    <row r="18" spans="1:34" s="2419" customFormat="1" ht="14.45" customHeight="1">
      <c r="A18" s="2412" t="s">
        <v>2854</v>
      </c>
      <c r="B18" s="2413">
        <f t="shared" ref="B18" si="150">B19*(1+N18)</f>
        <v>459.95733971036987</v>
      </c>
      <c r="C18" s="2413">
        <f t="shared" ref="C18" si="151">C19*(1+O18)</f>
        <v>341.22221064422405</v>
      </c>
      <c r="D18" s="2413">
        <f t="shared" ref="D18" si="152">C18</f>
        <v>341.22221064422405</v>
      </c>
      <c r="E18" s="2413">
        <f t="shared" ref="E18" si="153">E19*(1+P18)</f>
        <v>657.19161663724799</v>
      </c>
      <c r="F18" s="2413">
        <f t="shared" ref="F18" si="154">F19*(1+Q18)</f>
        <v>300.87803644464805</v>
      </c>
      <c r="G18" s="3525"/>
      <c r="H18" s="2414">
        <v>3</v>
      </c>
      <c r="I18" s="2414">
        <v>1.51</v>
      </c>
      <c r="J18" s="2414">
        <v>1.41</v>
      </c>
      <c r="K18" s="2414">
        <v>1.52</v>
      </c>
      <c r="L18" s="2420">
        <v>1.74</v>
      </c>
      <c r="M18" s="2399"/>
      <c r="N18" s="2415">
        <f t="shared" si="101"/>
        <v>1.5100000000000001E-2</v>
      </c>
      <c r="O18" s="2400">
        <f t="shared" ref="O18" si="155">J18/100</f>
        <v>1.41E-2</v>
      </c>
      <c r="P18" s="2400">
        <f t="shared" ref="P18" si="156">K18/100</f>
        <v>1.52E-2</v>
      </c>
      <c r="Q18" s="2400">
        <f t="shared" ref="Q18" si="157">L18/100</f>
        <v>1.7399999999999999E-2</v>
      </c>
      <c r="R18" s="2416"/>
      <c r="S18" s="2415"/>
      <c r="T18" s="2400"/>
      <c r="U18" s="2400"/>
      <c r="V18" s="2400"/>
      <c r="W18" s="2417"/>
      <c r="X18" s="2417">
        <f>ROUND(SUMPRODUCT(PRODUCT(1+N18:N$35)),4)</f>
        <v>1.4956</v>
      </c>
      <c r="Y18" s="2417">
        <f>ROUND(SUMPRODUCT(PRODUCT(1+O18:O$35)),4)</f>
        <v>1.3237000000000001</v>
      </c>
      <c r="Z18" s="2417">
        <f t="shared" ref="Z18" si="158">Y18</f>
        <v>1.3237000000000001</v>
      </c>
      <c r="AA18" s="2417">
        <f>ROUND(SUMPRODUCT(PRODUCT(1+P18:P$35)),4)</f>
        <v>1.554</v>
      </c>
      <c r="AB18" s="2417">
        <f>ROUND(SUMPRODUCT(PRODUCT(1+Q18:Q$35)),4)</f>
        <v>1.3087</v>
      </c>
      <c r="AC18" s="2417"/>
      <c r="AD18" s="2418">
        <f>ROUND(AVERAGE(I18:I$36)/100,4)</f>
        <v>2.3099999999999999E-2</v>
      </c>
      <c r="AE18" s="2418">
        <f>ROUND(AVERAGE(J18:J$36)/100,4)</f>
        <v>1.61E-2</v>
      </c>
      <c r="AF18" s="2418">
        <f t="shared" ref="AF18" si="159">AE18</f>
        <v>1.61E-2</v>
      </c>
      <c r="AG18" s="2418">
        <f>ROUND(AVERAGE(K18:K$36)/100,4)</f>
        <v>2.53E-2</v>
      </c>
      <c r="AH18" s="2418">
        <f>ROUND(AVERAGE(L18:L$36)/100,4)</f>
        <v>1.4999999999999999E-2</v>
      </c>
    </row>
    <row r="19" spans="1:34" s="2419" customFormat="1" ht="14.45" customHeight="1">
      <c r="A19" s="2412" t="s">
        <v>2853</v>
      </c>
      <c r="B19" s="2413">
        <f t="shared" ref="B19" si="160">B20*(1+N19)</f>
        <v>453.11529869999993</v>
      </c>
      <c r="C19" s="2413">
        <f t="shared" ref="C19" si="161">C20*(1+O19)</f>
        <v>336.47787264000004</v>
      </c>
      <c r="D19" s="2413">
        <f t="shared" ref="D19" si="162">C19</f>
        <v>336.47787264000004</v>
      </c>
      <c r="E19" s="2413">
        <f t="shared" ref="E19" si="163">E20*(1+P19)</f>
        <v>647.35186823999993</v>
      </c>
      <c r="F19" s="2413">
        <f t="shared" ref="F19" si="164">F20*(1+Q19)</f>
        <v>295.73229452000004</v>
      </c>
      <c r="G19" s="3525"/>
      <c r="H19" s="2425">
        <v>2</v>
      </c>
      <c r="I19" s="2425">
        <v>1.49</v>
      </c>
      <c r="J19" s="2425">
        <v>0.96</v>
      </c>
      <c r="K19" s="2425">
        <v>1.58</v>
      </c>
      <c r="L19" s="2426">
        <v>2.44</v>
      </c>
      <c r="M19" s="2399"/>
      <c r="N19" s="2415">
        <f t="shared" ref="N19" si="165">I19/100</f>
        <v>1.49E-2</v>
      </c>
      <c r="O19" s="2400">
        <f t="shared" ref="O19" si="166">J19/100</f>
        <v>9.5999999999999992E-3</v>
      </c>
      <c r="P19" s="2400">
        <f t="shared" ref="P19" si="167">K19/100</f>
        <v>1.5800000000000002E-2</v>
      </c>
      <c r="Q19" s="2400">
        <f t="shared" ref="Q19" si="168">L19/100</f>
        <v>2.4399999999999998E-2</v>
      </c>
      <c r="R19" s="2416"/>
      <c r="S19" s="2415"/>
      <c r="T19" s="2400"/>
      <c r="U19" s="2400"/>
      <c r="V19" s="2400"/>
      <c r="W19" s="2417"/>
      <c r="X19" s="2417">
        <f>ROUND(SUMPRODUCT(PRODUCT(1+N19:N$35)),4)</f>
        <v>1.4733000000000001</v>
      </c>
      <c r="Y19" s="2417">
        <f>ROUND(SUMPRODUCT(PRODUCT(1+O19:O$35)),4)</f>
        <v>1.3052999999999999</v>
      </c>
      <c r="Z19" s="2417">
        <f t="shared" ref="Z19" si="169">Y19</f>
        <v>1.3052999999999999</v>
      </c>
      <c r="AA19" s="2417">
        <f>ROUND(SUMPRODUCT(PRODUCT(1+P19:P$35)),4)</f>
        <v>1.5306999999999999</v>
      </c>
      <c r="AB19" s="2417">
        <f>ROUND(SUMPRODUCT(PRODUCT(1+Q19:Q$35)),4)</f>
        <v>1.2863</v>
      </c>
      <c r="AC19" s="2417"/>
      <c r="AD19" s="2418">
        <f>ROUND(AVERAGE(I19:I$36)/100,4)</f>
        <v>2.35E-2</v>
      </c>
      <c r="AE19" s="2418">
        <f>ROUND(AVERAGE(J19:J$36)/100,4)</f>
        <v>1.6199999999999999E-2</v>
      </c>
      <c r="AF19" s="2418">
        <f t="shared" ref="AF19" si="170">AE19</f>
        <v>1.6199999999999999E-2</v>
      </c>
      <c r="AG19" s="2418">
        <f>ROUND(AVERAGE(K19:K$36)/100,4)</f>
        <v>2.5899999999999999E-2</v>
      </c>
      <c r="AH19" s="2418">
        <f>ROUND(AVERAGE(L19:L$36)/100,4)</f>
        <v>1.49E-2</v>
      </c>
    </row>
    <row r="20" spans="1:34" s="2419" customFormat="1" ht="15" customHeight="1" thickBot="1">
      <c r="A20" s="2412" t="s">
        <v>2846</v>
      </c>
      <c r="B20" s="2413">
        <f t="shared" ref="B20" si="171">B21*(1+N20)</f>
        <v>446.46299999999997</v>
      </c>
      <c r="C20" s="2413">
        <f t="shared" ref="C20" si="172">C21*(1+O20)</f>
        <v>333.27840000000003</v>
      </c>
      <c r="D20" s="2413">
        <f t="shared" ref="D20" si="173">C20</f>
        <v>333.27840000000003</v>
      </c>
      <c r="E20" s="2413">
        <f t="shared" ref="E20" si="174">E21*(1+P20)</f>
        <v>637.28279999999995</v>
      </c>
      <c r="F20" s="2413">
        <f t="shared" ref="F20" si="175">F21*(1+Q20)</f>
        <v>288.68830000000003</v>
      </c>
      <c r="G20" s="3532"/>
      <c r="H20" s="2414">
        <v>1</v>
      </c>
      <c r="I20" s="2414">
        <v>1.7</v>
      </c>
      <c r="J20" s="2414">
        <v>1.92</v>
      </c>
      <c r="K20" s="2414">
        <v>1.64</v>
      </c>
      <c r="L20" s="2420">
        <v>2.0099999999999998</v>
      </c>
      <c r="M20" s="2399"/>
      <c r="N20" s="2415">
        <f t="shared" ref="N20:N25" si="176">I20/100</f>
        <v>1.7000000000000001E-2</v>
      </c>
      <c r="O20" s="2400">
        <f t="shared" ref="O20" si="177">J20/100</f>
        <v>1.9199999999999998E-2</v>
      </c>
      <c r="P20" s="2400">
        <f t="shared" ref="P20" si="178">K20/100</f>
        <v>1.6399999999999998E-2</v>
      </c>
      <c r="Q20" s="2400">
        <f t="shared" ref="Q20" si="179">L20/100</f>
        <v>2.0099999999999996E-2</v>
      </c>
      <c r="R20" s="2416"/>
      <c r="S20" s="2415">
        <f>B20/B21-1</f>
        <v>1.6999999999999904E-2</v>
      </c>
      <c r="T20" s="2400">
        <f t="shared" ref="T20" si="180">C20/C21-1</f>
        <v>1.9200000000000106E-2</v>
      </c>
      <c r="U20" s="2400">
        <f t="shared" ref="U20" si="181">D20/D21-1</f>
        <v>1.9200000000000106E-2</v>
      </c>
      <c r="V20" s="2400">
        <f t="shared" ref="V20" si="182">E20/E21-1</f>
        <v>1.639999999999997E-2</v>
      </c>
      <c r="W20" s="2417"/>
      <c r="X20" s="2417">
        <f>ROUND(SUMPRODUCT(PRODUCT(1+N20:N$35)),4)</f>
        <v>1.4517</v>
      </c>
      <c r="Y20" s="2417">
        <f>ROUND(SUMPRODUCT(PRODUCT(1+O20:O$35)),4)</f>
        <v>1.2928999999999999</v>
      </c>
      <c r="Z20" s="2417">
        <f t="shared" ref="Z20" si="183">Y20</f>
        <v>1.2928999999999999</v>
      </c>
      <c r="AA20" s="2417">
        <f>ROUND(SUMPRODUCT(PRODUCT(1+P20:P$35)),4)</f>
        <v>1.5068999999999999</v>
      </c>
      <c r="AB20" s="2417">
        <f>ROUND(SUMPRODUCT(PRODUCT(1+Q20:Q$35)),4)</f>
        <v>1.2557</v>
      </c>
      <c r="AC20" s="2417"/>
      <c r="AD20" s="2418">
        <f>ROUND(AVERAGE(I20:I$36)/100,4)</f>
        <v>2.4E-2</v>
      </c>
      <c r="AE20" s="2418">
        <f>ROUND(AVERAGE(J20:J$36)/100,4)</f>
        <v>1.66E-2</v>
      </c>
      <c r="AF20" s="2418">
        <f t="shared" ref="AF20" si="184">AE20</f>
        <v>1.66E-2</v>
      </c>
      <c r="AG20" s="2418">
        <f>ROUND(AVERAGE(K20:K$36)/100,4)</f>
        <v>2.6499999999999999E-2</v>
      </c>
      <c r="AH20" s="2418">
        <f>ROUND(AVERAGE(L20:L$36)/100,4)</f>
        <v>1.43E-2</v>
      </c>
    </row>
    <row r="21" spans="1:34">
      <c r="A21" s="2412" t="s">
        <v>2844</v>
      </c>
      <c r="B21" s="2427">
        <v>439</v>
      </c>
      <c r="C21" s="2427">
        <v>327</v>
      </c>
      <c r="D21" s="2427">
        <f>C21</f>
        <v>327</v>
      </c>
      <c r="E21" s="2427">
        <v>627</v>
      </c>
      <c r="F21" s="2428">
        <v>283</v>
      </c>
      <c r="G21" s="3528">
        <v>2017</v>
      </c>
      <c r="H21" s="2421">
        <v>4</v>
      </c>
      <c r="I21" s="2421">
        <v>1.71</v>
      </c>
      <c r="J21" s="2421">
        <v>1.78</v>
      </c>
      <c r="K21" s="2421">
        <v>1.71</v>
      </c>
      <c r="L21" s="2422">
        <v>1.43</v>
      </c>
      <c r="N21" s="2415">
        <f t="shared" si="176"/>
        <v>1.7100000000000001E-2</v>
      </c>
      <c r="O21" s="2400">
        <f t="shared" ref="O21" si="185">J21/100</f>
        <v>1.78E-2</v>
      </c>
      <c r="P21" s="2400">
        <f t="shared" ref="P21" si="186">K21/100</f>
        <v>1.7100000000000001E-2</v>
      </c>
      <c r="Q21" s="2400">
        <f t="shared" ref="Q21" si="187">L21/100</f>
        <v>1.43E-2</v>
      </c>
      <c r="R21" s="2416"/>
      <c r="S21" s="2429"/>
      <c r="T21" s="2430"/>
      <c r="U21" s="2430"/>
      <c r="V21" s="2430"/>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9" customFormat="1" ht="14.45" customHeight="1">
      <c r="A22" s="2412" t="s">
        <v>2845</v>
      </c>
      <c r="B22" s="2413">
        <f t="shared" ref="B22:B23" si="188">B23*(1+N22)</f>
        <v>431.80730811680002</v>
      </c>
      <c r="C22" s="2413">
        <f t="shared" ref="C22:C23" si="189">C23*(1+O22)</f>
        <v>320.57880516480003</v>
      </c>
      <c r="D22" s="2413">
        <f t="shared" ref="D22:D23" si="190">C22</f>
        <v>320.57880516480003</v>
      </c>
      <c r="E22" s="2413">
        <f t="shared" ref="E22:E23" si="191">E23*(1+P22)</f>
        <v>615.96110553196797</v>
      </c>
      <c r="F22" s="2413">
        <f t="shared" ref="F22:F23" si="192">F23*(1+Q22)</f>
        <v>279.46777300108801</v>
      </c>
      <c r="G22" s="3525"/>
      <c r="H22" s="2414">
        <v>3</v>
      </c>
      <c r="I22" s="2414">
        <v>2.98</v>
      </c>
      <c r="J22" s="2414">
        <v>2.11</v>
      </c>
      <c r="K22" s="2414">
        <v>3.24</v>
      </c>
      <c r="L22" s="2420">
        <v>1.72</v>
      </c>
      <c r="M22" s="2399"/>
      <c r="N22" s="2415">
        <f t="shared" si="176"/>
        <v>2.98E-2</v>
      </c>
      <c r="O22" s="2400">
        <f t="shared" ref="O22" si="193">J22/100</f>
        <v>2.1099999999999997E-2</v>
      </c>
      <c r="P22" s="2400">
        <f t="shared" ref="P22" si="194">K22/100</f>
        <v>3.2400000000000005E-2</v>
      </c>
      <c r="Q22" s="2400">
        <f t="shared" ref="Q22" si="195">L22/100</f>
        <v>1.72E-2</v>
      </c>
      <c r="R22" s="2416"/>
      <c r="S22" s="2415"/>
      <c r="T22" s="2400"/>
      <c r="U22" s="2400"/>
      <c r="V22" s="2400"/>
      <c r="W22" s="2417"/>
      <c r="X22" s="2417">
        <f>ROUND(SUMPRODUCT(PRODUCT(1+N22:N$35)),4)</f>
        <v>1.4034</v>
      </c>
      <c r="Y22" s="2417">
        <f>ROUND(SUMPRODUCT(PRODUCT(1+O22:O$35)),4)</f>
        <v>1.2463</v>
      </c>
      <c r="Z22" s="2417">
        <f t="shared" si="0"/>
        <v>1.2463</v>
      </c>
      <c r="AA22" s="2417">
        <f>ROUND(SUMPRODUCT(PRODUCT(1+P22:P$35)),4)</f>
        <v>1.4577</v>
      </c>
      <c r="AB22" s="2417">
        <f>ROUND(SUMPRODUCT(PRODUCT(1+Q22:Q$35)),4)</f>
        <v>1.2136</v>
      </c>
      <c r="AC22" s="2417"/>
      <c r="AD22" s="2418">
        <f>ROUND(AVERAGE(I22:I$36)/100,4)</f>
        <v>2.4899999999999999E-2</v>
      </c>
      <c r="AE22" s="2418">
        <f>ROUND(AVERAGE(J22:J$36)/100,4)</f>
        <v>1.6400000000000001E-2</v>
      </c>
      <c r="AF22" s="2418">
        <f t="shared" si="1"/>
        <v>1.6400000000000001E-2</v>
      </c>
      <c r="AG22" s="2418">
        <f>ROUND(AVERAGE(K22:K$36)/100,4)</f>
        <v>2.7799999999999998E-2</v>
      </c>
      <c r="AH22" s="2418">
        <f>ROUND(AVERAGE(L22:L$36)/100,4)</f>
        <v>1.3899999999999999E-2</v>
      </c>
    </row>
    <row r="23" spans="1:34" s="2406" customFormat="1" ht="14.45" customHeight="1">
      <c r="A23" s="2412" t="s">
        <v>1351</v>
      </c>
      <c r="B23" s="2413">
        <f t="shared" si="188"/>
        <v>419.31181600000002</v>
      </c>
      <c r="C23" s="2413">
        <f t="shared" si="189"/>
        <v>313.95436800000004</v>
      </c>
      <c r="D23" s="2413">
        <f t="shared" si="190"/>
        <v>313.95436800000004</v>
      </c>
      <c r="E23" s="2413">
        <f t="shared" si="191"/>
        <v>596.63028431999999</v>
      </c>
      <c r="F23" s="2413">
        <f t="shared" si="192"/>
        <v>274.74220703999998</v>
      </c>
      <c r="G23" s="3525"/>
      <c r="H23" s="2425">
        <v>2</v>
      </c>
      <c r="I23" s="2425">
        <v>3.4</v>
      </c>
      <c r="J23" s="2425">
        <v>2</v>
      </c>
      <c r="K23" s="2425">
        <v>3.82</v>
      </c>
      <c r="L23" s="2426">
        <v>1.68</v>
      </c>
      <c r="M23" s="2399"/>
      <c r="N23" s="2415">
        <f t="shared" si="176"/>
        <v>3.4000000000000002E-2</v>
      </c>
      <c r="O23" s="2400">
        <f t="shared" ref="O23" si="196">J23/100</f>
        <v>0.02</v>
      </c>
      <c r="P23" s="2400">
        <f t="shared" ref="P23" si="197">K23/100</f>
        <v>3.8199999999999998E-2</v>
      </c>
      <c r="Q23" s="2400">
        <f t="shared" ref="Q23" si="198">L23/100</f>
        <v>1.6799999999999999E-2</v>
      </c>
      <c r="R23" s="2416"/>
      <c r="S23" s="2429"/>
      <c r="T23" s="2430"/>
      <c r="U23" s="2430"/>
      <c r="V23" s="2430"/>
      <c r="W23" s="2393"/>
      <c r="X23" s="2417">
        <f>ROUND(SUMPRODUCT(PRODUCT(1+N23:N$35)),4)</f>
        <v>1.3628</v>
      </c>
      <c r="Y23" s="2417">
        <f>ROUND(SUMPRODUCT(PRODUCT(1+O23:O$35)),4)</f>
        <v>1.2205999999999999</v>
      </c>
      <c r="Z23" s="2417">
        <f t="shared" si="0"/>
        <v>1.2205999999999999</v>
      </c>
      <c r="AA23" s="2417">
        <f>ROUND(SUMPRODUCT(PRODUCT(1+P23:P$35)),4)</f>
        <v>1.4118999999999999</v>
      </c>
      <c r="AB23" s="2417">
        <f>ROUND(SUMPRODUCT(PRODUCT(1+Q23:Q$35)),4)</f>
        <v>1.1930000000000001</v>
      </c>
      <c r="AC23" s="2393"/>
      <c r="AD23" s="2418">
        <f>ROUND(AVERAGE(I23:I$36)/100,4)</f>
        <v>2.46E-2</v>
      </c>
      <c r="AE23" s="2418">
        <f>ROUND(AVERAGE(J23:J$36)/100,4)</f>
        <v>1.6E-2</v>
      </c>
      <c r="AF23" s="2418">
        <f t="shared" si="1"/>
        <v>1.6E-2</v>
      </c>
      <c r="AG23" s="2418">
        <f>ROUND(AVERAGE(K23:K$36)/100,4)</f>
        <v>2.75E-2</v>
      </c>
      <c r="AH23" s="2418">
        <f>ROUND(AVERAGE(L23:L$36)/100,4)</f>
        <v>1.37E-2</v>
      </c>
    </row>
    <row r="24" spans="1:34" s="2419" customFormat="1" ht="15" customHeight="1" thickBot="1">
      <c r="A24" s="2412" t="s">
        <v>1128</v>
      </c>
      <c r="B24" s="2413">
        <f>B25*(1+N24)</f>
        <v>405.524</v>
      </c>
      <c r="C24" s="2413">
        <f>C25*(1+O24)</f>
        <v>307.79840000000002</v>
      </c>
      <c r="D24" s="2413">
        <f>C24</f>
        <v>307.79840000000002</v>
      </c>
      <c r="E24" s="2413">
        <f>E25*(1+P24)</f>
        <v>574.67759999999998</v>
      </c>
      <c r="F24" s="2413">
        <f>F25*(1+Q24)</f>
        <v>270.20280000000002</v>
      </c>
      <c r="G24" s="3532"/>
      <c r="H24" s="2414">
        <v>1</v>
      </c>
      <c r="I24" s="2414">
        <v>3.45</v>
      </c>
      <c r="J24" s="2414">
        <v>1.92</v>
      </c>
      <c r="K24" s="2414">
        <v>3.92</v>
      </c>
      <c r="L24" s="2420">
        <v>1.58</v>
      </c>
      <c r="M24" s="2399"/>
      <c r="N24" s="2415">
        <f t="shared" si="176"/>
        <v>3.4500000000000003E-2</v>
      </c>
      <c r="O24" s="2400">
        <f t="shared" ref="O24:Q39" si="199">J24/100</f>
        <v>1.9199999999999998E-2</v>
      </c>
      <c r="P24" s="2400">
        <f t="shared" si="199"/>
        <v>3.9199999999999999E-2</v>
      </c>
      <c r="Q24" s="2400">
        <f t="shared" si="199"/>
        <v>1.5800000000000002E-2</v>
      </c>
      <c r="R24" s="2416"/>
      <c r="S24" s="2415">
        <f>B24/B25-1</f>
        <v>3.4499999999999975E-2</v>
      </c>
      <c r="T24" s="2400">
        <f t="shared" ref="T24:V24" si="200">C24/C25-1</f>
        <v>1.9200000000000106E-2</v>
      </c>
      <c r="U24" s="2400">
        <f t="shared" si="200"/>
        <v>1.9200000000000106E-2</v>
      </c>
      <c r="V24" s="2400">
        <f t="shared" si="200"/>
        <v>3.9199999999999902E-2</v>
      </c>
      <c r="W24" s="2417"/>
      <c r="X24" s="2417">
        <f>ROUND(SUMPRODUCT(PRODUCT(1+N24:N$35)),4)</f>
        <v>1.3180000000000001</v>
      </c>
      <c r="Y24" s="2417">
        <f>ROUND(SUMPRODUCT(PRODUCT(1+O24:O$35)),4)</f>
        <v>1.1966000000000001</v>
      </c>
      <c r="Z24" s="2417">
        <f t="shared" si="0"/>
        <v>1.1966000000000001</v>
      </c>
      <c r="AA24" s="2417">
        <f>ROUND(SUMPRODUCT(PRODUCT(1+P24:P$35)),4)</f>
        <v>1.36</v>
      </c>
      <c r="AB24" s="2417">
        <f>ROUND(SUMPRODUCT(PRODUCT(1+Q24:Q$35)),4)</f>
        <v>1.1733</v>
      </c>
      <c r="AC24" s="2417"/>
      <c r="AD24" s="2418">
        <f>ROUND(AVERAGE(I24:I$36)/100,4)</f>
        <v>2.3900000000000001E-2</v>
      </c>
      <c r="AE24" s="2418">
        <f>ROUND(AVERAGE(J24:J$36)/100,4)</f>
        <v>1.5699999999999999E-2</v>
      </c>
      <c r="AF24" s="2418">
        <f t="shared" si="1"/>
        <v>1.5699999999999999E-2</v>
      </c>
      <c r="AG24" s="2418">
        <f>ROUND(AVERAGE(K24:K$36)/100,4)</f>
        <v>2.6599999999999999E-2</v>
      </c>
      <c r="AH24" s="2418">
        <f>ROUND(AVERAGE(L24:L$36)/100,4)</f>
        <v>1.34E-2</v>
      </c>
    </row>
    <row r="25" spans="1:34">
      <c r="A25" s="2412" t="s">
        <v>154</v>
      </c>
      <c r="B25" s="2427">
        <v>392</v>
      </c>
      <c r="C25" s="2427">
        <v>302</v>
      </c>
      <c r="D25" s="2427">
        <f>C25</f>
        <v>302</v>
      </c>
      <c r="E25" s="2427">
        <v>553</v>
      </c>
      <c r="F25" s="2428">
        <v>266</v>
      </c>
      <c r="G25" s="3528">
        <v>2016</v>
      </c>
      <c r="H25" s="2421">
        <v>4</v>
      </c>
      <c r="I25" s="2421">
        <v>4.5599999999999996</v>
      </c>
      <c r="J25" s="2421">
        <v>2.15</v>
      </c>
      <c r="K25" s="2421">
        <v>5.32</v>
      </c>
      <c r="L25" s="2422">
        <v>1.57</v>
      </c>
      <c r="N25" s="2415">
        <f t="shared" si="176"/>
        <v>4.5599999999999995E-2</v>
      </c>
      <c r="O25" s="2400">
        <f t="shared" si="199"/>
        <v>2.1499999999999998E-2</v>
      </c>
      <c r="P25" s="2400">
        <f t="shared" si="199"/>
        <v>5.3200000000000004E-2</v>
      </c>
      <c r="Q25" s="2400">
        <f t="shared" si="199"/>
        <v>1.5700000000000002E-2</v>
      </c>
      <c r="R25" s="2416"/>
      <c r="S25" s="2429"/>
      <c r="T25" s="2430"/>
      <c r="U25" s="2430"/>
      <c r="V25" s="2430"/>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12" t="s">
        <v>153</v>
      </c>
      <c r="B26" s="2413">
        <f t="shared" ref="B26:C28" si="201">B25/(1+N25)</f>
        <v>374.90436113236416</v>
      </c>
      <c r="C26" s="2413">
        <f t="shared" si="201"/>
        <v>295.64366128242779</v>
      </c>
      <c r="D26" s="2413">
        <f t="shared" ref="D26:D85" si="202">C26</f>
        <v>295.64366128242779</v>
      </c>
      <c r="E26" s="2413">
        <f t="shared" ref="E26:F28" si="203">E25/(1+P25)</f>
        <v>525.06646410938095</v>
      </c>
      <c r="F26" s="2413">
        <f t="shared" si="203"/>
        <v>261.88835286009646</v>
      </c>
      <c r="G26" s="3525"/>
      <c r="H26" s="2414">
        <v>3</v>
      </c>
      <c r="I26" s="2414">
        <v>4.12</v>
      </c>
      <c r="J26" s="2414">
        <v>2</v>
      </c>
      <c r="K26" s="2414">
        <v>4.79</v>
      </c>
      <c r="L26" s="2420">
        <v>1.97</v>
      </c>
      <c r="N26" s="2415">
        <f t="shared" ref="N26:Q60" si="204">I26/100</f>
        <v>4.1200000000000001E-2</v>
      </c>
      <c r="O26" s="2400">
        <f t="shared" si="199"/>
        <v>0.02</v>
      </c>
      <c r="P26" s="2400">
        <f t="shared" si="199"/>
        <v>4.7899999999999998E-2</v>
      </c>
      <c r="Q26" s="2400">
        <f t="shared" si="199"/>
        <v>1.9699999999999999E-2</v>
      </c>
      <c r="R26" s="2416"/>
      <c r="S26" s="2415"/>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12" t="s">
        <v>143</v>
      </c>
      <c r="B27" s="2413">
        <f t="shared" si="201"/>
        <v>360.06949782209392</v>
      </c>
      <c r="C27" s="2413">
        <f t="shared" si="201"/>
        <v>289.84672674747821</v>
      </c>
      <c r="D27" s="2413">
        <f t="shared" si="202"/>
        <v>289.84672674747821</v>
      </c>
      <c r="E27" s="2413">
        <f t="shared" si="203"/>
        <v>501.06543001181495</v>
      </c>
      <c r="F27" s="2413">
        <f t="shared" si="203"/>
        <v>256.82882500744967</v>
      </c>
      <c r="G27" s="3525"/>
      <c r="H27" s="2425">
        <v>2</v>
      </c>
      <c r="I27" s="2425">
        <v>3.85</v>
      </c>
      <c r="J27" s="2425">
        <v>1.95</v>
      </c>
      <c r="K27" s="2425">
        <v>4.4800000000000004</v>
      </c>
      <c r="L27" s="2426">
        <v>1.41</v>
      </c>
      <c r="N27" s="2415">
        <f t="shared" si="204"/>
        <v>3.85E-2</v>
      </c>
      <c r="O27" s="2400">
        <f t="shared" si="199"/>
        <v>1.95E-2</v>
      </c>
      <c r="P27" s="2400">
        <f t="shared" si="199"/>
        <v>4.4800000000000006E-2</v>
      </c>
      <c r="Q27" s="2400">
        <f t="shared" si="199"/>
        <v>1.41E-2</v>
      </c>
      <c r="R27" s="2416"/>
      <c r="S27" s="2415"/>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12" t="s">
        <v>152</v>
      </c>
      <c r="B28" s="2413">
        <f t="shared" si="201"/>
        <v>346.720748986128</v>
      </c>
      <c r="C28" s="2413">
        <f t="shared" si="201"/>
        <v>284.30282172386285</v>
      </c>
      <c r="D28" s="2413">
        <f t="shared" si="202"/>
        <v>284.30282172386285</v>
      </c>
      <c r="E28" s="2413">
        <f t="shared" si="203"/>
        <v>479.58023546306947</v>
      </c>
      <c r="F28" s="2413">
        <f t="shared" si="203"/>
        <v>253.25788877571213</v>
      </c>
      <c r="G28" s="3526"/>
      <c r="H28" s="2414">
        <v>1</v>
      </c>
      <c r="I28" s="2414">
        <v>4.09</v>
      </c>
      <c r="J28" s="2414">
        <v>2.93</v>
      </c>
      <c r="K28" s="2414">
        <v>4.54</v>
      </c>
      <c r="L28" s="2420">
        <v>1.48</v>
      </c>
      <c r="N28" s="2415">
        <f t="shared" si="204"/>
        <v>4.0899999999999999E-2</v>
      </c>
      <c r="O28" s="2400">
        <f t="shared" si="199"/>
        <v>2.9300000000000003E-2</v>
      </c>
      <c r="P28" s="2400">
        <f t="shared" si="199"/>
        <v>4.5400000000000003E-2</v>
      </c>
      <c r="Q28" s="2400">
        <f t="shared" si="199"/>
        <v>1.4800000000000001E-2</v>
      </c>
      <c r="R28" s="2416"/>
      <c r="S28" s="2431">
        <f>B28/B29-1</f>
        <v>4.1203450408792808E-2</v>
      </c>
      <c r="T28" s="2432">
        <f>C28/C29-1</f>
        <v>2.6363977342465095E-2</v>
      </c>
      <c r="U28" s="2432">
        <f>E28/E29-1</f>
        <v>4.4837114298626357E-2</v>
      </c>
      <c r="V28" s="2432">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12" t="s">
        <v>151</v>
      </c>
      <c r="B29" s="2427">
        <v>333</v>
      </c>
      <c r="C29" s="2427">
        <v>277</v>
      </c>
      <c r="D29" s="2427">
        <f t="shared" si="202"/>
        <v>277</v>
      </c>
      <c r="E29" s="2427">
        <v>459</v>
      </c>
      <c r="F29" s="2428">
        <v>249</v>
      </c>
      <c r="G29" s="3524">
        <v>2015</v>
      </c>
      <c r="H29" s="2433">
        <v>4</v>
      </c>
      <c r="I29" s="2433">
        <v>1.63</v>
      </c>
      <c r="J29" s="2433">
        <v>1.1100000000000001</v>
      </c>
      <c r="K29" s="2433">
        <v>1.77</v>
      </c>
      <c r="L29" s="2434">
        <v>1.89</v>
      </c>
      <c r="N29" s="2435">
        <f t="shared" si="204"/>
        <v>1.6299999999999999E-2</v>
      </c>
      <c r="O29" s="2436">
        <f t="shared" si="199"/>
        <v>1.11E-2</v>
      </c>
      <c r="P29" s="2436">
        <f t="shared" si="199"/>
        <v>1.77E-2</v>
      </c>
      <c r="Q29" s="2436">
        <f t="shared" si="199"/>
        <v>1.89E-2</v>
      </c>
      <c r="R29" s="2416"/>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12" t="s">
        <v>150</v>
      </c>
      <c r="B30" s="2413">
        <f t="shared" ref="B30:C32" si="205">B29/(1+N29)</f>
        <v>327.65915576109415</v>
      </c>
      <c r="C30" s="2413">
        <f t="shared" si="205"/>
        <v>273.95905449510434</v>
      </c>
      <c r="D30" s="2413">
        <f t="shared" si="202"/>
        <v>273.95905449510434</v>
      </c>
      <c r="E30" s="2413">
        <f t="shared" ref="E30:F32" si="206">E29/(1+P29)</f>
        <v>451.01699911565294</v>
      </c>
      <c r="F30" s="2413">
        <f t="shared" si="206"/>
        <v>244.38119540681129</v>
      </c>
      <c r="G30" s="3525"/>
      <c r="H30" s="2438">
        <v>3</v>
      </c>
      <c r="I30" s="2438">
        <v>1.65</v>
      </c>
      <c r="J30" s="2438">
        <v>0.92</v>
      </c>
      <c r="K30" s="2438">
        <v>1.88</v>
      </c>
      <c r="L30" s="2439">
        <v>1.26</v>
      </c>
      <c r="N30" s="2415">
        <f t="shared" si="204"/>
        <v>1.6500000000000001E-2</v>
      </c>
      <c r="O30" s="2440">
        <f t="shared" si="199"/>
        <v>9.1999999999999998E-3</v>
      </c>
      <c r="P30" s="2440">
        <f t="shared" si="199"/>
        <v>1.8799999999999997E-2</v>
      </c>
      <c r="Q30" s="2440">
        <f t="shared" si="199"/>
        <v>1.26E-2</v>
      </c>
      <c r="R30" s="2416"/>
      <c r="S30" s="2415"/>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12" t="s">
        <v>149</v>
      </c>
      <c r="B31" s="2413">
        <f t="shared" si="205"/>
        <v>322.34053690220776</v>
      </c>
      <c r="C31" s="2413">
        <f t="shared" si="205"/>
        <v>271.46160770422546</v>
      </c>
      <c r="D31" s="2413">
        <f t="shared" si="202"/>
        <v>271.46160770422546</v>
      </c>
      <c r="E31" s="2413">
        <f t="shared" si="206"/>
        <v>442.69434542172456</v>
      </c>
      <c r="F31" s="2413">
        <f t="shared" si="206"/>
        <v>241.34030753190925</v>
      </c>
      <c r="G31" s="3525"/>
      <c r="H31" s="2425">
        <v>2</v>
      </c>
      <c r="I31" s="2425">
        <v>0.77</v>
      </c>
      <c r="J31" s="2425">
        <v>0.69</v>
      </c>
      <c r="K31" s="2425">
        <v>0.8</v>
      </c>
      <c r="L31" s="2426">
        <v>0.88</v>
      </c>
      <c r="N31" s="2415">
        <f t="shared" si="204"/>
        <v>7.7000000000000002E-3</v>
      </c>
      <c r="O31" s="2440">
        <f t="shared" si="199"/>
        <v>6.8999999999999999E-3</v>
      </c>
      <c r="P31" s="2440">
        <f t="shared" si="199"/>
        <v>8.0000000000000002E-3</v>
      </c>
      <c r="Q31" s="2440">
        <f t="shared" si="199"/>
        <v>8.8000000000000005E-3</v>
      </c>
      <c r="R31" s="2416"/>
      <c r="S31" s="2415"/>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12" t="s">
        <v>148</v>
      </c>
      <c r="B32" s="2413">
        <f t="shared" si="205"/>
        <v>319.87748030386797</v>
      </c>
      <c r="C32" s="2413">
        <f t="shared" si="205"/>
        <v>269.60135833173649</v>
      </c>
      <c r="D32" s="2413">
        <f t="shared" si="202"/>
        <v>269.60135833173649</v>
      </c>
      <c r="E32" s="2413">
        <f t="shared" si="206"/>
        <v>439.18089823583784</v>
      </c>
      <c r="F32" s="2413">
        <f t="shared" si="206"/>
        <v>239.23503918706311</v>
      </c>
      <c r="G32" s="3526"/>
      <c r="H32" s="2414">
        <v>1</v>
      </c>
      <c r="I32" s="2414">
        <v>0.51</v>
      </c>
      <c r="J32" s="2414">
        <v>0.54</v>
      </c>
      <c r="K32" s="2414">
        <v>0.48</v>
      </c>
      <c r="L32" s="2420">
        <v>0.93</v>
      </c>
      <c r="N32" s="2431">
        <f t="shared" si="204"/>
        <v>5.1000000000000004E-3</v>
      </c>
      <c r="O32" s="2432">
        <f t="shared" si="199"/>
        <v>5.4000000000000003E-3</v>
      </c>
      <c r="P32" s="2432">
        <f t="shared" si="199"/>
        <v>4.7999999999999996E-3</v>
      </c>
      <c r="Q32" s="2432">
        <f t="shared" si="199"/>
        <v>9.300000000000001E-3</v>
      </c>
      <c r="R32" s="2416"/>
      <c r="S32" s="2431">
        <f>B32/B33-1</f>
        <v>5.9040261127922822E-3</v>
      </c>
      <c r="T32" s="2432">
        <f>C32/C33-1</f>
        <v>5.9752176557332781E-3</v>
      </c>
      <c r="U32" s="2432">
        <f>E32/E33-1</f>
        <v>4.9906138119859556E-3</v>
      </c>
      <c r="V32" s="2432">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12" t="s">
        <v>147</v>
      </c>
      <c r="B33" s="2441">
        <v>318</v>
      </c>
      <c r="C33" s="2441">
        <v>268</v>
      </c>
      <c r="D33" s="2441">
        <f t="shared" si="202"/>
        <v>268</v>
      </c>
      <c r="E33" s="2441">
        <v>437</v>
      </c>
      <c r="F33" s="2442">
        <v>237</v>
      </c>
      <c r="G33" s="3524">
        <v>2014</v>
      </c>
      <c r="H33" s="2433">
        <v>4</v>
      </c>
      <c r="I33" s="2433">
        <v>0.21</v>
      </c>
      <c r="J33" s="2433">
        <v>0.41</v>
      </c>
      <c r="K33" s="2433">
        <v>0.12</v>
      </c>
      <c r="L33" s="2434">
        <v>0.89</v>
      </c>
      <c r="N33" s="2415">
        <f t="shared" si="204"/>
        <v>2.0999999999999999E-3</v>
      </c>
      <c r="O33" s="2400">
        <f t="shared" si="199"/>
        <v>4.0999999999999995E-3</v>
      </c>
      <c r="P33" s="2400">
        <f t="shared" si="199"/>
        <v>1.1999999999999999E-3</v>
      </c>
      <c r="Q33" s="2400">
        <f t="shared" si="199"/>
        <v>8.8999999999999999E-3</v>
      </c>
      <c r="R33" s="2416"/>
      <c r="S33" s="2429"/>
      <c r="T33" s="2430"/>
      <c r="U33" s="2430"/>
      <c r="V33" s="2430"/>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12" t="s">
        <v>146</v>
      </c>
      <c r="B34" s="2413">
        <f t="shared" ref="B34:C36" si="207">B33/(1+N33)</f>
        <v>317.33359944117353</v>
      </c>
      <c r="C34" s="2413">
        <f t="shared" si="207"/>
        <v>266.90568668459315</v>
      </c>
      <c r="D34" s="2413">
        <f t="shared" si="202"/>
        <v>266.90568668459315</v>
      </c>
      <c r="E34" s="2413">
        <f t="shared" ref="E34:F36" si="208">E33/(1+P33)</f>
        <v>436.47622852576905</v>
      </c>
      <c r="F34" s="2413">
        <f t="shared" si="208"/>
        <v>234.90930716622066</v>
      </c>
      <c r="G34" s="3525"/>
      <c r="H34" s="2443">
        <v>3</v>
      </c>
      <c r="I34" s="2443">
        <v>0.83</v>
      </c>
      <c r="J34" s="2443">
        <v>1.47</v>
      </c>
      <c r="K34" s="2443">
        <v>0.65</v>
      </c>
      <c r="L34" s="2444">
        <v>0.72</v>
      </c>
      <c r="N34" s="2415">
        <f t="shared" si="204"/>
        <v>8.3000000000000001E-3</v>
      </c>
      <c r="O34" s="2400">
        <f t="shared" si="199"/>
        <v>1.47E-2</v>
      </c>
      <c r="P34" s="2400">
        <f t="shared" si="199"/>
        <v>6.5000000000000006E-3</v>
      </c>
      <c r="Q34" s="2400">
        <f t="shared" si="199"/>
        <v>7.1999999999999998E-3</v>
      </c>
      <c r="R34" s="2416"/>
      <c r="S34" s="2415"/>
      <c r="T34" s="2400"/>
      <c r="U34" s="2400"/>
      <c r="V34" s="2400"/>
      <c r="X34" s="2399">
        <f>ROUND(SUMPRODUCT(PRODUCT(1+N34:N$35)),4)</f>
        <v>1.0325</v>
      </c>
      <c r="Y34" s="2399">
        <f>ROUND(SUMPRODUCT(PRODUCT(1+O34:O$35)),4)</f>
        <v>1.0353000000000001</v>
      </c>
      <c r="Z34" s="2399">
        <f t="shared" ref="Z34:Z35" si="209">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12" t="s">
        <v>145</v>
      </c>
      <c r="B35" s="2413">
        <f t="shared" si="207"/>
        <v>314.72141172386546</v>
      </c>
      <c r="C35" s="2413">
        <f t="shared" si="207"/>
        <v>263.03901319069001</v>
      </c>
      <c r="D35" s="2413">
        <f t="shared" si="202"/>
        <v>263.03901319069001</v>
      </c>
      <c r="E35" s="2413">
        <f t="shared" si="208"/>
        <v>433.65745506782821</v>
      </c>
      <c r="F35" s="2413">
        <f t="shared" si="208"/>
        <v>233.23005080045735</v>
      </c>
      <c r="G35" s="3525"/>
      <c r="H35" s="2433">
        <v>2</v>
      </c>
      <c r="I35" s="2433">
        <v>2.4</v>
      </c>
      <c r="J35" s="2433">
        <v>2.0299999999999998</v>
      </c>
      <c r="K35" s="2433">
        <v>2.59</v>
      </c>
      <c r="L35" s="2434">
        <v>1.52</v>
      </c>
      <c r="N35" s="2415">
        <f t="shared" si="204"/>
        <v>2.4E-2</v>
      </c>
      <c r="O35" s="2400">
        <f t="shared" si="199"/>
        <v>2.0299999999999999E-2</v>
      </c>
      <c r="P35" s="2400">
        <f t="shared" si="199"/>
        <v>2.5899999999999999E-2</v>
      </c>
      <c r="Q35" s="2400">
        <f t="shared" si="199"/>
        <v>1.52E-2</v>
      </c>
      <c r="R35" s="2416"/>
      <c r="S35" s="2415"/>
      <c r="T35" s="2400"/>
      <c r="U35" s="2400"/>
      <c r="V35" s="2400"/>
      <c r="X35" s="2399">
        <f>1+N35</f>
        <v>1.024</v>
      </c>
      <c r="Y35" s="2399">
        <f>1+O35</f>
        <v>1.0203</v>
      </c>
      <c r="Z35" s="2399">
        <f t="shared" si="209"/>
        <v>1.0203</v>
      </c>
      <c r="AA35" s="2399">
        <f>1+P35</f>
        <v>1.0259</v>
      </c>
      <c r="AB35" s="2399">
        <f>1+Q35</f>
        <v>1.0152000000000001</v>
      </c>
      <c r="AD35" s="2400">
        <f>ROUND(AVERAGE(I35:I$36)/100,4)</f>
        <v>2.69E-2</v>
      </c>
      <c r="AE35" s="2400">
        <f>ROUND(AVERAGE(J35:J$36)/100,4)</f>
        <v>2.1899999999999999E-2</v>
      </c>
      <c r="AF35" s="2400">
        <f t="shared" ref="AF35" si="210">AE35</f>
        <v>2.1899999999999999E-2</v>
      </c>
      <c r="AG35" s="2400">
        <f>ROUND(AVERAGE(K35:K$36)/100,4)</f>
        <v>2.9399999999999999E-2</v>
      </c>
      <c r="AH35" s="2400">
        <f>ROUND(AVERAGE(L35:L$36)/100,4)</f>
        <v>1.44E-2</v>
      </c>
    </row>
    <row r="36" spans="1:34" s="2449" customFormat="1" ht="13.5" thickBot="1">
      <c r="A36" s="2445" t="s">
        <v>144</v>
      </c>
      <c r="B36" s="2446">
        <f t="shared" si="207"/>
        <v>307.34512863658733</v>
      </c>
      <c r="C36" s="2446">
        <f t="shared" si="207"/>
        <v>257.80556031626975</v>
      </c>
      <c r="D36" s="2446">
        <f t="shared" si="202"/>
        <v>257.80556031626975</v>
      </c>
      <c r="E36" s="2446">
        <f t="shared" si="208"/>
        <v>422.70928459677179</v>
      </c>
      <c r="F36" s="2446">
        <f t="shared" si="208"/>
        <v>229.73803270336617</v>
      </c>
      <c r="G36" s="3526"/>
      <c r="H36" s="2447">
        <v>1</v>
      </c>
      <c r="I36" s="2447">
        <v>2.97</v>
      </c>
      <c r="J36" s="2447">
        <v>2.34</v>
      </c>
      <c r="K36" s="2447">
        <v>3.28</v>
      </c>
      <c r="L36" s="2448">
        <v>1.36</v>
      </c>
      <c r="N36" s="2450">
        <f t="shared" si="204"/>
        <v>2.9700000000000001E-2</v>
      </c>
      <c r="O36" s="2451">
        <f t="shared" si="199"/>
        <v>2.3399999999999997E-2</v>
      </c>
      <c r="P36" s="2451">
        <f t="shared" si="199"/>
        <v>3.2799999999999996E-2</v>
      </c>
      <c r="Q36" s="2451">
        <f t="shared" si="199"/>
        <v>1.3600000000000001E-2</v>
      </c>
      <c r="R36" s="2452"/>
      <c r="S36" s="2453">
        <f>B36/B37-1</f>
        <v>2.7910129219355539E-2</v>
      </c>
      <c r="T36" s="2454">
        <f>C36/C37-1</f>
        <v>2.3037937762975247E-2</v>
      </c>
      <c r="U36" s="2454">
        <f>E36/E37-1</f>
        <v>3.3519033243940788E-2</v>
      </c>
      <c r="V36" s="2454">
        <f>F36/F37-1</f>
        <v>1.2061818076502862E-2</v>
      </c>
      <c r="W36" s="2455" t="s">
        <v>1129</v>
      </c>
      <c r="X36" s="2456">
        <v>1</v>
      </c>
      <c r="Y36" s="2456">
        <v>1</v>
      </c>
      <c r="Z36" s="2456">
        <v>1</v>
      </c>
      <c r="AA36" s="2456">
        <v>1</v>
      </c>
      <c r="AB36" s="2456">
        <v>1</v>
      </c>
      <c r="AD36" s="2451">
        <f>I36/100</f>
        <v>2.9700000000000001E-2</v>
      </c>
      <c r="AE36" s="2451">
        <f>J36/100</f>
        <v>2.3399999999999997E-2</v>
      </c>
      <c r="AF36" s="2451">
        <f>AE36</f>
        <v>2.3399999999999997E-2</v>
      </c>
      <c r="AG36" s="2451">
        <f>K36/100</f>
        <v>3.2799999999999996E-2</v>
      </c>
      <c r="AH36" s="2451">
        <f>L36/100</f>
        <v>1.3600000000000001E-2</v>
      </c>
    </row>
    <row r="37" spans="1:34" ht="13.5" thickBot="1">
      <c r="A37" s="2412" t="s">
        <v>1130</v>
      </c>
      <c r="B37" s="2427">
        <v>299</v>
      </c>
      <c r="C37" s="2427">
        <v>252</v>
      </c>
      <c r="D37" s="2427">
        <f t="shared" si="202"/>
        <v>252</v>
      </c>
      <c r="E37" s="2427">
        <v>409</v>
      </c>
      <c r="F37" s="2428">
        <v>227</v>
      </c>
      <c r="G37" s="3529">
        <v>2013</v>
      </c>
      <c r="H37" s="2457">
        <v>4</v>
      </c>
      <c r="I37" s="2457">
        <v>1.83</v>
      </c>
      <c r="J37" s="2457">
        <v>1.68</v>
      </c>
      <c r="K37" s="2457">
        <v>1.97</v>
      </c>
      <c r="L37" s="2458">
        <v>0.87</v>
      </c>
      <c r="N37" s="2435">
        <f t="shared" si="204"/>
        <v>1.83E-2</v>
      </c>
      <c r="O37" s="2436">
        <f t="shared" si="199"/>
        <v>1.6799999999999999E-2</v>
      </c>
      <c r="P37" s="2436">
        <f t="shared" si="199"/>
        <v>1.9699999999999999E-2</v>
      </c>
      <c r="Q37" s="2436">
        <f t="shared" si="199"/>
        <v>8.6999999999999994E-3</v>
      </c>
      <c r="R37" s="2416"/>
      <c r="S37" s="2429"/>
      <c r="T37" s="2430"/>
      <c r="U37" s="2430"/>
      <c r="V37" s="2430"/>
      <c r="X37" s="2430"/>
      <c r="Y37" s="2430"/>
      <c r="Z37" s="2430"/>
    </row>
    <row r="38" spans="1:34">
      <c r="A38" s="2412" t="s">
        <v>1131</v>
      </c>
      <c r="B38" s="2413">
        <f t="shared" ref="B38:C40" si="211">B37/(1+N37)</f>
        <v>293.62663262299913</v>
      </c>
      <c r="C38" s="2413">
        <f t="shared" si="211"/>
        <v>247.83634933123525</v>
      </c>
      <c r="D38" s="2413">
        <f t="shared" si="202"/>
        <v>247.83634933123525</v>
      </c>
      <c r="E38" s="2413">
        <f t="shared" ref="E38:F40" si="212">E37/(1+P37)</f>
        <v>401.09836226341076</v>
      </c>
      <c r="F38" s="2413">
        <f t="shared" si="212"/>
        <v>225.04213343908003</v>
      </c>
      <c r="G38" s="3530"/>
      <c r="H38" s="2438">
        <v>3</v>
      </c>
      <c r="I38" s="2438">
        <v>1.86</v>
      </c>
      <c r="J38" s="2438">
        <v>1.72</v>
      </c>
      <c r="K38" s="2438">
        <v>1.98</v>
      </c>
      <c r="L38" s="2439">
        <v>0.88</v>
      </c>
      <c r="N38" s="2415">
        <f t="shared" si="204"/>
        <v>1.8600000000000002E-2</v>
      </c>
      <c r="O38" s="2440">
        <f t="shared" si="199"/>
        <v>1.72E-2</v>
      </c>
      <c r="P38" s="2440">
        <f t="shared" si="199"/>
        <v>1.9799999999999998E-2</v>
      </c>
      <c r="Q38" s="2440">
        <f t="shared" si="199"/>
        <v>8.8000000000000005E-3</v>
      </c>
      <c r="R38" s="2416"/>
      <c r="S38" s="2415"/>
      <c r="T38" s="2400"/>
      <c r="U38" s="2400"/>
      <c r="V38" s="2400"/>
    </row>
    <row r="39" spans="1:34">
      <c r="A39" s="2412" t="s">
        <v>1132</v>
      </c>
      <c r="B39" s="2413">
        <f t="shared" si="211"/>
        <v>288.2649053828776</v>
      </c>
      <c r="C39" s="2413">
        <f t="shared" si="211"/>
        <v>243.64564425013293</v>
      </c>
      <c r="D39" s="2413">
        <f t="shared" si="202"/>
        <v>243.64564425013293</v>
      </c>
      <c r="E39" s="2413">
        <f t="shared" si="212"/>
        <v>393.31080825986544</v>
      </c>
      <c r="F39" s="2413">
        <f t="shared" si="212"/>
        <v>223.07903790551154</v>
      </c>
      <c r="G39" s="3530"/>
      <c r="H39" s="2425">
        <v>2</v>
      </c>
      <c r="I39" s="2425">
        <v>2.04</v>
      </c>
      <c r="J39" s="2425">
        <v>2.33</v>
      </c>
      <c r="K39" s="2425">
        <v>2.0699999999999998</v>
      </c>
      <c r="L39" s="2426">
        <v>0.69</v>
      </c>
      <c r="N39" s="2415">
        <f t="shared" si="204"/>
        <v>2.0400000000000001E-2</v>
      </c>
      <c r="O39" s="2440">
        <f t="shared" si="199"/>
        <v>2.3300000000000001E-2</v>
      </c>
      <c r="P39" s="2440">
        <f t="shared" si="199"/>
        <v>2.07E-2</v>
      </c>
      <c r="Q39" s="2440">
        <f t="shared" si="199"/>
        <v>6.8999999999999999E-3</v>
      </c>
      <c r="R39" s="2416"/>
      <c r="S39" s="2415"/>
      <c r="T39" s="2400"/>
      <c r="U39" s="2400"/>
      <c r="V39" s="2400"/>
      <c r="X39" s="2459"/>
      <c r="Y39" s="2460"/>
    </row>
    <row r="40" spans="1:34">
      <c r="A40" s="2412" t="s">
        <v>1133</v>
      </c>
      <c r="B40" s="2413">
        <f t="shared" si="211"/>
        <v>282.50186729015837</v>
      </c>
      <c r="C40" s="2413">
        <f t="shared" si="211"/>
        <v>238.09796174155468</v>
      </c>
      <c r="D40" s="2413">
        <f t="shared" si="202"/>
        <v>238.09796174155468</v>
      </c>
      <c r="E40" s="2413">
        <f t="shared" si="212"/>
        <v>385.33438646014054</v>
      </c>
      <c r="F40" s="2413">
        <f t="shared" si="212"/>
        <v>221.55034055567739</v>
      </c>
      <c r="G40" s="3531"/>
      <c r="H40" s="2414">
        <v>1</v>
      </c>
      <c r="I40" s="2414">
        <v>1.67</v>
      </c>
      <c r="J40" s="2414">
        <v>1.31</v>
      </c>
      <c r="K40" s="2414">
        <v>1.85</v>
      </c>
      <c r="L40" s="2420">
        <v>0.96</v>
      </c>
      <c r="N40" s="2431">
        <f t="shared" si="204"/>
        <v>1.67E-2</v>
      </c>
      <c r="O40" s="2432">
        <f t="shared" si="204"/>
        <v>1.3100000000000001E-2</v>
      </c>
      <c r="P40" s="2432">
        <f t="shared" si="204"/>
        <v>1.8500000000000003E-2</v>
      </c>
      <c r="Q40" s="2432">
        <f t="shared" si="204"/>
        <v>9.5999999999999992E-3</v>
      </c>
      <c r="R40" s="2416"/>
      <c r="S40" s="2431">
        <f>B40/B41-1</f>
        <v>1.6193767230785472E-2</v>
      </c>
      <c r="T40" s="2432">
        <f>C40/C41-1</f>
        <v>1.7512657015190891E-2</v>
      </c>
      <c r="U40" s="2432">
        <f>E40/E41-1</f>
        <v>1.6713420739157048E-2</v>
      </c>
      <c r="V40" s="2432">
        <f>F40/F41-1</f>
        <v>7.0470025258062563E-3</v>
      </c>
      <c r="X40" s="2461"/>
      <c r="Y40" s="2400"/>
      <c r="Z40" s="2400"/>
    </row>
    <row r="41" spans="1:34" ht="13.5" thickBot="1">
      <c r="A41" s="2412" t="s">
        <v>1134</v>
      </c>
      <c r="B41" s="2462">
        <v>278</v>
      </c>
      <c r="C41" s="2462">
        <v>234</v>
      </c>
      <c r="D41" s="2462">
        <f t="shared" si="202"/>
        <v>234</v>
      </c>
      <c r="E41" s="2462">
        <v>379</v>
      </c>
      <c r="F41" s="2463">
        <v>220</v>
      </c>
      <c r="G41" s="3524">
        <v>2012</v>
      </c>
      <c r="H41" s="2433">
        <v>4</v>
      </c>
      <c r="I41" s="2433">
        <v>0.91</v>
      </c>
      <c r="J41" s="2433">
        <v>0.68</v>
      </c>
      <c r="K41" s="2433">
        <v>0.98</v>
      </c>
      <c r="L41" s="2434">
        <v>0.9</v>
      </c>
      <c r="N41" s="2415">
        <f t="shared" si="204"/>
        <v>9.1000000000000004E-3</v>
      </c>
      <c r="O41" s="2400">
        <f t="shared" si="204"/>
        <v>6.8000000000000005E-3</v>
      </c>
      <c r="P41" s="2400">
        <f t="shared" si="204"/>
        <v>9.7999999999999997E-3</v>
      </c>
      <c r="Q41" s="2400">
        <f t="shared" si="204"/>
        <v>9.0000000000000011E-3</v>
      </c>
      <c r="R41" s="2416"/>
      <c r="S41" s="2429"/>
      <c r="T41" s="2430"/>
      <c r="U41" s="2430"/>
      <c r="V41" s="2430"/>
      <c r="X41" s="2430"/>
      <c r="Y41" s="2430"/>
      <c r="Z41" s="2430"/>
    </row>
    <row r="42" spans="1:34">
      <c r="A42" s="2412" t="s">
        <v>1135</v>
      </c>
      <c r="B42" s="2413">
        <f>B41/(1+N41)</f>
        <v>275.49301357645425</v>
      </c>
      <c r="C42" s="2413">
        <f>C41/(1+O41)</f>
        <v>232.41954707985698</v>
      </c>
      <c r="D42" s="2413">
        <f t="shared" si="202"/>
        <v>232.41954707985698</v>
      </c>
      <c r="E42" s="2413">
        <f t="shared" ref="E42:F44" si="213">E41/(1+P41)</f>
        <v>375.32184591008121</v>
      </c>
      <c r="F42" s="2413">
        <f t="shared" si="213"/>
        <v>218.03766105054513</v>
      </c>
      <c r="G42" s="3525"/>
      <c r="H42" s="2438">
        <v>3</v>
      </c>
      <c r="I42" s="2438">
        <v>0.09</v>
      </c>
      <c r="J42" s="2438">
        <v>0.28999999999999998</v>
      </c>
      <c r="K42" s="2438">
        <v>-0.01</v>
      </c>
      <c r="L42" s="2439">
        <v>0.57999999999999996</v>
      </c>
      <c r="N42" s="2415">
        <f t="shared" si="204"/>
        <v>8.9999999999999998E-4</v>
      </c>
      <c r="O42" s="2400">
        <f t="shared" si="204"/>
        <v>2.8999999999999998E-3</v>
      </c>
      <c r="P42" s="2400">
        <f t="shared" si="204"/>
        <v>-1E-4</v>
      </c>
      <c r="Q42" s="2400">
        <f t="shared" si="204"/>
        <v>5.7999999999999996E-3</v>
      </c>
      <c r="R42" s="2416"/>
      <c r="S42" s="2415"/>
      <c r="T42" s="2400"/>
      <c r="U42" s="2400"/>
      <c r="V42" s="2400"/>
    </row>
    <row r="43" spans="1:34">
      <c r="A43" s="2412" t="s">
        <v>1136</v>
      </c>
      <c r="B43" s="2413">
        <f>B42/(1+N42)</f>
        <v>275.24529281292263</v>
      </c>
      <c r="C43" s="2413">
        <f>C42/(1+O42)</f>
        <v>231.74747938962707</v>
      </c>
      <c r="D43" s="2413">
        <f t="shared" si="202"/>
        <v>231.74747938962707</v>
      </c>
      <c r="E43" s="2413">
        <f t="shared" si="213"/>
        <v>375.35938184826603</v>
      </c>
      <c r="F43" s="2413">
        <f t="shared" si="213"/>
        <v>216.78033510692495</v>
      </c>
      <c r="G43" s="3525"/>
      <c r="H43" s="2425">
        <v>2</v>
      </c>
      <c r="I43" s="2425">
        <v>0.02</v>
      </c>
      <c r="J43" s="2425">
        <v>0.12</v>
      </c>
      <c r="K43" s="2425">
        <v>-0.08</v>
      </c>
      <c r="L43" s="2426">
        <v>1.24</v>
      </c>
      <c r="N43" s="2415">
        <f t="shared" si="204"/>
        <v>2.0000000000000001E-4</v>
      </c>
      <c r="O43" s="2400">
        <f t="shared" si="204"/>
        <v>1.1999999999999999E-3</v>
      </c>
      <c r="P43" s="2400">
        <f t="shared" si="204"/>
        <v>-8.0000000000000004E-4</v>
      </c>
      <c r="Q43" s="2400">
        <f t="shared" si="204"/>
        <v>1.24E-2</v>
      </c>
      <c r="R43" s="2416"/>
      <c r="S43" s="2415"/>
      <c r="T43" s="2400"/>
      <c r="U43" s="2400"/>
      <c r="V43" s="2400"/>
    </row>
    <row r="44" spans="1:34" ht="13.5" thickBot="1">
      <c r="A44" s="2412" t="s">
        <v>1137</v>
      </c>
      <c r="B44" s="2413">
        <f>B43/(1+N43)</f>
        <v>275.19025476197027</v>
      </c>
      <c r="C44" s="2464">
        <v>232</v>
      </c>
      <c r="D44" s="2464">
        <f t="shared" si="202"/>
        <v>232</v>
      </c>
      <c r="E44" s="2413">
        <f t="shared" si="213"/>
        <v>375.65990977608692</v>
      </c>
      <c r="F44" s="2413">
        <f t="shared" si="213"/>
        <v>214.12518283971252</v>
      </c>
      <c r="G44" s="3526"/>
      <c r="H44" s="2414">
        <v>1</v>
      </c>
      <c r="I44" s="2414">
        <v>0.02</v>
      </c>
      <c r="J44" s="2414">
        <v>0.13</v>
      </c>
      <c r="K44" s="2414">
        <v>-0.04</v>
      </c>
      <c r="L44" s="2420">
        <v>0.46</v>
      </c>
      <c r="N44" s="2415">
        <f t="shared" si="204"/>
        <v>2.0000000000000001E-4</v>
      </c>
      <c r="O44" s="2400">
        <f t="shared" si="204"/>
        <v>1.2999999999999999E-3</v>
      </c>
      <c r="P44" s="2400">
        <f t="shared" si="204"/>
        <v>-4.0000000000000002E-4</v>
      </c>
      <c r="Q44" s="2400">
        <f t="shared" si="204"/>
        <v>4.5999999999999999E-3</v>
      </c>
      <c r="R44" s="2416"/>
      <c r="S44" s="2431">
        <f>B44/B45-1</f>
        <v>6.9183549807361189E-4</v>
      </c>
      <c r="T44" s="2432">
        <f>C44/C45-1</f>
        <v>0</v>
      </c>
      <c r="U44" s="2432">
        <f>E44/E45-1</f>
        <v>-9.0449527636460303E-4</v>
      </c>
      <c r="V44" s="2432">
        <f>F44/F45-1</f>
        <v>5.2825485432512753E-3</v>
      </c>
      <c r="X44" s="2400"/>
      <c r="Y44" s="2400"/>
      <c r="Z44" s="2400"/>
    </row>
    <row r="45" spans="1:34" ht="13.5" thickBot="1">
      <c r="A45" s="2412" t="s">
        <v>1138</v>
      </c>
      <c r="B45" s="2427">
        <v>275</v>
      </c>
      <c r="C45" s="2427">
        <v>232</v>
      </c>
      <c r="D45" s="2427">
        <f t="shared" si="202"/>
        <v>232</v>
      </c>
      <c r="E45" s="2427">
        <v>376</v>
      </c>
      <c r="F45" s="2428">
        <v>213</v>
      </c>
      <c r="G45" s="3524">
        <v>2011</v>
      </c>
      <c r="H45" s="2433">
        <v>4</v>
      </c>
      <c r="I45" s="2433">
        <v>-0.2</v>
      </c>
      <c r="J45" s="2433">
        <v>0.04</v>
      </c>
      <c r="K45" s="2433">
        <v>-0.34</v>
      </c>
      <c r="L45" s="2434">
        <v>0.46</v>
      </c>
      <c r="N45" s="2435">
        <f t="shared" si="204"/>
        <v>-2E-3</v>
      </c>
      <c r="O45" s="2436">
        <f t="shared" si="204"/>
        <v>4.0000000000000002E-4</v>
      </c>
      <c r="P45" s="2436">
        <f t="shared" si="204"/>
        <v>-3.4000000000000002E-3</v>
      </c>
      <c r="Q45" s="2436">
        <f t="shared" si="204"/>
        <v>4.5999999999999999E-3</v>
      </c>
      <c r="R45" s="2416"/>
      <c r="S45" s="2429"/>
      <c r="T45" s="2430"/>
      <c r="U45" s="2430"/>
      <c r="V45" s="2430"/>
      <c r="X45" s="2430"/>
      <c r="Y45" s="2430"/>
      <c r="Z45" s="2430"/>
    </row>
    <row r="46" spans="1:34">
      <c r="A46" s="2412" t="s">
        <v>1139</v>
      </c>
      <c r="B46" s="2413">
        <f t="shared" ref="B46:C48" si="214">B45/(1+N45)</f>
        <v>275.55110220440883</v>
      </c>
      <c r="C46" s="2413">
        <f t="shared" si="214"/>
        <v>231.90723710515795</v>
      </c>
      <c r="D46" s="2413">
        <f t="shared" si="202"/>
        <v>231.90723710515795</v>
      </c>
      <c r="E46" s="2413">
        <f t="shared" ref="E46:F48" si="215">E45/(1+P45)</f>
        <v>377.28276138872161</v>
      </c>
      <c r="F46" s="2413">
        <f t="shared" si="215"/>
        <v>212.02468644236512</v>
      </c>
      <c r="G46" s="3525">
        <v>2011</v>
      </c>
      <c r="H46" s="2438">
        <v>3</v>
      </c>
      <c r="I46" s="2438">
        <v>0.13</v>
      </c>
      <c r="J46" s="2438">
        <v>0.75</v>
      </c>
      <c r="K46" s="2438">
        <v>-0.08</v>
      </c>
      <c r="L46" s="2439">
        <v>0.53</v>
      </c>
      <c r="N46" s="2415">
        <f t="shared" si="204"/>
        <v>1.2999999999999999E-3</v>
      </c>
      <c r="O46" s="2440">
        <f t="shared" si="204"/>
        <v>7.4999999999999997E-3</v>
      </c>
      <c r="P46" s="2440">
        <f t="shared" si="204"/>
        <v>-8.0000000000000004E-4</v>
      </c>
      <c r="Q46" s="2440">
        <f t="shared" si="204"/>
        <v>5.3E-3</v>
      </c>
      <c r="R46" s="2416"/>
      <c r="S46" s="2415"/>
      <c r="T46" s="2400"/>
      <c r="U46" s="2400"/>
      <c r="V46" s="2400"/>
    </row>
    <row r="47" spans="1:34">
      <c r="A47" s="2412" t="s">
        <v>1140</v>
      </c>
      <c r="B47" s="2413">
        <f t="shared" si="214"/>
        <v>275.19335084830601</v>
      </c>
      <c r="C47" s="2413">
        <f t="shared" si="214"/>
        <v>230.18088050139744</v>
      </c>
      <c r="D47" s="2413">
        <f t="shared" si="202"/>
        <v>230.18088050139744</v>
      </c>
      <c r="E47" s="2413">
        <f t="shared" si="215"/>
        <v>377.58482925212331</v>
      </c>
      <c r="F47" s="2413">
        <f t="shared" si="215"/>
        <v>210.90687997847917</v>
      </c>
      <c r="G47" s="3525">
        <v>2011</v>
      </c>
      <c r="H47" s="2425">
        <v>2</v>
      </c>
      <c r="I47" s="2425">
        <v>-0.4</v>
      </c>
      <c r="J47" s="2425">
        <v>0.17</v>
      </c>
      <c r="K47" s="2425">
        <v>-0.57999999999999996</v>
      </c>
      <c r="L47" s="2426">
        <v>-0.2</v>
      </c>
      <c r="N47" s="2415">
        <f t="shared" si="204"/>
        <v>-4.0000000000000001E-3</v>
      </c>
      <c r="O47" s="2440">
        <f t="shared" si="204"/>
        <v>1.7000000000000001E-3</v>
      </c>
      <c r="P47" s="2440">
        <f t="shared" si="204"/>
        <v>-5.7999999999999996E-3</v>
      </c>
      <c r="Q47" s="2440">
        <f t="shared" si="204"/>
        <v>-2E-3</v>
      </c>
      <c r="R47" s="2416"/>
      <c r="S47" s="2415"/>
      <c r="T47" s="2400"/>
      <c r="U47" s="2400"/>
      <c r="V47" s="2400"/>
    </row>
    <row r="48" spans="1:34" ht="13.5" thickBot="1">
      <c r="A48" s="2412" t="s">
        <v>1141</v>
      </c>
      <c r="B48" s="2413">
        <f t="shared" si="214"/>
        <v>276.29854502841971</v>
      </c>
      <c r="C48" s="2413">
        <f t="shared" si="214"/>
        <v>229.79023709833027</v>
      </c>
      <c r="D48" s="2413">
        <f t="shared" si="202"/>
        <v>229.79023709833027</v>
      </c>
      <c r="E48" s="2413">
        <f t="shared" si="215"/>
        <v>379.78759731655936</v>
      </c>
      <c r="F48" s="2413">
        <f t="shared" si="215"/>
        <v>211.32953905659235</v>
      </c>
      <c r="G48" s="3526">
        <v>2011</v>
      </c>
      <c r="H48" s="2414">
        <v>1</v>
      </c>
      <c r="I48" s="2414">
        <v>2.65</v>
      </c>
      <c r="J48" s="2414">
        <v>3.76</v>
      </c>
      <c r="K48" s="2414">
        <v>1.89</v>
      </c>
      <c r="L48" s="2420">
        <v>7.95</v>
      </c>
      <c r="N48" s="2431">
        <f t="shared" si="204"/>
        <v>2.6499999999999999E-2</v>
      </c>
      <c r="O48" s="2432">
        <f t="shared" si="204"/>
        <v>3.7599999999999995E-2</v>
      </c>
      <c r="P48" s="2432">
        <f t="shared" si="204"/>
        <v>1.89E-2</v>
      </c>
      <c r="Q48" s="2432">
        <f t="shared" si="204"/>
        <v>7.9500000000000001E-2</v>
      </c>
      <c r="R48" s="2416"/>
      <c r="S48" s="2431">
        <f>B48/B49-1</f>
        <v>2.713213765211786E-2</v>
      </c>
      <c r="T48" s="2432">
        <f>C48/C49-1</f>
        <v>3.9774828499231862E-2</v>
      </c>
      <c r="U48" s="2432">
        <f>E48/E49-1</f>
        <v>1.8197311840641772E-2</v>
      </c>
      <c r="V48" s="2432">
        <f>F48/F49-1</f>
        <v>7.8211933962205826E-2</v>
      </c>
      <c r="X48" s="2400"/>
      <c r="Y48" s="2400"/>
      <c r="Z48" s="2400"/>
    </row>
    <row r="49" spans="1:26" ht="13.5" thickBot="1">
      <c r="A49" s="2412" t="s">
        <v>1142</v>
      </c>
      <c r="B49" s="2427">
        <v>269</v>
      </c>
      <c r="C49" s="2427">
        <v>221</v>
      </c>
      <c r="D49" s="2427">
        <f t="shared" si="202"/>
        <v>221</v>
      </c>
      <c r="E49" s="2427">
        <v>373</v>
      </c>
      <c r="F49" s="2428">
        <v>196</v>
      </c>
      <c r="G49" s="3524">
        <v>2010</v>
      </c>
      <c r="H49" s="2433">
        <v>4</v>
      </c>
      <c r="I49" s="2433">
        <v>5.72</v>
      </c>
      <c r="J49" s="2433">
        <v>6.57</v>
      </c>
      <c r="K49" s="2433">
        <v>5.72</v>
      </c>
      <c r="L49" s="2434">
        <v>2.72</v>
      </c>
      <c r="N49" s="2415">
        <f t="shared" si="204"/>
        <v>5.7200000000000001E-2</v>
      </c>
      <c r="O49" s="2400">
        <f t="shared" si="204"/>
        <v>6.5700000000000008E-2</v>
      </c>
      <c r="P49" s="2400">
        <f t="shared" si="204"/>
        <v>5.7200000000000001E-2</v>
      </c>
      <c r="Q49" s="2400">
        <f t="shared" si="204"/>
        <v>2.7200000000000002E-2</v>
      </c>
      <c r="R49" s="2416"/>
      <c r="S49" s="2429"/>
      <c r="T49" s="2430"/>
      <c r="U49" s="2430"/>
      <c r="V49" s="2430"/>
      <c r="X49" s="2430"/>
      <c r="Y49" s="2430"/>
      <c r="Z49" s="2430"/>
    </row>
    <row r="50" spans="1:26">
      <c r="A50" s="2412" t="s">
        <v>1143</v>
      </c>
      <c r="B50" s="2413">
        <f t="shared" ref="B50:C52" si="216">B49/(1+N49)</f>
        <v>254.44570563753314</v>
      </c>
      <c r="C50" s="2413">
        <f t="shared" si="216"/>
        <v>207.37543398705074</v>
      </c>
      <c r="D50" s="2413">
        <f t="shared" si="202"/>
        <v>207.37543398705074</v>
      </c>
      <c r="E50" s="2413">
        <f t="shared" ref="E50:F52" si="217">E49/(1+P49)</f>
        <v>352.81876655315932</v>
      </c>
      <c r="F50" s="2413">
        <f t="shared" si="217"/>
        <v>190.809968847352</v>
      </c>
      <c r="G50" s="3525">
        <v>2010</v>
      </c>
      <c r="H50" s="2438">
        <v>3</v>
      </c>
      <c r="I50" s="2438">
        <v>4.7300000000000004</v>
      </c>
      <c r="J50" s="2438">
        <v>3.9</v>
      </c>
      <c r="K50" s="2438">
        <v>5.03</v>
      </c>
      <c r="L50" s="2439">
        <v>4.21</v>
      </c>
      <c r="N50" s="2415">
        <f t="shared" si="204"/>
        <v>4.7300000000000002E-2</v>
      </c>
      <c r="O50" s="2400">
        <f t="shared" si="204"/>
        <v>3.9E-2</v>
      </c>
      <c r="P50" s="2400">
        <f t="shared" si="204"/>
        <v>5.0300000000000004E-2</v>
      </c>
      <c r="Q50" s="2400">
        <f t="shared" si="204"/>
        <v>4.2099999999999999E-2</v>
      </c>
      <c r="R50" s="2416"/>
      <c r="S50" s="2415"/>
      <c r="T50" s="2400"/>
      <c r="U50" s="2400"/>
      <c r="V50" s="2400"/>
    </row>
    <row r="51" spans="1:26">
      <c r="A51" s="2412" t="s">
        <v>1144</v>
      </c>
      <c r="B51" s="2413">
        <f t="shared" si="216"/>
        <v>242.95398227588385</v>
      </c>
      <c r="C51" s="2413">
        <f t="shared" si="216"/>
        <v>199.59137053614126</v>
      </c>
      <c r="D51" s="2413">
        <f t="shared" si="202"/>
        <v>199.59137053614126</v>
      </c>
      <c r="E51" s="2413">
        <f t="shared" si="217"/>
        <v>335.92189522342125</v>
      </c>
      <c r="F51" s="2413">
        <f t="shared" si="217"/>
        <v>183.10139991109489</v>
      </c>
      <c r="G51" s="3525">
        <v>2010</v>
      </c>
      <c r="H51" s="2425">
        <v>2</v>
      </c>
      <c r="I51" s="2425">
        <v>4.6900000000000004</v>
      </c>
      <c r="J51" s="2425">
        <v>3.55</v>
      </c>
      <c r="K51" s="2425">
        <v>5.07</v>
      </c>
      <c r="L51" s="2426">
        <v>4.2300000000000004</v>
      </c>
      <c r="N51" s="2415">
        <f t="shared" si="204"/>
        <v>4.6900000000000004E-2</v>
      </c>
      <c r="O51" s="2400">
        <f t="shared" si="204"/>
        <v>3.5499999999999997E-2</v>
      </c>
      <c r="P51" s="2400">
        <f t="shared" si="204"/>
        <v>5.0700000000000002E-2</v>
      </c>
      <c r="Q51" s="2400">
        <f t="shared" si="204"/>
        <v>4.2300000000000004E-2</v>
      </c>
      <c r="R51" s="2416"/>
      <c r="S51" s="2415"/>
      <c r="T51" s="2400"/>
      <c r="U51" s="2400"/>
      <c r="V51" s="2400"/>
    </row>
    <row r="52" spans="1:26" ht="13.5" thickBot="1">
      <c r="A52" s="2412" t="s">
        <v>1145</v>
      </c>
      <c r="B52" s="2413">
        <f t="shared" si="216"/>
        <v>232.06990378821649</v>
      </c>
      <c r="C52" s="2413">
        <f t="shared" si="216"/>
        <v>192.74878854286936</v>
      </c>
      <c r="D52" s="2413">
        <f t="shared" si="202"/>
        <v>192.74878854286936</v>
      </c>
      <c r="E52" s="2413">
        <f t="shared" si="217"/>
        <v>319.71247284992984</v>
      </c>
      <c r="F52" s="2413">
        <f t="shared" si="217"/>
        <v>175.67053622862409</v>
      </c>
      <c r="G52" s="3526">
        <v>2010</v>
      </c>
      <c r="H52" s="2414">
        <v>1</v>
      </c>
      <c r="I52" s="2414">
        <v>5.4</v>
      </c>
      <c r="J52" s="2414">
        <v>3.2</v>
      </c>
      <c r="K52" s="2414">
        <v>6.16</v>
      </c>
      <c r="L52" s="2420">
        <v>4.51</v>
      </c>
      <c r="N52" s="2415">
        <f t="shared" si="204"/>
        <v>5.4000000000000006E-2</v>
      </c>
      <c r="O52" s="2400">
        <f t="shared" si="204"/>
        <v>3.2000000000000001E-2</v>
      </c>
      <c r="P52" s="2400">
        <f t="shared" si="204"/>
        <v>6.1600000000000002E-2</v>
      </c>
      <c r="Q52" s="2400">
        <f t="shared" si="204"/>
        <v>4.5100000000000001E-2</v>
      </c>
      <c r="R52" s="2416"/>
      <c r="S52" s="2431">
        <f>B52/B53-1</f>
        <v>5.4863199037347599E-2</v>
      </c>
      <c r="T52" s="2432">
        <f>C52/C53-1</f>
        <v>3.0742184721226584E-2</v>
      </c>
      <c r="U52" s="2432">
        <f>E52/E53-1</f>
        <v>6.2167683886810154E-2</v>
      </c>
      <c r="V52" s="2432">
        <f>F52/F53-1</f>
        <v>4.5657953741810031E-2</v>
      </c>
      <c r="X52" s="2400"/>
      <c r="Y52" s="2400"/>
      <c r="Z52" s="2400"/>
    </row>
    <row r="53" spans="1:26" ht="13.5" thickBot="1">
      <c r="A53" s="2412" t="s">
        <v>1146</v>
      </c>
      <c r="B53" s="2427">
        <v>220</v>
      </c>
      <c r="C53" s="2427">
        <v>187</v>
      </c>
      <c r="D53" s="2427">
        <f t="shared" si="202"/>
        <v>187</v>
      </c>
      <c r="E53" s="2427">
        <v>301</v>
      </c>
      <c r="F53" s="2428">
        <v>168</v>
      </c>
      <c r="G53" s="3524">
        <v>2009</v>
      </c>
      <c r="H53" s="2433">
        <v>4</v>
      </c>
      <c r="I53" s="2433">
        <v>2.2999999999999998</v>
      </c>
      <c r="J53" s="2433">
        <v>1.04</v>
      </c>
      <c r="K53" s="2433">
        <v>2.84</v>
      </c>
      <c r="L53" s="2434">
        <v>0.67</v>
      </c>
      <c r="N53" s="2435">
        <f t="shared" si="204"/>
        <v>2.3E-2</v>
      </c>
      <c r="O53" s="2436">
        <f t="shared" si="204"/>
        <v>1.04E-2</v>
      </c>
      <c r="P53" s="2436">
        <f t="shared" si="204"/>
        <v>2.8399999999999998E-2</v>
      </c>
      <c r="Q53" s="2436">
        <f t="shared" si="204"/>
        <v>6.7000000000000002E-3</v>
      </c>
      <c r="R53" s="2416"/>
      <c r="S53" s="2429"/>
      <c r="T53" s="2430"/>
      <c r="U53" s="2430"/>
      <c r="V53" s="2430"/>
      <c r="X53" s="2430"/>
      <c r="Y53" s="2430"/>
      <c r="Z53" s="2430"/>
    </row>
    <row r="54" spans="1:26">
      <c r="A54" s="2412" t="s">
        <v>1147</v>
      </c>
      <c r="B54" s="2413">
        <f t="shared" ref="B54:C56" si="218">B53/(1+N53)</f>
        <v>215.05376344086022</v>
      </c>
      <c r="C54" s="2413">
        <f t="shared" si="218"/>
        <v>185.0752177355503</v>
      </c>
      <c r="D54" s="2413">
        <f t="shared" si="202"/>
        <v>185.0752177355503</v>
      </c>
      <c r="E54" s="2413">
        <f t="shared" ref="E54:F56" si="219">E53/(1+P53)</f>
        <v>292.68767016725008</v>
      </c>
      <c r="F54" s="2413">
        <f t="shared" si="219"/>
        <v>166.88189132810174</v>
      </c>
      <c r="G54" s="3525">
        <v>2009</v>
      </c>
      <c r="H54" s="2438">
        <v>3</v>
      </c>
      <c r="I54" s="2438">
        <v>2.1</v>
      </c>
      <c r="J54" s="2438">
        <v>1.86</v>
      </c>
      <c r="K54" s="2438">
        <v>2.29</v>
      </c>
      <c r="L54" s="2439">
        <v>0.85</v>
      </c>
      <c r="N54" s="2415">
        <f t="shared" si="204"/>
        <v>2.1000000000000001E-2</v>
      </c>
      <c r="O54" s="2440">
        <f t="shared" si="204"/>
        <v>1.8600000000000002E-2</v>
      </c>
      <c r="P54" s="2440">
        <f t="shared" si="204"/>
        <v>2.29E-2</v>
      </c>
      <c r="Q54" s="2440">
        <f t="shared" si="204"/>
        <v>8.5000000000000006E-3</v>
      </c>
      <c r="R54" s="2416"/>
      <c r="S54" s="2415"/>
      <c r="T54" s="2400"/>
      <c r="U54" s="2400"/>
      <c r="V54" s="2400"/>
    </row>
    <row r="55" spans="1:26">
      <c r="A55" s="2412" t="s">
        <v>1148</v>
      </c>
      <c r="B55" s="2413">
        <f t="shared" si="218"/>
        <v>210.630522469011</v>
      </c>
      <c r="C55" s="2413">
        <f t="shared" si="218"/>
        <v>181.69567812247232</v>
      </c>
      <c r="D55" s="2413">
        <f t="shared" si="202"/>
        <v>181.69567812247232</v>
      </c>
      <c r="E55" s="2413">
        <f t="shared" si="219"/>
        <v>286.13517466736738</v>
      </c>
      <c r="F55" s="2413">
        <f t="shared" si="219"/>
        <v>165.47535084591149</v>
      </c>
      <c r="G55" s="3525">
        <v>2009</v>
      </c>
      <c r="H55" s="2425">
        <v>2</v>
      </c>
      <c r="I55" s="2425">
        <v>0.86</v>
      </c>
      <c r="J55" s="2425">
        <v>-1.1299999999999999</v>
      </c>
      <c r="K55" s="2425">
        <v>1.79</v>
      </c>
      <c r="L55" s="2426">
        <v>-2.0699999999999998</v>
      </c>
      <c r="N55" s="2415">
        <f t="shared" si="204"/>
        <v>8.6E-3</v>
      </c>
      <c r="O55" s="2440">
        <f t="shared" si="204"/>
        <v>-1.1299999999999999E-2</v>
      </c>
      <c r="P55" s="2440">
        <f t="shared" si="204"/>
        <v>1.7899999999999999E-2</v>
      </c>
      <c r="Q55" s="2440">
        <f t="shared" si="204"/>
        <v>-2.07E-2</v>
      </c>
      <c r="R55" s="2416"/>
      <c r="S55" s="2415"/>
      <c r="T55" s="2400"/>
      <c r="U55" s="2400"/>
      <c r="V55" s="2400"/>
    </row>
    <row r="56" spans="1:26">
      <c r="A56" s="2412" t="s">
        <v>1149</v>
      </c>
      <c r="B56" s="2413">
        <f t="shared" si="218"/>
        <v>208.83454537875372</v>
      </c>
      <c r="C56" s="2413">
        <f t="shared" si="218"/>
        <v>183.77230517090351</v>
      </c>
      <c r="D56" s="2413">
        <f t="shared" si="202"/>
        <v>183.77230517090351</v>
      </c>
      <c r="E56" s="2413">
        <f t="shared" si="219"/>
        <v>281.10342338870947</v>
      </c>
      <c r="F56" s="2413">
        <f t="shared" si="219"/>
        <v>168.97309388942256</v>
      </c>
      <c r="G56" s="3526">
        <v>2009</v>
      </c>
      <c r="H56" s="2414">
        <v>1</v>
      </c>
      <c r="I56" s="2414">
        <v>-2.64</v>
      </c>
      <c r="J56" s="2414">
        <v>-2.5299999999999998</v>
      </c>
      <c r="K56" s="2414">
        <v>-3.02</v>
      </c>
      <c r="L56" s="2420">
        <v>1.52</v>
      </c>
      <c r="N56" s="2431">
        <f t="shared" si="204"/>
        <v>-2.64E-2</v>
      </c>
      <c r="O56" s="2432">
        <f t="shared" si="204"/>
        <v>-2.53E-2</v>
      </c>
      <c r="P56" s="2432">
        <f t="shared" si="204"/>
        <v>-3.0200000000000001E-2</v>
      </c>
      <c r="Q56" s="2432">
        <f t="shared" si="204"/>
        <v>1.52E-2</v>
      </c>
      <c r="R56" s="2416"/>
      <c r="S56" s="2431">
        <f>B56/B57-1</f>
        <v>-2.4137638417038754E-2</v>
      </c>
      <c r="T56" s="2432">
        <f>C56/C57-1</f>
        <v>-2.248773845264096E-2</v>
      </c>
      <c r="U56" s="2432">
        <f>E56/E57-1</f>
        <v>-2.7323794502735366E-2</v>
      </c>
      <c r="V56" s="2432">
        <f>F56/F57-1</f>
        <v>1.7910204153148035E-2</v>
      </c>
      <c r="X56" s="2400"/>
      <c r="Y56" s="2400"/>
      <c r="Z56" s="2400"/>
    </row>
    <row r="57" spans="1:26" ht="13.5" thickBot="1">
      <c r="A57" s="2412" t="s">
        <v>1150</v>
      </c>
      <c r="B57" s="2462">
        <v>214</v>
      </c>
      <c r="C57" s="2462">
        <v>188</v>
      </c>
      <c r="D57" s="2462">
        <f t="shared" si="202"/>
        <v>188</v>
      </c>
      <c r="E57" s="2462">
        <v>289</v>
      </c>
      <c r="F57" s="2463">
        <v>166</v>
      </c>
      <c r="G57" s="3524">
        <v>2008</v>
      </c>
      <c r="H57" s="2433">
        <v>4</v>
      </c>
      <c r="I57" s="2433">
        <v>1.73</v>
      </c>
      <c r="J57" s="2433">
        <v>0.03</v>
      </c>
      <c r="K57" s="2433">
        <v>2.59</v>
      </c>
      <c r="L57" s="2434">
        <v>-1.66</v>
      </c>
      <c r="N57" s="2415">
        <f t="shared" si="204"/>
        <v>1.7299999999999999E-2</v>
      </c>
      <c r="O57" s="2400">
        <f t="shared" si="204"/>
        <v>2.9999999999999997E-4</v>
      </c>
      <c r="P57" s="2400">
        <f t="shared" si="204"/>
        <v>2.5899999999999999E-2</v>
      </c>
      <c r="Q57" s="2400">
        <f t="shared" si="204"/>
        <v>-1.66E-2</v>
      </c>
      <c r="R57" s="2416"/>
      <c r="S57" s="2429"/>
      <c r="T57" s="2430"/>
      <c r="U57" s="2430"/>
      <c r="V57" s="2430"/>
      <c r="X57" s="2430"/>
      <c r="Y57" s="2430"/>
      <c r="Z57" s="2430"/>
    </row>
    <row r="58" spans="1:26">
      <c r="A58" s="2412" t="s">
        <v>1151</v>
      </c>
      <c r="B58" s="2413">
        <f t="shared" ref="B58:C60" si="220">B57/(1+N57)</f>
        <v>210.36075887152265</v>
      </c>
      <c r="C58" s="2413">
        <f t="shared" si="220"/>
        <v>187.94361691492554</v>
      </c>
      <c r="D58" s="2413">
        <f t="shared" si="202"/>
        <v>187.94361691492554</v>
      </c>
      <c r="E58" s="2413">
        <f t="shared" ref="E58:F60" si="221">E57/(1+P57)</f>
        <v>281.70386977288234</v>
      </c>
      <c r="F58" s="2413">
        <f t="shared" si="221"/>
        <v>168.80211511083994</v>
      </c>
      <c r="G58" s="3525">
        <v>2008</v>
      </c>
      <c r="H58" s="2438">
        <v>3</v>
      </c>
      <c r="I58" s="2438">
        <v>1.96</v>
      </c>
      <c r="J58" s="2438">
        <v>2.36</v>
      </c>
      <c r="K58" s="2438">
        <v>1.82</v>
      </c>
      <c r="L58" s="2439">
        <v>2.2200000000000002</v>
      </c>
      <c r="N58" s="2415">
        <f t="shared" si="204"/>
        <v>1.9599999999999999E-2</v>
      </c>
      <c r="O58" s="2400">
        <f t="shared" si="204"/>
        <v>2.3599999999999999E-2</v>
      </c>
      <c r="P58" s="2400">
        <f t="shared" si="204"/>
        <v>1.8200000000000001E-2</v>
      </c>
      <c r="Q58" s="2400">
        <f t="shared" si="204"/>
        <v>2.2200000000000001E-2</v>
      </c>
      <c r="R58" s="2416"/>
      <c r="S58" s="2415"/>
      <c r="T58" s="2400"/>
      <c r="U58" s="2400"/>
      <c r="V58" s="2400"/>
    </row>
    <row r="59" spans="1:26">
      <c r="A59" s="2412" t="s">
        <v>1152</v>
      </c>
      <c r="B59" s="2413">
        <f t="shared" si="220"/>
        <v>206.31694671589116</v>
      </c>
      <c r="C59" s="2413">
        <f t="shared" si="220"/>
        <v>183.61041121036101</v>
      </c>
      <c r="D59" s="2413">
        <f t="shared" si="202"/>
        <v>183.61041121036101</v>
      </c>
      <c r="E59" s="2413">
        <f t="shared" si="221"/>
        <v>276.66850301795557</v>
      </c>
      <c r="F59" s="2413">
        <f t="shared" si="221"/>
        <v>165.1360938278614</v>
      </c>
      <c r="G59" s="3525">
        <v>2008</v>
      </c>
      <c r="H59" s="2425">
        <v>2</v>
      </c>
      <c r="I59" s="2425">
        <v>4.93</v>
      </c>
      <c r="J59" s="2425">
        <v>7.38</v>
      </c>
      <c r="K59" s="2425">
        <v>3.98</v>
      </c>
      <c r="L59" s="2426">
        <v>6.86</v>
      </c>
      <c r="N59" s="2415">
        <f t="shared" si="204"/>
        <v>4.9299999999999997E-2</v>
      </c>
      <c r="O59" s="2400">
        <f t="shared" si="204"/>
        <v>7.3800000000000004E-2</v>
      </c>
      <c r="P59" s="2400">
        <f t="shared" si="204"/>
        <v>3.9800000000000002E-2</v>
      </c>
      <c r="Q59" s="2400">
        <f t="shared" si="204"/>
        <v>6.8600000000000008E-2</v>
      </c>
      <c r="R59" s="2416"/>
      <c r="S59" s="2415"/>
      <c r="T59" s="2400"/>
      <c r="U59" s="2400"/>
      <c r="V59" s="2400"/>
    </row>
    <row r="60" spans="1:26" s="2468" customFormat="1" ht="13.5" thickBot="1">
      <c r="A60" s="2412" t="s">
        <v>1153</v>
      </c>
      <c r="B60" s="2465">
        <f t="shared" si="220"/>
        <v>196.62341248059772</v>
      </c>
      <c r="C60" s="2465">
        <f t="shared" si="220"/>
        <v>170.99125648199012</v>
      </c>
      <c r="D60" s="2465">
        <f t="shared" si="202"/>
        <v>170.99125648199012</v>
      </c>
      <c r="E60" s="2465">
        <f t="shared" si="221"/>
        <v>266.07857570490052</v>
      </c>
      <c r="F60" s="2465">
        <f t="shared" si="221"/>
        <v>154.53499328828505</v>
      </c>
      <c r="G60" s="3526">
        <v>2008</v>
      </c>
      <c r="H60" s="2466">
        <v>1</v>
      </c>
      <c r="I60" s="2466">
        <v>4.1399999999999997</v>
      </c>
      <c r="J60" s="2466">
        <v>3.45</v>
      </c>
      <c r="K60" s="2466">
        <v>4.95</v>
      </c>
      <c r="L60" s="2467">
        <v>4.82</v>
      </c>
      <c r="N60" s="2469">
        <f t="shared" si="204"/>
        <v>4.1399999999999999E-2</v>
      </c>
      <c r="O60" s="2470">
        <f t="shared" si="204"/>
        <v>3.4500000000000003E-2</v>
      </c>
      <c r="P60" s="2470">
        <f t="shared" si="204"/>
        <v>4.9500000000000002E-2</v>
      </c>
      <c r="Q60" s="2470">
        <f t="shared" si="204"/>
        <v>4.82E-2</v>
      </c>
      <c r="R60" s="2471"/>
      <c r="S60" s="2469">
        <f>B60/B61-1</f>
        <v>4.5869215322328349E-2</v>
      </c>
      <c r="T60" s="2470">
        <f>C60/C61-1</f>
        <v>3.6310645345394743E-2</v>
      </c>
      <c r="U60" s="2470">
        <f>E60/E61-1</f>
        <v>4.7553447657088688E-2</v>
      </c>
      <c r="V60" s="2470">
        <f>F60/F61-1</f>
        <v>4.4155360055980086E-2</v>
      </c>
      <c r="X60" s="2470"/>
      <c r="Y60" s="2470"/>
      <c r="Z60" s="2470"/>
    </row>
    <row r="61" spans="1:26" ht="13.5" thickBot="1">
      <c r="A61" s="2412" t="s">
        <v>1154</v>
      </c>
      <c r="B61" s="2427">
        <v>188</v>
      </c>
      <c r="C61" s="2427">
        <v>165</v>
      </c>
      <c r="D61" s="2427">
        <f t="shared" si="202"/>
        <v>165</v>
      </c>
      <c r="E61" s="2427">
        <v>254</v>
      </c>
      <c r="F61" s="2428">
        <v>148</v>
      </c>
      <c r="G61" s="3524">
        <v>2007</v>
      </c>
      <c r="H61" s="2472">
        <v>4</v>
      </c>
      <c r="I61" s="2472">
        <v>5.51</v>
      </c>
      <c r="J61" s="2472">
        <v>4.8899999999999997</v>
      </c>
      <c r="K61" s="2472">
        <v>6.43</v>
      </c>
      <c r="L61" s="2473">
        <v>5.36</v>
      </c>
      <c r="N61" s="2474">
        <f t="shared" ref="N61:O64" si="222">B61/B62-1</f>
        <v>4.1339718365245526E-2</v>
      </c>
      <c r="O61" s="2475">
        <f t="shared" si="222"/>
        <v>4.0324492593776018E-2</v>
      </c>
      <c r="P61" s="2475">
        <f t="shared" ref="P61:Q64" si="223">E61/E62-1</f>
        <v>6.1625555347990968E-2</v>
      </c>
      <c r="Q61" s="2475">
        <f t="shared" si="223"/>
        <v>4.6757569250590603E-2</v>
      </c>
      <c r="R61" s="2416"/>
      <c r="S61" s="2429"/>
      <c r="T61" s="2430"/>
      <c r="U61" s="2430"/>
      <c r="V61" s="2430"/>
      <c r="X61" s="2430"/>
      <c r="Y61" s="2430"/>
      <c r="Z61" s="2430"/>
    </row>
    <row r="62" spans="1:26">
      <c r="A62" s="2412" t="s">
        <v>1155</v>
      </c>
      <c r="B62" s="2413">
        <f t="shared" ref="B62:C64" si="224">B63+(B$61-B$65)*I62/SUM(I$61:I$64)</f>
        <v>180.5366651097618</v>
      </c>
      <c r="C62" s="2413">
        <f t="shared" si="224"/>
        <v>158.60435967302453</v>
      </c>
      <c r="D62" s="2413">
        <f t="shared" si="202"/>
        <v>158.60435967302453</v>
      </c>
      <c r="E62" s="2413">
        <f t="shared" ref="E62:F64" si="225">E63+(E$61-E$65)*K62/SUM(K$61:K$64)</f>
        <v>239.25573260785075</v>
      </c>
      <c r="F62" s="2413">
        <f t="shared" si="225"/>
        <v>141.38899430740037</v>
      </c>
      <c r="G62" s="3525">
        <v>2007</v>
      </c>
      <c r="H62" s="2438">
        <v>3</v>
      </c>
      <c r="I62" s="2438">
        <v>8.65</v>
      </c>
      <c r="J62" s="2438">
        <v>8.06</v>
      </c>
      <c r="K62" s="2438">
        <v>9.94</v>
      </c>
      <c r="L62" s="2439">
        <v>5.8</v>
      </c>
      <c r="N62" s="2474">
        <f t="shared" si="222"/>
        <v>6.940217571740015E-2</v>
      </c>
      <c r="O62" s="2475">
        <f t="shared" si="222"/>
        <v>7.1197482471153428E-2</v>
      </c>
      <c r="P62" s="2475">
        <f t="shared" si="223"/>
        <v>0.10529679922579582</v>
      </c>
      <c r="Q62" s="2475">
        <f t="shared" si="223"/>
        <v>5.3292245059512133E-2</v>
      </c>
      <c r="R62" s="2416"/>
      <c r="S62" s="2415"/>
      <c r="T62" s="2400"/>
      <c r="U62" s="2400"/>
      <c r="V62" s="2400"/>
      <c r="X62" s="2476"/>
      <c r="Y62" s="2476"/>
      <c r="Z62" s="2476"/>
    </row>
    <row r="63" spans="1:26">
      <c r="A63" s="2412" t="s">
        <v>1156</v>
      </c>
      <c r="B63" s="2413">
        <f t="shared" si="224"/>
        <v>168.82017748715555</v>
      </c>
      <c r="C63" s="2413">
        <f t="shared" si="224"/>
        <v>148.06267029972753</v>
      </c>
      <c r="D63" s="2413">
        <f t="shared" si="202"/>
        <v>148.06267029972753</v>
      </c>
      <c r="E63" s="2413">
        <f t="shared" si="225"/>
        <v>216.46288379323747</v>
      </c>
      <c r="F63" s="2413">
        <f t="shared" si="225"/>
        <v>134.23529411764704</v>
      </c>
      <c r="G63" s="3525">
        <v>2007</v>
      </c>
      <c r="H63" s="2425">
        <v>2</v>
      </c>
      <c r="I63" s="2425">
        <v>3.67</v>
      </c>
      <c r="J63" s="2425">
        <v>2.3199999999999998</v>
      </c>
      <c r="K63" s="2425">
        <v>5.0199999999999996</v>
      </c>
      <c r="L63" s="2426">
        <v>6.71</v>
      </c>
      <c r="N63" s="2474">
        <f t="shared" si="222"/>
        <v>3.0339138143848032E-2</v>
      </c>
      <c r="O63" s="2475">
        <f t="shared" si="222"/>
        <v>2.0922341588790472E-2</v>
      </c>
      <c r="P63" s="2475">
        <f t="shared" si="223"/>
        <v>5.6164796592717003E-2</v>
      </c>
      <c r="Q63" s="2475">
        <f t="shared" si="223"/>
        <v>6.5704536723887319E-2</v>
      </c>
      <c r="R63" s="2416"/>
      <c r="S63" s="2415"/>
      <c r="T63" s="2400"/>
      <c r="U63" s="2400"/>
      <c r="V63" s="2400"/>
      <c r="X63" s="2476"/>
      <c r="Y63" s="2476"/>
      <c r="Z63" s="2476"/>
    </row>
    <row r="64" spans="1:26">
      <c r="A64" s="2412" t="s">
        <v>1157</v>
      </c>
      <c r="B64" s="2413">
        <f t="shared" si="224"/>
        <v>163.84913591779542</v>
      </c>
      <c r="C64" s="2413">
        <f t="shared" si="224"/>
        <v>145.0283378746594</v>
      </c>
      <c r="D64" s="2413">
        <f t="shared" si="202"/>
        <v>145.0283378746594</v>
      </c>
      <c r="E64" s="2413">
        <f t="shared" si="225"/>
        <v>204.95180722891567</v>
      </c>
      <c r="F64" s="2413">
        <f t="shared" si="225"/>
        <v>125.95920303605313</v>
      </c>
      <c r="G64" s="3526">
        <v>2007</v>
      </c>
      <c r="H64" s="2414">
        <v>1</v>
      </c>
      <c r="I64" s="2414">
        <v>3.58</v>
      </c>
      <c r="J64" s="2414">
        <v>3.08</v>
      </c>
      <c r="K64" s="2414">
        <v>4.34</v>
      </c>
      <c r="L64" s="2420">
        <v>3.21</v>
      </c>
      <c r="N64" s="2477">
        <f t="shared" si="222"/>
        <v>3.0497710174814063E-2</v>
      </c>
      <c r="O64" s="2478">
        <f t="shared" si="222"/>
        <v>2.8569772160704998E-2</v>
      </c>
      <c r="P64" s="2478">
        <f t="shared" si="223"/>
        <v>5.1034908866234296E-2</v>
      </c>
      <c r="Q64" s="2478">
        <f t="shared" si="223"/>
        <v>3.245248390207478E-2</v>
      </c>
      <c r="R64" s="2416"/>
      <c r="S64" s="2431">
        <f>B64/B65-1</f>
        <v>3.0497710174814063E-2</v>
      </c>
      <c r="T64" s="2432">
        <f>C64/C65-1</f>
        <v>2.8569772160704998E-2</v>
      </c>
      <c r="U64" s="2432">
        <f>E64/E65-1</f>
        <v>5.1034908866234296E-2</v>
      </c>
      <c r="V64" s="2432">
        <f>F64/F65-1</f>
        <v>3.245248390207478E-2</v>
      </c>
      <c r="X64" s="2476"/>
      <c r="Y64" s="2476"/>
      <c r="Z64" s="2476"/>
    </row>
    <row r="65" spans="1:26" ht="13.5" thickBot="1">
      <c r="A65" s="2412" t="s">
        <v>1158</v>
      </c>
      <c r="B65" s="2441">
        <v>159</v>
      </c>
      <c r="C65" s="2441">
        <v>141</v>
      </c>
      <c r="D65" s="2441">
        <f t="shared" si="202"/>
        <v>141</v>
      </c>
      <c r="E65" s="2441">
        <v>195</v>
      </c>
      <c r="F65" s="2442">
        <v>122</v>
      </c>
      <c r="G65" s="3524">
        <v>2006</v>
      </c>
      <c r="H65" s="2433">
        <v>4</v>
      </c>
      <c r="I65" s="2433">
        <v>3.79</v>
      </c>
      <c r="J65" s="2433">
        <v>2.21</v>
      </c>
      <c r="K65" s="2433">
        <v>5.65</v>
      </c>
      <c r="L65" s="2434">
        <v>5.41</v>
      </c>
      <c r="N65" s="2474">
        <f t="shared" ref="N65:O68" si="226">I65/SUM(I$65:I$68)*(B$65/B$69-1)</f>
        <v>7.245466462748526E-2</v>
      </c>
      <c r="O65" s="2475">
        <f t="shared" si="226"/>
        <v>2.3237230038062766E-2</v>
      </c>
      <c r="P65" s="2475">
        <f t="shared" ref="P65:Q68" si="227">K65/SUM(K$65:K$68)*(E$65/E$69-1)</f>
        <v>0.16146893866323722</v>
      </c>
      <c r="Q65" s="2475">
        <f t="shared" si="227"/>
        <v>5.0755230321793784E-2</v>
      </c>
      <c r="R65" s="2416"/>
      <c r="S65" s="2429"/>
      <c r="T65" s="2430"/>
      <c r="U65" s="2430"/>
      <c r="V65" s="2430"/>
      <c r="X65" s="2476"/>
      <c r="Y65" s="2476"/>
      <c r="Z65" s="2476"/>
    </row>
    <row r="66" spans="1:26">
      <c r="A66" s="2412" t="s">
        <v>1159</v>
      </c>
      <c r="B66" s="2413">
        <f t="shared" ref="B66:C68" si="228">B67+(B$65-B$69)*I66/SUM(I$65:I$68)</f>
        <v>149.00125628140702</v>
      </c>
      <c r="C66" s="2413">
        <f t="shared" si="228"/>
        <v>137.95592286501378</v>
      </c>
      <c r="D66" s="2413">
        <f t="shared" si="202"/>
        <v>137.95592286501378</v>
      </c>
      <c r="E66" s="2413">
        <f t="shared" ref="E66:F68" si="229">E67+(E$65-E$69)*K66/SUM(K$65:K$68)</f>
        <v>169.97231450719823</v>
      </c>
      <c r="F66" s="2413">
        <f t="shared" si="229"/>
        <v>116.21390374331551</v>
      </c>
      <c r="G66" s="3525">
        <v>2006</v>
      </c>
      <c r="H66" s="2438">
        <v>3</v>
      </c>
      <c r="I66" s="2438">
        <v>0.92</v>
      </c>
      <c r="J66" s="2438">
        <v>1.08</v>
      </c>
      <c r="K66" s="2438">
        <v>0.73</v>
      </c>
      <c r="L66" s="2439">
        <v>1.08</v>
      </c>
      <c r="N66" s="2474">
        <f t="shared" si="226"/>
        <v>1.7587939698492462E-2</v>
      </c>
      <c r="O66" s="2475">
        <f t="shared" si="226"/>
        <v>1.1355750425840628E-2</v>
      </c>
      <c r="P66" s="2475">
        <f t="shared" si="227"/>
        <v>2.0862358446754544E-2</v>
      </c>
      <c r="Q66" s="2475">
        <f t="shared" si="227"/>
        <v>1.0132282578103011E-2</v>
      </c>
      <c r="R66" s="2416"/>
      <c r="S66" s="2415"/>
      <c r="T66" s="2400"/>
      <c r="U66" s="2400"/>
      <c r="V66" s="2400"/>
      <c r="X66" s="2476"/>
      <c r="Y66" s="2476"/>
      <c r="Z66" s="2476"/>
    </row>
    <row r="67" spans="1:26">
      <c r="A67" s="2412" t="s">
        <v>1160</v>
      </c>
      <c r="B67" s="2413">
        <f t="shared" si="228"/>
        <v>146.57412060301507</v>
      </c>
      <c r="C67" s="2413">
        <f t="shared" si="228"/>
        <v>136.46831955922866</v>
      </c>
      <c r="D67" s="2413">
        <f t="shared" si="202"/>
        <v>136.46831955922866</v>
      </c>
      <c r="E67" s="2413">
        <f t="shared" si="229"/>
        <v>166.73864894795128</v>
      </c>
      <c r="F67" s="2413">
        <f t="shared" si="229"/>
        <v>115.05882352941177</v>
      </c>
      <c r="G67" s="3525">
        <v>2006</v>
      </c>
      <c r="H67" s="2425">
        <v>2</v>
      </c>
      <c r="I67" s="2425">
        <v>0.96</v>
      </c>
      <c r="J67" s="2425">
        <v>0.25</v>
      </c>
      <c r="K67" s="2425">
        <v>1.9</v>
      </c>
      <c r="L67" s="2426">
        <v>0.95</v>
      </c>
      <c r="N67" s="2474">
        <f t="shared" si="226"/>
        <v>1.8352632728861701E-2</v>
      </c>
      <c r="O67" s="2475">
        <f t="shared" si="226"/>
        <v>2.6286459319075526E-3</v>
      </c>
      <c r="P67" s="2475">
        <f t="shared" si="227"/>
        <v>5.4299289107991269E-2</v>
      </c>
      <c r="Q67" s="2475">
        <f t="shared" si="227"/>
        <v>8.9126559714794995E-3</v>
      </c>
      <c r="R67" s="2416"/>
      <c r="S67" s="2415"/>
      <c r="T67" s="2400"/>
      <c r="U67" s="2400"/>
      <c r="V67" s="2400"/>
      <c r="X67" s="2476"/>
      <c r="Y67" s="2476"/>
      <c r="Z67" s="2476"/>
    </row>
    <row r="68" spans="1:26">
      <c r="A68" s="2412" t="s">
        <v>1161</v>
      </c>
      <c r="B68" s="2413">
        <f t="shared" si="228"/>
        <v>144.04145728643215</v>
      </c>
      <c r="C68" s="2413">
        <f t="shared" si="228"/>
        <v>136.12396694214877</v>
      </c>
      <c r="D68" s="2413">
        <f t="shared" si="202"/>
        <v>136.12396694214877</v>
      </c>
      <c r="E68" s="2413">
        <f t="shared" si="229"/>
        <v>158.32225913621264</v>
      </c>
      <c r="F68" s="2413">
        <f t="shared" si="229"/>
        <v>114.04278074866311</v>
      </c>
      <c r="G68" s="3526">
        <v>2006</v>
      </c>
      <c r="H68" s="2414">
        <v>1</v>
      </c>
      <c r="I68" s="2414">
        <v>2.29</v>
      </c>
      <c r="J68" s="2414">
        <v>3.72</v>
      </c>
      <c r="K68" s="2414">
        <v>0.75</v>
      </c>
      <c r="L68" s="2420">
        <v>0.04</v>
      </c>
      <c r="N68" s="2477">
        <f t="shared" si="226"/>
        <v>4.3778675988638847E-2</v>
      </c>
      <c r="O68" s="2478">
        <f t="shared" si="226"/>
        <v>3.9114251466784385E-2</v>
      </c>
      <c r="P68" s="2478">
        <f t="shared" si="227"/>
        <v>2.1433929911049188E-2</v>
      </c>
      <c r="Q68" s="2478">
        <f t="shared" si="227"/>
        <v>3.7526972511492629E-4</v>
      </c>
      <c r="R68" s="2416"/>
      <c r="S68" s="2431">
        <f>B68/B69-1</f>
        <v>4.3778675988638716E-2</v>
      </c>
      <c r="T68" s="2432">
        <f>C68/C69-1</f>
        <v>3.91142514667846E-2</v>
      </c>
      <c r="U68" s="2432">
        <f>E68/E69-1</f>
        <v>2.143392991104931E-2</v>
      </c>
      <c r="V68" s="2432">
        <f>F68/F69-1</f>
        <v>3.7526972511492396E-4</v>
      </c>
      <c r="X68" s="2476"/>
      <c r="Y68" s="2476"/>
      <c r="Z68" s="2476"/>
    </row>
    <row r="69" spans="1:26" ht="13.5" thickBot="1">
      <c r="A69" s="2412" t="s">
        <v>1162</v>
      </c>
      <c r="B69" s="2441">
        <v>138</v>
      </c>
      <c r="C69" s="2441">
        <v>131</v>
      </c>
      <c r="D69" s="2441">
        <f t="shared" si="202"/>
        <v>131</v>
      </c>
      <c r="E69" s="2441">
        <v>155</v>
      </c>
      <c r="F69" s="2442">
        <v>114</v>
      </c>
      <c r="G69" s="3524">
        <v>2005</v>
      </c>
      <c r="H69" s="2433">
        <v>4</v>
      </c>
      <c r="I69" s="2433">
        <v>3.29</v>
      </c>
      <c r="J69" s="2433">
        <v>1.44</v>
      </c>
      <c r="K69" s="2433">
        <v>0.66</v>
      </c>
      <c r="L69" s="2434">
        <v>7.78</v>
      </c>
      <c r="N69" s="2474">
        <f t="shared" ref="N69:O72" si="230">I69/SUM(I$69:I$72)*(B$69/B$73-1)</f>
        <v>9.9404603216919935E-2</v>
      </c>
      <c r="O69" s="2475">
        <f t="shared" si="230"/>
        <v>4.7636550760861554E-2</v>
      </c>
      <c r="P69" s="2475">
        <f t="shared" ref="P69:Q72" si="231">K69/SUM(K$69:K$72)*(E$69/E$73-1)</f>
        <v>8.3756345177664976E-2</v>
      </c>
      <c r="Q69" s="2475">
        <f t="shared" si="231"/>
        <v>5.2148766661559584E-2</v>
      </c>
      <c r="R69" s="2416"/>
      <c r="S69" s="2429"/>
      <c r="T69" s="2430"/>
      <c r="U69" s="2430"/>
      <c r="V69" s="2430"/>
      <c r="X69" s="2476"/>
      <c r="Y69" s="2476"/>
      <c r="Z69" s="2476"/>
    </row>
    <row r="70" spans="1:26">
      <c r="A70" s="2412" t="s">
        <v>1163</v>
      </c>
      <c r="B70" s="2413">
        <f t="shared" ref="B70:C72" si="232">B71+(B$69-B$73)*I70/SUM(I$69:I$72)</f>
        <v>125.9720430107527</v>
      </c>
      <c r="C70" s="2413">
        <f t="shared" si="232"/>
        <v>125.1883408071749</v>
      </c>
      <c r="D70" s="2413">
        <f t="shared" si="202"/>
        <v>125.1883408071749</v>
      </c>
      <c r="E70" s="2413">
        <f t="shared" ref="E70:F72" si="233">E71+(E$69-E$73)*K70/SUM(K$69:K$72)</f>
        <v>144.61421319796952</v>
      </c>
      <c r="F70" s="2413">
        <f t="shared" si="233"/>
        <v>108.42008196721311</v>
      </c>
      <c r="G70" s="3525">
        <v>2005</v>
      </c>
      <c r="H70" s="2438">
        <v>3</v>
      </c>
      <c r="I70" s="2438">
        <v>0.46</v>
      </c>
      <c r="J70" s="2438">
        <v>0.32</v>
      </c>
      <c r="K70" s="2438">
        <v>0.42</v>
      </c>
      <c r="L70" s="2439">
        <v>0.64</v>
      </c>
      <c r="N70" s="2474">
        <f t="shared" si="230"/>
        <v>1.3898515951301874E-2</v>
      </c>
      <c r="O70" s="2475">
        <f t="shared" si="230"/>
        <v>1.0585900169080346E-2</v>
      </c>
      <c r="P70" s="2475">
        <f t="shared" si="231"/>
        <v>5.3299492385786795E-2</v>
      </c>
      <c r="Q70" s="2475">
        <f t="shared" si="231"/>
        <v>4.2898728359123568E-3</v>
      </c>
      <c r="R70" s="2416"/>
      <c r="S70" s="2415"/>
      <c r="T70" s="2400"/>
      <c r="U70" s="2400"/>
      <c r="V70" s="2400"/>
      <c r="X70" s="2476"/>
      <c r="Y70" s="2476"/>
      <c r="Z70" s="2476"/>
    </row>
    <row r="71" spans="1:26">
      <c r="A71" s="2412" t="s">
        <v>1164</v>
      </c>
      <c r="B71" s="2413">
        <f t="shared" si="232"/>
        <v>124.29032258064517</v>
      </c>
      <c r="C71" s="2413">
        <f t="shared" si="232"/>
        <v>123.8968609865471</v>
      </c>
      <c r="D71" s="2413">
        <f t="shared" si="202"/>
        <v>123.8968609865471</v>
      </c>
      <c r="E71" s="2413">
        <f t="shared" si="233"/>
        <v>138.00507614213197</v>
      </c>
      <c r="F71" s="2413">
        <f t="shared" si="233"/>
        <v>107.96106557377048</v>
      </c>
      <c r="G71" s="3525">
        <v>2005</v>
      </c>
      <c r="H71" s="2425">
        <v>2</v>
      </c>
      <c r="I71" s="2425">
        <v>0.47</v>
      </c>
      <c r="J71" s="2425">
        <v>0.1</v>
      </c>
      <c r="K71" s="2425">
        <v>0.52</v>
      </c>
      <c r="L71" s="2426">
        <v>0.79</v>
      </c>
      <c r="N71" s="2474">
        <f t="shared" si="230"/>
        <v>1.420065760241713E-2</v>
      </c>
      <c r="O71" s="2475">
        <f t="shared" si="230"/>
        <v>3.3080938028376083E-3</v>
      </c>
      <c r="P71" s="2475">
        <f t="shared" si="231"/>
        <v>6.598984771573603E-2</v>
      </c>
      <c r="Q71" s="2475">
        <f t="shared" si="231"/>
        <v>5.2953117818293153E-3</v>
      </c>
      <c r="R71" s="2416"/>
      <c r="S71" s="2415"/>
      <c r="T71" s="2400"/>
      <c r="U71" s="2400"/>
      <c r="V71" s="2400"/>
      <c r="X71" s="2476"/>
      <c r="Y71" s="2476"/>
      <c r="Z71" s="2476"/>
    </row>
    <row r="72" spans="1:26">
      <c r="A72" s="2412" t="s">
        <v>1165</v>
      </c>
      <c r="B72" s="2413">
        <f t="shared" si="232"/>
        <v>122.57204301075269</v>
      </c>
      <c r="C72" s="2413">
        <f t="shared" si="232"/>
        <v>123.4932735426009</v>
      </c>
      <c r="D72" s="2413">
        <f t="shared" si="202"/>
        <v>123.4932735426009</v>
      </c>
      <c r="E72" s="2413">
        <f t="shared" si="233"/>
        <v>129.82233502538071</v>
      </c>
      <c r="F72" s="2413">
        <f t="shared" si="233"/>
        <v>107.39446721311475</v>
      </c>
      <c r="G72" s="3526">
        <v>2005</v>
      </c>
      <c r="H72" s="2414">
        <v>1</v>
      </c>
      <c r="I72" s="2414">
        <v>0.43</v>
      </c>
      <c r="J72" s="2414">
        <v>0.37</v>
      </c>
      <c r="K72" s="2414">
        <v>0.37</v>
      </c>
      <c r="L72" s="2420">
        <v>0.55000000000000004</v>
      </c>
      <c r="N72" s="2477">
        <f t="shared" si="230"/>
        <v>1.2992090997956099E-2</v>
      </c>
      <c r="O72" s="2478">
        <f t="shared" si="230"/>
        <v>1.2239947070499151E-2</v>
      </c>
      <c r="P72" s="2478">
        <f t="shared" si="231"/>
        <v>4.6954314720812178E-2</v>
      </c>
      <c r="Q72" s="2478">
        <f t="shared" si="231"/>
        <v>3.6866094683621815E-3</v>
      </c>
      <c r="R72" s="2416"/>
      <c r="S72" s="2431">
        <f>B72/B73-1</f>
        <v>1.2992090997956174E-2</v>
      </c>
      <c r="T72" s="2432">
        <f>C72/C73-1</f>
        <v>1.2239947070499246E-2</v>
      </c>
      <c r="U72" s="2432">
        <f>E72/E73-1</f>
        <v>4.695431472081224E-2</v>
      </c>
      <c r="V72" s="2432">
        <f>F72/F73-1</f>
        <v>3.6866094683620787E-3</v>
      </c>
      <c r="X72" s="2476"/>
      <c r="Y72" s="2476"/>
      <c r="Z72" s="2476"/>
    </row>
    <row r="73" spans="1:26" ht="13.5" thickBot="1">
      <c r="A73" s="2412" t="s">
        <v>1166</v>
      </c>
      <c r="B73" s="2462">
        <v>121</v>
      </c>
      <c r="C73" s="2462">
        <v>122</v>
      </c>
      <c r="D73" s="2462">
        <f t="shared" si="202"/>
        <v>122</v>
      </c>
      <c r="E73" s="2462">
        <v>124</v>
      </c>
      <c r="F73" s="2463">
        <v>107</v>
      </c>
      <c r="G73" s="3524">
        <v>2004</v>
      </c>
      <c r="H73" s="2433">
        <v>4</v>
      </c>
      <c r="I73" s="2433">
        <v>0.33</v>
      </c>
      <c r="J73" s="2433">
        <v>0.5</v>
      </c>
      <c r="K73" s="2433">
        <v>0.5</v>
      </c>
      <c r="L73" s="2434">
        <v>0</v>
      </c>
      <c r="N73" s="2474">
        <f t="shared" ref="N73:O76" si="234">I73/SUM(I$73:I$76)*(B$73/B$77-1)</f>
        <v>1.3391770148526898E-2</v>
      </c>
      <c r="O73" s="2475">
        <f t="shared" si="234"/>
        <v>1.063264221158958E-2</v>
      </c>
      <c r="P73" s="2475">
        <f t="shared" ref="P73:Q76" si="235">K73/SUM(K$73:K$76)*(E$73/E$77-1)</f>
        <v>2.2244466688911134E-2</v>
      </c>
      <c r="Q73" s="2475">
        <f t="shared" si="235"/>
        <v>0</v>
      </c>
      <c r="R73" s="2416"/>
      <c r="S73" s="2429"/>
      <c r="T73" s="2430"/>
      <c r="U73" s="2430"/>
      <c r="V73" s="2430"/>
      <c r="X73" s="2476"/>
      <c r="Y73" s="2476"/>
      <c r="Z73" s="2476"/>
    </row>
    <row r="74" spans="1:26">
      <c r="A74" s="2412" t="s">
        <v>1167</v>
      </c>
      <c r="B74" s="2413">
        <f t="shared" ref="B74:C76" si="236">B75+(B$73-B$77)*I74/SUM(I$73:I$76)</f>
        <v>119.51351351351352</v>
      </c>
      <c r="C74" s="2413">
        <f t="shared" si="236"/>
        <v>120.7878787878788</v>
      </c>
      <c r="D74" s="2413">
        <f t="shared" si="202"/>
        <v>120.7878787878788</v>
      </c>
      <c r="E74" s="2413">
        <f t="shared" ref="E74:F76" si="237">E75+(E$73-E$77)*K74/SUM(K$73:K$76)</f>
        <v>121.5975975975976</v>
      </c>
      <c r="F74" s="2413">
        <f t="shared" si="237"/>
        <v>107</v>
      </c>
      <c r="G74" s="3525">
        <v>2004</v>
      </c>
      <c r="H74" s="2438">
        <v>3</v>
      </c>
      <c r="I74" s="2438">
        <v>0.56000000000000005</v>
      </c>
      <c r="J74" s="2438">
        <v>0.8</v>
      </c>
      <c r="K74" s="2438">
        <v>0.83</v>
      </c>
      <c r="L74" s="2439">
        <v>0.06</v>
      </c>
      <c r="N74" s="2474">
        <f t="shared" si="234"/>
        <v>2.2725428130833527E-2</v>
      </c>
      <c r="O74" s="2475">
        <f t="shared" si="234"/>
        <v>1.7012227538543329E-2</v>
      </c>
      <c r="P74" s="2475">
        <f t="shared" si="235"/>
        <v>3.6925814703592477E-2</v>
      </c>
      <c r="Q74" s="2475">
        <f t="shared" si="235"/>
        <v>2.8846153846153744E-2</v>
      </c>
      <c r="R74" s="2416"/>
      <c r="S74" s="2415"/>
      <c r="T74" s="2400"/>
      <c r="U74" s="2400"/>
      <c r="V74" s="2400"/>
      <c r="X74" s="2476"/>
      <c r="Y74" s="2476"/>
      <c r="Z74" s="2476"/>
    </row>
    <row r="75" spans="1:26">
      <c r="A75" s="2412" t="s">
        <v>1168</v>
      </c>
      <c r="B75" s="2413">
        <f t="shared" si="236"/>
        <v>116.99099099099099</v>
      </c>
      <c r="C75" s="2413">
        <f t="shared" si="236"/>
        <v>118.84848484848486</v>
      </c>
      <c r="D75" s="2413">
        <f t="shared" si="202"/>
        <v>118.84848484848486</v>
      </c>
      <c r="E75" s="2413">
        <f t="shared" si="237"/>
        <v>117.60960960960961</v>
      </c>
      <c r="F75" s="2413">
        <f t="shared" si="237"/>
        <v>104</v>
      </c>
      <c r="G75" s="3525">
        <v>2004</v>
      </c>
      <c r="H75" s="2425">
        <v>2</v>
      </c>
      <c r="I75" s="2425">
        <v>1</v>
      </c>
      <c r="J75" s="2425">
        <v>1.5</v>
      </c>
      <c r="K75" s="2425">
        <v>1.5</v>
      </c>
      <c r="L75" s="2426">
        <v>0</v>
      </c>
      <c r="N75" s="2474">
        <f t="shared" si="234"/>
        <v>4.0581121662202721E-2</v>
      </c>
      <c r="O75" s="2475">
        <f t="shared" si="234"/>
        <v>3.1897926634768738E-2</v>
      </c>
      <c r="P75" s="2475">
        <f t="shared" si="235"/>
        <v>6.6733400066733395E-2</v>
      </c>
      <c r="Q75" s="2475">
        <f t="shared" si="235"/>
        <v>0</v>
      </c>
      <c r="R75" s="2416"/>
      <c r="S75" s="2415"/>
      <c r="T75" s="2400"/>
      <c r="U75" s="2400"/>
      <c r="V75" s="2400"/>
      <c r="X75" s="2476"/>
      <c r="Y75" s="2476"/>
      <c r="Z75" s="2476"/>
    </row>
    <row r="76" spans="1:26" s="2468" customFormat="1" ht="13.5" thickBot="1">
      <c r="A76" s="2412" t="s">
        <v>1169</v>
      </c>
      <c r="B76" s="2465">
        <f t="shared" si="236"/>
        <v>112.48648648648648</v>
      </c>
      <c r="C76" s="2465">
        <f t="shared" si="236"/>
        <v>115.21212121212122</v>
      </c>
      <c r="D76" s="2465">
        <f t="shared" si="202"/>
        <v>115.21212121212122</v>
      </c>
      <c r="E76" s="2465">
        <f t="shared" si="237"/>
        <v>110.4024024024024</v>
      </c>
      <c r="F76" s="2465">
        <f t="shared" si="237"/>
        <v>104</v>
      </c>
      <c r="G76" s="3526">
        <v>2004</v>
      </c>
      <c r="H76" s="2466">
        <v>1</v>
      </c>
      <c r="I76" s="2466">
        <v>0.33</v>
      </c>
      <c r="J76" s="2466">
        <v>0.5</v>
      </c>
      <c r="K76" s="2466">
        <v>0.5</v>
      </c>
      <c r="L76" s="2467">
        <v>0</v>
      </c>
      <c r="N76" s="2479">
        <f t="shared" si="234"/>
        <v>1.3391770148526898E-2</v>
      </c>
      <c r="O76" s="2480">
        <f t="shared" si="234"/>
        <v>1.063264221158958E-2</v>
      </c>
      <c r="P76" s="2480">
        <f t="shared" si="235"/>
        <v>2.2244466688911134E-2</v>
      </c>
      <c r="Q76" s="2480">
        <f t="shared" si="235"/>
        <v>0</v>
      </c>
      <c r="R76" s="2471"/>
      <c r="S76" s="2469">
        <f>B76/B77-1</f>
        <v>1.3391770148526883E-2</v>
      </c>
      <c r="T76" s="2470">
        <f>C76/C77-1</f>
        <v>1.063264221158966E-2</v>
      </c>
      <c r="U76" s="2470">
        <f>E76/E77-1</f>
        <v>2.2244466688911224E-2</v>
      </c>
      <c r="V76" s="2470">
        <f>F76/F77-1</f>
        <v>0</v>
      </c>
      <c r="X76" s="2481"/>
      <c r="Y76" s="2481"/>
      <c r="Z76" s="2481"/>
    </row>
    <row r="77" spans="1:26" ht="13.5" thickBot="1">
      <c r="A77" s="2412" t="s">
        <v>1170</v>
      </c>
      <c r="B77" s="2482">
        <v>111</v>
      </c>
      <c r="C77" s="2482">
        <v>114</v>
      </c>
      <c r="D77" s="2482">
        <f t="shared" si="202"/>
        <v>114</v>
      </c>
      <c r="E77" s="2482">
        <v>108</v>
      </c>
      <c r="F77" s="2483">
        <v>104</v>
      </c>
      <c r="G77" s="3524">
        <v>2003</v>
      </c>
      <c r="H77" s="2472">
        <v>4</v>
      </c>
      <c r="I77" s="2484"/>
      <c r="J77" s="2484"/>
      <c r="K77" s="2484"/>
      <c r="L77" s="2484"/>
      <c r="N77" s="2485"/>
      <c r="O77" s="2484"/>
      <c r="P77" s="2484"/>
      <c r="Q77" s="2484"/>
      <c r="S77" s="2485"/>
      <c r="T77" s="2484"/>
      <c r="U77" s="2484"/>
      <c r="V77" s="2484"/>
      <c r="X77" s="2476"/>
      <c r="Y77" s="2476"/>
      <c r="Z77" s="2476"/>
    </row>
    <row r="78" spans="1:26">
      <c r="A78" s="2412" t="s">
        <v>1171</v>
      </c>
      <c r="B78" s="2486">
        <f t="shared" ref="B78:C80" si="238">B79+(B$77-B$81)/4</f>
        <v>109.75</v>
      </c>
      <c r="C78" s="2486">
        <f t="shared" si="238"/>
        <v>112.25</v>
      </c>
      <c r="D78" s="2486">
        <f t="shared" si="202"/>
        <v>112.25</v>
      </c>
      <c r="E78" s="2486">
        <f t="shared" ref="E78:F80" si="239">E79+(E$77-E$81)/4</f>
        <v>107.25</v>
      </c>
      <c r="F78" s="2486">
        <f t="shared" si="239"/>
        <v>103.5</v>
      </c>
      <c r="G78" s="3525">
        <v>2003</v>
      </c>
      <c r="H78" s="2438">
        <v>3</v>
      </c>
      <c r="I78" s="2484"/>
      <c r="J78" s="2484"/>
      <c r="K78" s="2484"/>
      <c r="L78" s="2484"/>
      <c r="X78" s="2476"/>
      <c r="Y78" s="2476"/>
      <c r="Z78" s="2476"/>
    </row>
    <row r="79" spans="1:26">
      <c r="A79" s="2412" t="s">
        <v>1172</v>
      </c>
      <c r="B79" s="2486">
        <f t="shared" si="238"/>
        <v>108.5</v>
      </c>
      <c r="C79" s="2486">
        <f t="shared" si="238"/>
        <v>110.5</v>
      </c>
      <c r="D79" s="2486">
        <f t="shared" si="202"/>
        <v>110.5</v>
      </c>
      <c r="E79" s="2486">
        <f t="shared" si="239"/>
        <v>106.5</v>
      </c>
      <c r="F79" s="2486">
        <f t="shared" si="239"/>
        <v>103</v>
      </c>
      <c r="G79" s="3525">
        <v>2003</v>
      </c>
      <c r="H79" s="2425">
        <v>2</v>
      </c>
      <c r="I79" s="2484"/>
      <c r="J79" s="2484"/>
      <c r="K79" s="2484"/>
      <c r="L79" s="2484"/>
      <c r="X79" s="2476"/>
      <c r="Y79" s="2476"/>
      <c r="Z79" s="2476"/>
    </row>
    <row r="80" spans="1:26" ht="13.5" thickBot="1">
      <c r="A80" s="2412" t="s">
        <v>1173</v>
      </c>
      <c r="B80" s="2486">
        <f t="shared" si="238"/>
        <v>107.25</v>
      </c>
      <c r="C80" s="2486">
        <f t="shared" si="238"/>
        <v>108.75</v>
      </c>
      <c r="D80" s="2486">
        <f t="shared" si="202"/>
        <v>108.75</v>
      </c>
      <c r="E80" s="2486">
        <f t="shared" si="239"/>
        <v>105.75</v>
      </c>
      <c r="F80" s="2486">
        <f t="shared" si="239"/>
        <v>102.5</v>
      </c>
      <c r="G80" s="3526">
        <v>2003</v>
      </c>
      <c r="H80" s="2487">
        <v>1</v>
      </c>
      <c r="I80" s="2484"/>
      <c r="J80" s="2484"/>
      <c r="K80" s="2484"/>
      <c r="L80" s="2484"/>
      <c r="S80" s="2415"/>
      <c r="T80" s="2400"/>
      <c r="U80" s="2400"/>
      <c r="X80" s="2476"/>
      <c r="Y80" s="2476"/>
      <c r="Z80" s="2476"/>
    </row>
    <row r="81" spans="1:26" ht="13.5" thickBot="1">
      <c r="A81" s="2412" t="s">
        <v>1174</v>
      </c>
      <c r="B81" s="2488">
        <v>106</v>
      </c>
      <c r="C81" s="2488">
        <v>107</v>
      </c>
      <c r="D81" s="2488">
        <f t="shared" si="202"/>
        <v>107</v>
      </c>
      <c r="E81" s="2488">
        <v>105</v>
      </c>
      <c r="F81" s="2489">
        <v>102</v>
      </c>
      <c r="G81" s="3524">
        <v>2002</v>
      </c>
      <c r="H81" s="2433">
        <v>4</v>
      </c>
      <c r="I81" s="2484"/>
      <c r="J81" s="2484"/>
      <c r="K81" s="2484"/>
      <c r="L81" s="2484"/>
      <c r="N81" s="2485"/>
      <c r="O81" s="2484"/>
      <c r="P81" s="2484"/>
      <c r="Q81" s="2484"/>
      <c r="S81" s="2485"/>
      <c r="T81" s="2484"/>
      <c r="U81" s="2484"/>
      <c r="V81" s="2484"/>
      <c r="X81" s="2476"/>
      <c r="Y81" s="2476"/>
      <c r="Z81" s="2476"/>
    </row>
    <row r="82" spans="1:26">
      <c r="A82" s="2412" t="s">
        <v>1175</v>
      </c>
      <c r="B82" s="2486">
        <f t="shared" ref="B82:C84" si="240">B83+(B$81-B$85)/4</f>
        <v>105</v>
      </c>
      <c r="C82" s="2486">
        <f t="shared" si="240"/>
        <v>106</v>
      </c>
      <c r="D82" s="2486">
        <f t="shared" si="202"/>
        <v>106</v>
      </c>
      <c r="E82" s="2486">
        <f t="shared" ref="E82:F84" si="241">E83+(E$81-E$85)/4</f>
        <v>104.5</v>
      </c>
      <c r="F82" s="2486">
        <f t="shared" si="241"/>
        <v>101.5</v>
      </c>
      <c r="G82" s="3525">
        <v>2002</v>
      </c>
      <c r="H82" s="2438">
        <v>3</v>
      </c>
      <c r="I82" s="2484"/>
      <c r="J82" s="2484"/>
      <c r="K82" s="2484"/>
      <c r="L82" s="2484"/>
      <c r="X82" s="2476"/>
      <c r="Y82" s="2476"/>
      <c r="Z82" s="2476"/>
    </row>
    <row r="83" spans="1:26">
      <c r="A83" s="2412" t="s">
        <v>1176</v>
      </c>
      <c r="B83" s="2486">
        <f t="shared" si="240"/>
        <v>104</v>
      </c>
      <c r="C83" s="2486">
        <f t="shared" si="240"/>
        <v>105</v>
      </c>
      <c r="D83" s="2486">
        <f t="shared" si="202"/>
        <v>105</v>
      </c>
      <c r="E83" s="2486">
        <f t="shared" si="241"/>
        <v>104</v>
      </c>
      <c r="F83" s="2486">
        <f t="shared" si="241"/>
        <v>101</v>
      </c>
      <c r="G83" s="3525">
        <v>2002</v>
      </c>
      <c r="H83" s="2425">
        <v>2</v>
      </c>
      <c r="I83" s="2484"/>
      <c r="J83" s="2484"/>
      <c r="K83" s="2484"/>
      <c r="L83" s="2484"/>
      <c r="X83" s="2476"/>
      <c r="Y83" s="2476"/>
      <c r="Z83" s="2476"/>
    </row>
    <row r="84" spans="1:26" s="2449" customFormat="1" ht="13.5" thickBot="1">
      <c r="A84" s="2445" t="s">
        <v>1177</v>
      </c>
      <c r="B84" s="2452">
        <f t="shared" si="240"/>
        <v>103</v>
      </c>
      <c r="C84" s="2452">
        <f t="shared" si="240"/>
        <v>104</v>
      </c>
      <c r="D84" s="2452">
        <f t="shared" si="202"/>
        <v>104</v>
      </c>
      <c r="E84" s="2452">
        <f t="shared" si="241"/>
        <v>103.5</v>
      </c>
      <c r="F84" s="2452">
        <f t="shared" si="241"/>
        <v>100.5</v>
      </c>
      <c r="G84" s="3526">
        <v>2002</v>
      </c>
      <c r="H84" s="2490">
        <v>1</v>
      </c>
      <c r="I84" s="2491"/>
      <c r="J84" s="2491"/>
      <c r="K84" s="2491"/>
      <c r="L84" s="2491"/>
      <c r="N84" s="2492"/>
      <c r="S84" s="2492"/>
      <c r="X84" s="2493"/>
      <c r="Y84" s="2493"/>
      <c r="Z84" s="2493"/>
    </row>
    <row r="85" spans="1:26" ht="13.5" thickBot="1">
      <c r="B85" s="2494">
        <v>102</v>
      </c>
      <c r="C85" s="2495">
        <v>103</v>
      </c>
      <c r="D85" s="2495">
        <f t="shared" si="202"/>
        <v>103</v>
      </c>
      <c r="E85" s="2495">
        <v>103</v>
      </c>
      <c r="F85" s="2496">
        <v>100</v>
      </c>
      <c r="I85" s="2484"/>
      <c r="J85" s="2484"/>
      <c r="K85" s="2484"/>
      <c r="L85" s="2484"/>
      <c r="N85" s="2485"/>
      <c r="O85" s="2484"/>
      <c r="P85" s="2484"/>
      <c r="Q85" s="2484"/>
      <c r="S85" s="2485"/>
      <c r="T85" s="2484"/>
      <c r="U85" s="2484"/>
      <c r="V85" s="2484"/>
      <c r="X85" s="2430"/>
      <c r="Y85" s="2430"/>
      <c r="Z85" s="2430"/>
    </row>
    <row r="87" spans="1:26" s="2498" customFormat="1">
      <c r="A87" s="2497" t="s">
        <v>1178</v>
      </c>
      <c r="G87" s="2499"/>
      <c r="N87" s="2499"/>
      <c r="S87" s="2499"/>
    </row>
    <row r="88" spans="1:26" s="2498" customFormat="1">
      <c r="A88" s="2498" t="s">
        <v>1179</v>
      </c>
      <c r="G88" s="2499"/>
      <c r="N88" s="2499"/>
      <c r="S88" s="2499"/>
    </row>
    <row r="89" spans="1:26" s="2498" customFormat="1">
      <c r="A89" s="2498" t="s">
        <v>1180</v>
      </c>
      <c r="G89" s="2499"/>
      <c r="I89" s="2500"/>
      <c r="J89" s="2500"/>
      <c r="K89" s="2500"/>
      <c r="L89" s="2500"/>
      <c r="N89" s="2501"/>
      <c r="O89" s="2500"/>
      <c r="P89" s="2500"/>
      <c r="Q89" s="2500"/>
      <c r="S89" s="2501"/>
      <c r="T89" s="2500"/>
      <c r="U89" s="2500"/>
      <c r="V89" s="2500"/>
    </row>
    <row r="90" spans="1:26" s="2498" customFormat="1">
      <c r="A90" s="2498" t="s">
        <v>1181</v>
      </c>
      <c r="G90" s="2499"/>
      <c r="N90" s="2499"/>
      <c r="S90" s="2499"/>
    </row>
    <row r="97" spans="7:22" ht="13.5" thickBot="1"/>
    <row r="98" spans="7:22">
      <c r="G98" s="2399"/>
      <c r="S98" s="2502" t="s">
        <v>1182</v>
      </c>
      <c r="T98" s="2503" t="s">
        <v>1183</v>
      </c>
      <c r="U98" s="2503" t="s">
        <v>1184</v>
      </c>
      <c r="V98" s="2503" t="s">
        <v>1185</v>
      </c>
    </row>
    <row r="99" spans="7:22">
      <c r="G99" s="2399"/>
      <c r="N99" s="2429"/>
      <c r="O99" s="2430"/>
      <c r="P99" s="2430"/>
      <c r="Q99" s="2430"/>
      <c r="S99" s="2504">
        <v>2006</v>
      </c>
      <c r="T99" s="2505">
        <v>15.1</v>
      </c>
      <c r="U99" s="2505">
        <v>7.43</v>
      </c>
      <c r="V99" s="2505">
        <v>26.26</v>
      </c>
    </row>
    <row r="100" spans="7:22">
      <c r="G100" s="2399"/>
      <c r="N100" s="2429"/>
      <c r="O100" s="2430"/>
      <c r="P100" s="2430"/>
      <c r="Q100" s="2430"/>
      <c r="S100" s="2506">
        <v>2005</v>
      </c>
      <c r="T100" s="2507">
        <v>13.9</v>
      </c>
      <c r="U100" s="2507">
        <v>7.49</v>
      </c>
      <c r="V100" s="2507">
        <v>24.92</v>
      </c>
    </row>
    <row r="101" spans="7:22">
      <c r="G101" s="2399"/>
      <c r="N101" s="2429"/>
      <c r="O101" s="2430"/>
      <c r="P101" s="2430"/>
      <c r="Q101" s="2430"/>
      <c r="S101" s="2504">
        <v>2004</v>
      </c>
      <c r="T101" s="2505">
        <v>9.48</v>
      </c>
      <c r="U101" s="2505">
        <v>7.2</v>
      </c>
      <c r="V101" s="2505">
        <v>14.68</v>
      </c>
    </row>
    <row r="102" spans="7:22">
      <c r="G102" s="2399"/>
      <c r="N102" s="2429"/>
      <c r="O102" s="2430"/>
      <c r="P102" s="2430"/>
      <c r="Q102" s="2430"/>
      <c r="S102" s="2506">
        <v>2003</v>
      </c>
      <c r="T102" s="2507">
        <v>4.5</v>
      </c>
      <c r="U102" s="2507">
        <v>6.12</v>
      </c>
      <c r="V102" s="2507">
        <v>2.34</v>
      </c>
    </row>
    <row r="103" spans="7:22" ht="13.5" thickBot="1">
      <c r="G103" s="2399"/>
      <c r="N103" s="2429"/>
      <c r="O103" s="2430"/>
      <c r="P103" s="2430"/>
      <c r="Q103" s="2430"/>
      <c r="S103" s="2508">
        <v>2002</v>
      </c>
      <c r="T103" s="2509">
        <v>3.59</v>
      </c>
      <c r="U103" s="2509">
        <v>4.54</v>
      </c>
      <c r="V103" s="2509">
        <v>2.5499999999999998</v>
      </c>
    </row>
    <row r="104" spans="7:22">
      <c r="G104" s="2399"/>
      <c r="N104" s="2429"/>
      <c r="O104" s="2430"/>
      <c r="P104" s="2430"/>
      <c r="Q104" s="2430"/>
    </row>
    <row r="105" spans="7:22">
      <c r="G105" s="2399"/>
      <c r="N105" s="2429"/>
      <c r="O105" s="2430"/>
      <c r="P105" s="2430"/>
      <c r="Q105" s="2430"/>
    </row>
    <row r="106" spans="7:22">
      <c r="G106" s="2399"/>
      <c r="N106" s="2429"/>
      <c r="O106" s="2430"/>
      <c r="P106" s="2430"/>
      <c r="Q106" s="2430"/>
    </row>
    <row r="107" spans="7:22">
      <c r="G107" s="2399"/>
      <c r="N107" s="2429"/>
      <c r="O107" s="2430"/>
      <c r="P107" s="2430"/>
      <c r="Q107" s="2430"/>
    </row>
    <row r="108" spans="7:22">
      <c r="G108" s="2399"/>
      <c r="N108" s="2429"/>
      <c r="O108" s="2430"/>
      <c r="P108" s="2430"/>
      <c r="Q108" s="2430"/>
    </row>
    <row r="109" spans="7:22">
      <c r="G109" s="2399"/>
      <c r="N109" s="2429"/>
      <c r="O109" s="2430"/>
      <c r="P109" s="2430"/>
      <c r="Q109" s="2430"/>
    </row>
    <row r="110" spans="7:22">
      <c r="G110" s="2399"/>
      <c r="N110" s="2429"/>
      <c r="O110" s="2430"/>
      <c r="P110" s="2430"/>
      <c r="Q110" s="2430"/>
    </row>
    <row r="111" spans="7:22">
      <c r="G111" s="2399"/>
      <c r="N111" s="2429"/>
      <c r="O111" s="2430"/>
      <c r="P111" s="2430"/>
      <c r="Q111" s="2430"/>
    </row>
    <row r="112" spans="7:22">
      <c r="G112" s="2399"/>
      <c r="N112" s="2429"/>
      <c r="O112" s="2430"/>
      <c r="P112" s="2430"/>
      <c r="Q112" s="2430"/>
    </row>
    <row r="113" spans="7:19">
      <c r="G113" s="2399"/>
      <c r="N113" s="2429"/>
      <c r="O113" s="2430"/>
      <c r="P113" s="2430"/>
      <c r="Q113" s="2430"/>
    </row>
    <row r="114" spans="7:19">
      <c r="G114" s="2399"/>
      <c r="N114" s="2429"/>
      <c r="O114" s="2430"/>
      <c r="P114" s="2430"/>
      <c r="Q114" s="2430"/>
      <c r="S114" s="2399"/>
    </row>
    <row r="115" spans="7:19">
      <c r="G115" s="2399"/>
      <c r="N115" s="2429"/>
      <c r="O115" s="2430"/>
      <c r="P115" s="2430"/>
      <c r="Q115" s="2430"/>
      <c r="S115" s="2399"/>
    </row>
    <row r="116" spans="7:19">
      <c r="G116" s="2399"/>
      <c r="N116" s="2429"/>
      <c r="O116" s="2430"/>
      <c r="P116" s="2430"/>
      <c r="Q116" s="2430"/>
      <c r="S116" s="2399"/>
    </row>
    <row r="117" spans="7:19">
      <c r="G117" s="2399"/>
      <c r="N117" s="2429"/>
      <c r="O117" s="2430"/>
      <c r="P117" s="2430"/>
      <c r="Q117" s="2430"/>
      <c r="S117" s="2399"/>
    </row>
    <row r="118" spans="7:19">
      <c r="G118" s="2399"/>
      <c r="N118" s="2429"/>
      <c r="O118" s="2430"/>
      <c r="P118" s="2430"/>
      <c r="Q118" s="2430"/>
      <c r="S118" s="2399"/>
    </row>
    <row r="119" spans="7:19">
      <c r="G119" s="2399"/>
      <c r="N119" s="2429"/>
      <c r="O119" s="2430"/>
      <c r="P119" s="2430"/>
      <c r="Q119" s="2430"/>
      <c r="S119" s="239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28697</v>
      </c>
      <c r="C2" s="2" t="s">
        <v>133</v>
      </c>
      <c r="D2" s="205"/>
      <c r="E2" s="205"/>
      <c r="F2" s="205"/>
      <c r="G2" s="205"/>
    </row>
    <row r="3" spans="1:7" s="206" customFormat="1" ht="18" customHeight="1" thickBot="1">
      <c r="A3" s="209" t="s">
        <v>85</v>
      </c>
      <c r="B3" s="210">
        <f ca="1">ROUND(B2*10000/'数据-汇总表'!E3,0)</f>
        <v>287312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20</v>
      </c>
      <c r="D10" s="948">
        <f>'数据-汇总表'!E6</f>
        <v>998.81000000000006</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20</v>
      </c>
      <c r="D19" s="952">
        <f>'数据-汇总表'!E3</f>
        <v>998.81000000000006</v>
      </c>
      <c r="E19" s="217">
        <f>'数据-取费表'!B31</f>
        <v>200</v>
      </c>
      <c r="F19" s="237"/>
      <c r="G19" s="1" t="s">
        <v>1042</v>
      </c>
    </row>
    <row r="20" spans="1:7" s="220" customFormat="1" ht="13.5" customHeight="1">
      <c r="A20" s="879" t="s">
        <v>1025</v>
      </c>
      <c r="B20" s="216" t="s">
        <v>104</v>
      </c>
      <c r="C20" s="238">
        <f>ROUND((C5+C19)*F20,0)</f>
        <v>413</v>
      </c>
      <c r="D20" s="238"/>
      <c r="E20" s="238"/>
      <c r="F20" s="239">
        <f>'数据-取费表'!B37</f>
        <v>0.02</v>
      </c>
      <c r="G20" s="1191"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6">
        <f ca="1">ROUND(SUM(C23:C25),0)</f>
        <v>1852</v>
      </c>
      <c r="D22" s="241">
        <f ca="1">C26</f>
        <v>8.9999999999999998E-4</v>
      </c>
      <c r="E22" s="242" t="s">
        <v>126</v>
      </c>
      <c r="F22" s="243">
        <f ca="1">'数据-取费表'!B40</f>
        <v>4.3499999999999997E-2</v>
      </c>
      <c r="G22" s="1191" t="str">
        <f>IF('数据-取费表'!B22&lt;=1,"单利计息","复利计息")</f>
        <v>复利计息</v>
      </c>
    </row>
    <row r="23" spans="1:7" s="220" customFormat="1" ht="13.5" customHeight="1">
      <c r="A23" s="882" t="s">
        <v>794</v>
      </c>
      <c r="B23" s="221" t="s">
        <v>1029</v>
      </c>
      <c r="C23" s="1257">
        <f ca="1">ROUND(IF('数据-取费表'!B22&lt;=1,C5*F22*'数据-取费表'!B23,C5*(POWER((1+F22),'数据-取费表'!B23)-1)),0)</f>
        <v>1832</v>
      </c>
      <c r="D23" s="244"/>
      <c r="E23" s="244"/>
      <c r="F23" s="245"/>
      <c r="G23" s="246" t="s">
        <v>108</v>
      </c>
    </row>
    <row r="24" spans="1:7" s="220" customFormat="1" ht="13.5" customHeight="1">
      <c r="A24" s="882" t="s">
        <v>792</v>
      </c>
      <c r="B24" s="221" t="s">
        <v>1024</v>
      </c>
      <c r="C24" s="1257">
        <f ca="1">ROUND(IF('数据-取费表'!B22&lt;=1,C19*F22*('数据-取费表'!B19/2+'数据-取费表'!B21),C19*(POWER((1+F22),('数据-取费表'!B19/2+'数据-取费表'!B21))-1)),0)</f>
        <v>2</v>
      </c>
      <c r="D24" s="244"/>
      <c r="E24" s="244"/>
      <c r="F24" s="245"/>
      <c r="G24" s="246" t="s">
        <v>109</v>
      </c>
    </row>
    <row r="25" spans="1:7" s="220" customFormat="1" ht="24">
      <c r="A25" s="882" t="s">
        <v>793</v>
      </c>
      <c r="B25" s="221" t="s">
        <v>1026</v>
      </c>
      <c r="C25" s="1257">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3156</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3156</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28231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393</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350</v>
      </c>
      <c r="D34" s="223"/>
      <c r="E34" s="226"/>
      <c r="F34" s="263">
        <f>IF('数据-取费表'!B24=0,1,'数据-取费表'!N16)</f>
        <v>1</v>
      </c>
      <c r="G34" s="225" t="s">
        <v>116</v>
      </c>
    </row>
    <row r="35" spans="1:7" ht="13.5" customHeight="1">
      <c r="A35" s="882" t="s">
        <v>796</v>
      </c>
      <c r="B35" s="221" t="s">
        <v>60</v>
      </c>
      <c r="C35" s="226">
        <f>ROUND(C34*F35,0)</f>
        <v>18</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20</v>
      </c>
      <c r="D37" s="223">
        <f>'数据-汇总表'!E3</f>
        <v>998.81000000000006</v>
      </c>
      <c r="E37" s="255">
        <f>'数据-取费表'!B35</f>
        <v>200</v>
      </c>
      <c r="F37" s="265"/>
      <c r="G37" s="267" t="s">
        <v>119</v>
      </c>
    </row>
    <row r="38" spans="1:7" ht="13.5" customHeight="1">
      <c r="A38" s="882" t="s">
        <v>799</v>
      </c>
      <c r="B38" s="221" t="s">
        <v>63</v>
      </c>
      <c r="C38" s="226">
        <f>ROUND(C34*F38,0)</f>
        <v>5</v>
      </c>
      <c r="D38" s="226"/>
      <c r="E38" s="226"/>
      <c r="F38" s="265">
        <f>'数据-取费表'!B36</f>
        <v>1.4999999999999999E-2</v>
      </c>
      <c r="G38" s="225" t="s">
        <v>117</v>
      </c>
    </row>
    <row r="39" spans="1:7" s="220" customFormat="1" ht="13.5" customHeight="1">
      <c r="A39" s="879" t="s">
        <v>783</v>
      </c>
      <c r="B39" s="216" t="s">
        <v>104</v>
      </c>
      <c r="C39" s="238">
        <f>ROUND(C33*F20,0)</f>
        <v>8</v>
      </c>
      <c r="D39" s="238"/>
      <c r="E39" s="238"/>
      <c r="F39" s="239"/>
      <c r="G39" s="1191"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17</v>
      </c>
      <c r="D41" s="241">
        <f ca="1">C44</f>
        <v>8.9999999999999998E-4</v>
      </c>
      <c r="E41" s="242" t="s">
        <v>129</v>
      </c>
      <c r="F41" s="243"/>
      <c r="G41" s="1191" t="str">
        <f>IF('数据-取费表'!B22&lt;=1,"单利计息","复利计息")</f>
        <v>复利计息</v>
      </c>
    </row>
    <row r="42" spans="1:7" ht="13.5" customHeight="1">
      <c r="A42" s="882" t="s">
        <v>794</v>
      </c>
      <c r="B42" s="221" t="s">
        <v>1029</v>
      </c>
      <c r="C42" s="244">
        <f ca="1">ROUND(IF('数据-取费表'!B22&lt;=1,C33*F22*'数据-取费表'!B21/2,C33*(POWER((1+F22),'数据-取费表'!B21/2)-1)),0)</f>
        <v>17</v>
      </c>
      <c r="D42" s="244"/>
      <c r="E42" s="244"/>
      <c r="F42" s="245"/>
      <c r="G42" s="3455" t="s">
        <v>121</v>
      </c>
    </row>
    <row r="43" spans="1:7" ht="13.5" customHeight="1">
      <c r="A43" s="882" t="s">
        <v>792</v>
      </c>
      <c r="B43" s="221" t="s">
        <v>1032</v>
      </c>
      <c r="C43" s="244">
        <f ca="1">ROUND(IF('数据-取费表'!B22&lt;=1,C39*F22*'数据-取费表'!B21/2,C39*(POWER((1+F22),'数据-取费表'!B21/2)-1)),0)</f>
        <v>0</v>
      </c>
      <c r="D43" s="244"/>
      <c r="E43" s="244"/>
      <c r="F43" s="245"/>
      <c r="G43" s="3456"/>
    </row>
    <row r="44" spans="1:7" ht="13.5" customHeight="1">
      <c r="A44" s="882" t="s">
        <v>793</v>
      </c>
      <c r="B44" s="221" t="s">
        <v>1034</v>
      </c>
      <c r="C44" s="244">
        <f ca="1">ROUND(IF('数据-取费表'!B22&lt;=1,C40*F22*'数据-取费表'!B21/2,C40*(POWER((1+F22),'数据-取费表'!B21/2)-1)),4)</f>
        <v>8.9999999999999998E-4</v>
      </c>
      <c r="D44" s="244"/>
      <c r="E44" s="244"/>
      <c r="F44" s="245"/>
      <c r="G44" s="3457"/>
    </row>
    <row r="45" spans="1:7" s="220" customFormat="1" ht="13.5" customHeight="1">
      <c r="A45" s="879" t="s">
        <v>786</v>
      </c>
      <c r="B45" s="250" t="s">
        <v>112</v>
      </c>
      <c r="C45" s="251">
        <f>C46</f>
        <v>60</v>
      </c>
      <c r="D45" s="241">
        <f>C47</f>
        <v>3.0000000000000001E-3</v>
      </c>
      <c r="E45" s="242" t="s">
        <v>129</v>
      </c>
      <c r="F45" s="252"/>
      <c r="G45" s="253" t="s">
        <v>1040</v>
      </c>
    </row>
    <row r="46" spans="1:7" s="220" customFormat="1" ht="13.5" customHeight="1">
      <c r="A46" s="882" t="s">
        <v>794</v>
      </c>
      <c r="B46" s="254" t="s">
        <v>1033</v>
      </c>
      <c r="C46" s="255">
        <f>ROUND((C33+C39)*F27,0)</f>
        <v>60</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518</v>
      </c>
      <c r="D49" s="238"/>
      <c r="E49" s="238"/>
      <c r="F49" s="270"/>
      <c r="G49" s="240" t="s">
        <v>1041</v>
      </c>
    </row>
    <row r="50" spans="1:7" s="264" customFormat="1" ht="24">
      <c r="A50" s="879" t="s">
        <v>789</v>
      </c>
      <c r="B50" s="216" t="s">
        <v>124</v>
      </c>
      <c r="C50" s="238"/>
      <c r="D50" s="238"/>
      <c r="E50" s="238"/>
      <c r="F50" s="270">
        <f>IF('数据-取费表'!B24=0,'数据-取费表'!N16,1)</f>
        <v>0.9</v>
      </c>
      <c r="G50" s="253" t="s">
        <v>125</v>
      </c>
    </row>
    <row r="51" spans="1:7" ht="16.5" customHeight="1">
      <c r="A51" s="879" t="s">
        <v>790</v>
      </c>
      <c r="B51" s="216" t="s">
        <v>132</v>
      </c>
      <c r="C51" s="238">
        <f ca="1">ROUND(C49*F50,0)</f>
        <v>466</v>
      </c>
      <c r="D51" s="238"/>
      <c r="E51" s="238"/>
      <c r="F51" s="270"/>
      <c r="G51" s="240" t="s">
        <v>64</v>
      </c>
    </row>
    <row r="52" spans="1:7" s="214" customFormat="1" ht="16.5" thickBot="1">
      <c r="A52" s="271" t="s">
        <v>65</v>
      </c>
      <c r="B52" s="272"/>
      <c r="C52" s="273">
        <f ca="1">C31+C51</f>
        <v>28697</v>
      </c>
      <c r="D52" s="272"/>
      <c r="E52" s="272"/>
      <c r="F52" s="272"/>
      <c r="G52" s="274"/>
    </row>
    <row r="55" spans="1:7" ht="15">
      <c r="B55" s="276" t="s">
        <v>66</v>
      </c>
      <c r="C55" s="277"/>
    </row>
    <row r="56" spans="1:7">
      <c r="B56" s="279" t="s">
        <v>67</v>
      </c>
      <c r="C56" s="280">
        <f ca="1">ROUND(C51/C52,3)</f>
        <v>1.6E-2</v>
      </c>
    </row>
    <row r="57" spans="1:7">
      <c r="B57" s="279" t="s">
        <v>68</v>
      </c>
      <c r="C57" s="281">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533" t="s">
        <v>156</v>
      </c>
      <c r="B1" s="3533"/>
      <c r="C1" s="3533"/>
      <c r="D1" s="3533"/>
      <c r="E1" s="3533"/>
      <c r="F1" s="3533"/>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534" t="s">
        <v>169</v>
      </c>
      <c r="B2" s="3534"/>
      <c r="C2" s="3534"/>
      <c r="D2" s="3534"/>
      <c r="E2" s="3534"/>
      <c r="F2" s="3534"/>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35"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536"/>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533" t="s">
        <v>839</v>
      </c>
      <c r="B1" s="3533"/>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1267</v>
      </c>
      <c r="C1" s="1455">
        <f>项目基本情况!D3</f>
        <v>44523</v>
      </c>
      <c r="D1" s="1461" t="s">
        <v>1268</v>
      </c>
      <c r="E1" s="1456">
        <f>'数据-取费表'!B22</f>
        <v>2</v>
      </c>
      <c r="F1" s="1461" t="s">
        <v>1269</v>
      </c>
      <c r="G1" s="1457">
        <f ca="1">INDIRECT("d"&amp;$K$1)/100</f>
        <v>3.85E-2</v>
      </c>
      <c r="H1" s="1461" t="s">
        <v>1299</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3039">
        <v>43941</v>
      </c>
      <c r="D13" s="3040">
        <v>3.85</v>
      </c>
      <c r="E13" s="3040">
        <v>3.85</v>
      </c>
      <c r="F13" s="3040">
        <v>3.85</v>
      </c>
      <c r="G13" s="3040">
        <v>3.85</v>
      </c>
      <c r="H13" s="3040">
        <v>4.6500000000000004</v>
      </c>
      <c r="I13" s="1445"/>
      <c r="J13" s="1445"/>
      <c r="K13" s="1443"/>
      <c r="L13" s="1444" t="s">
        <v>1297</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35"/>
      <c r="C14" s="3036">
        <v>43881</v>
      </c>
      <c r="D14" s="3035">
        <v>4.05</v>
      </c>
      <c r="E14" s="3035">
        <v>4.05</v>
      </c>
      <c r="F14" s="3035">
        <v>4.05</v>
      </c>
      <c r="G14" s="3035">
        <v>4.05</v>
      </c>
      <c r="H14" s="3035">
        <v>4.75</v>
      </c>
      <c r="I14" s="3035"/>
      <c r="J14" s="3035"/>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35"/>
      <c r="C15" s="3036">
        <v>43789</v>
      </c>
      <c r="D15" s="3035">
        <v>4.1500000000000004</v>
      </c>
      <c r="E15" s="3035">
        <v>4.1500000000000004</v>
      </c>
      <c r="F15" s="3035">
        <v>4.1500000000000004</v>
      </c>
      <c r="G15" s="3035">
        <v>4.1500000000000004</v>
      </c>
      <c r="H15" s="3035">
        <v>4.8</v>
      </c>
      <c r="I15" s="3035"/>
      <c r="J15" s="3035"/>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35"/>
      <c r="C16" s="3036">
        <v>43728</v>
      </c>
      <c r="D16" s="3035">
        <v>4.2</v>
      </c>
      <c r="E16" s="3035">
        <v>4.2</v>
      </c>
      <c r="F16" s="3035">
        <v>4.2</v>
      </c>
      <c r="G16" s="3035">
        <v>4.2</v>
      </c>
      <c r="H16" s="3035">
        <v>4.8499999999999996</v>
      </c>
      <c r="I16" s="3035"/>
      <c r="J16" s="3035"/>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34" t="s">
        <v>3048</v>
      </c>
      <c r="C17" s="3037">
        <v>43697</v>
      </c>
      <c r="D17" s="3038">
        <v>4.25</v>
      </c>
      <c r="E17" s="3038">
        <v>4.25</v>
      </c>
      <c r="F17" s="3038">
        <v>4.25</v>
      </c>
      <c r="G17" s="3038">
        <v>4.25</v>
      </c>
      <c r="H17" s="3038">
        <v>4.8499999999999996</v>
      </c>
      <c r="I17" s="3038"/>
      <c r="J17" s="3038"/>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37"/>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1298</v>
      </c>
      <c r="Y42" s="1449" t="s">
        <v>1298</v>
      </c>
      <c r="Z42" s="1449" t="s">
        <v>1298</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1298</v>
      </c>
      <c r="Y43" s="1449" t="s">
        <v>1298</v>
      </c>
      <c r="Z43" s="1449" t="s">
        <v>1298</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1298</v>
      </c>
      <c r="Y44" s="1449" t="s">
        <v>1298</v>
      </c>
      <c r="Z44" s="1449" t="s">
        <v>1298</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1298</v>
      </c>
      <c r="Y45" s="1449" t="s">
        <v>1298</v>
      </c>
      <c r="Z45" s="1449" t="s">
        <v>1298</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1298</v>
      </c>
      <c r="Y46" s="1449" t="s">
        <v>1298</v>
      </c>
      <c r="Z46" s="1449" t="s">
        <v>1298</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1298</v>
      </c>
      <c r="Y47" s="1449" t="s">
        <v>1298</v>
      </c>
      <c r="Z47" s="1449" t="s">
        <v>1298</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1298</v>
      </c>
      <c r="Y48" s="1449" t="s">
        <v>1298</v>
      </c>
      <c r="Z48" s="1449" t="s">
        <v>1298</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1298</v>
      </c>
      <c r="Y49" s="1449" t="s">
        <v>1298</v>
      </c>
      <c r="Z49" s="1449" t="s">
        <v>1298</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1298</v>
      </c>
      <c r="Y50" s="1449" t="s">
        <v>1298</v>
      </c>
      <c r="Z50" s="1449" t="s">
        <v>1298</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1298</v>
      </c>
      <c r="V51" s="1449" t="s">
        <v>1298</v>
      </c>
      <c r="W51" s="1449" t="s">
        <v>1298</v>
      </c>
      <c r="X51" s="1449" t="s">
        <v>1298</v>
      </c>
      <c r="Y51" s="1449" t="s">
        <v>1298</v>
      </c>
      <c r="Z51" s="1449" t="s">
        <v>1298</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1298</v>
      </c>
      <c r="J60" s="1449" t="s">
        <v>1298</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3314</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3127"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3315</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3127"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3316</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3127"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1606</v>
      </c>
      <c r="B2" s="3209" t="s">
        <v>1607</v>
      </c>
      <c r="C2" s="3209" t="s">
        <v>1608</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10"/>
      <c r="B3" s="3210"/>
      <c r="C3" s="3210"/>
      <c r="D3" s="957" t="s">
        <v>1603</v>
      </c>
      <c r="E3" s="957" t="s">
        <v>1609</v>
      </c>
      <c r="F3" s="957" t="s">
        <v>1603</v>
      </c>
      <c r="G3" s="957" t="s">
        <v>1604</v>
      </c>
      <c r="H3" s="957" t="s">
        <v>1603</v>
      </c>
      <c r="I3" s="957" t="s">
        <v>1604</v>
      </c>
    </row>
    <row r="4" spans="1:9" ht="30">
      <c r="A4" s="1680" t="str">
        <f>项目基本情况!S2</f>
        <v>北京市丰台区丰仪路1号院1号楼1至2层101房地产</v>
      </c>
      <c r="B4" s="957">
        <f>项目基本情况!C17</f>
        <v>998.81000000000006</v>
      </c>
      <c r="C4" s="957">
        <f>项目基本情况!C18</f>
        <v>0</v>
      </c>
      <c r="D4" s="957">
        <f ca="1">结果表!D118</f>
        <v>1931</v>
      </c>
      <c r="E4" s="957">
        <f ca="1">结果表!E118</f>
        <v>19333</v>
      </c>
      <c r="F4" s="957">
        <f ca="1">结果表!F118</f>
        <v>407</v>
      </c>
      <c r="G4" s="957">
        <f ca="1">结果表!G118</f>
        <v>4075</v>
      </c>
      <c r="H4" s="957">
        <f ca="1">结果表!H118</f>
        <v>2338</v>
      </c>
      <c r="I4" s="957">
        <f ca="1">结果表!I118</f>
        <v>23408</v>
      </c>
    </row>
    <row r="5" spans="1:9" ht="30" customHeight="1">
      <c r="A5" s="3210" t="s">
        <v>1605</v>
      </c>
      <c r="B5" s="3210"/>
      <c r="C5" s="3210"/>
      <c r="D5" s="3211" t="str">
        <f ca="1">结果表!D119</f>
        <v>壹仟玖佰叁拾壹万元整</v>
      </c>
      <c r="E5" s="3211"/>
      <c r="F5" s="3211" t="str">
        <f ca="1">结果表!F119</f>
        <v>肆佰零柒万元整</v>
      </c>
      <c r="G5" s="3211"/>
      <c r="H5" s="3211" t="str">
        <f ca="1">结果表!H119</f>
        <v>贰仟叁佰叁拾捌万元整</v>
      </c>
      <c r="I5" s="3211"/>
    </row>
    <row r="6" spans="1:9" ht="15.75">
      <c r="A6" s="3212" t="str">
        <f>结果表!A120</f>
        <v>估价师知悉的除抵押担保权以外的法定优先受偿款</v>
      </c>
      <c r="B6" s="3212"/>
      <c r="C6" s="3212"/>
      <c r="D6" s="3212">
        <f>结果表!D120</f>
        <v>0</v>
      </c>
      <c r="E6" s="3212"/>
      <c r="F6" s="3212"/>
      <c r="G6" s="3212"/>
      <c r="H6" s="3212"/>
      <c r="I6" s="3212"/>
    </row>
    <row r="7" spans="1:9" ht="15">
      <c r="A7" s="3210" t="s">
        <v>1605</v>
      </c>
      <c r="B7" s="3210"/>
      <c r="C7" s="3210"/>
      <c r="D7" s="3213" t="str">
        <f>结果表!D121</f>
        <v>零元整</v>
      </c>
      <c r="E7" s="3214"/>
      <c r="F7" s="3214"/>
      <c r="G7" s="3214"/>
      <c r="H7" s="3214"/>
      <c r="I7" s="3215"/>
    </row>
    <row r="8" spans="1:9" ht="15.75">
      <c r="A8" s="3212" t="str">
        <f>结果表!A122</f>
        <v/>
      </c>
      <c r="B8" s="3212"/>
      <c r="C8" s="3212"/>
      <c r="D8" s="3212" t="str">
        <f>结果表!D122</f>
        <v>——</v>
      </c>
      <c r="E8" s="3212"/>
      <c r="F8" s="3212"/>
      <c r="G8" s="3212"/>
      <c r="H8" s="3212"/>
      <c r="I8" s="3212"/>
    </row>
    <row r="9" spans="1:9" ht="15">
      <c r="A9" s="3210" t="s">
        <v>1605</v>
      </c>
      <c r="B9" s="3210"/>
      <c r="C9" s="3210"/>
      <c r="D9" s="3211" t="e">
        <f>结果表!D123</f>
        <v>#VALUE!</v>
      </c>
      <c r="E9" s="3211"/>
      <c r="F9" s="3211"/>
      <c r="G9" s="3211"/>
      <c r="H9" s="3211"/>
      <c r="I9" s="3211"/>
    </row>
    <row r="10" spans="1:9" ht="15.75">
      <c r="A10" s="3212" t="str">
        <f>结果表!A124</f>
        <v>抵押担保权已注销时的房地产抵押价值</v>
      </c>
      <c r="B10" s="3212"/>
      <c r="C10" s="3212"/>
      <c r="D10" s="3212">
        <f ca="1">结果表!D124</f>
        <v>2338</v>
      </c>
      <c r="E10" s="3212"/>
      <c r="F10" s="3212"/>
      <c r="G10" s="3212"/>
      <c r="H10" s="3212"/>
      <c r="I10" s="3212"/>
    </row>
    <row r="11" spans="1:9" ht="15">
      <c r="A11" s="3210" t="s">
        <v>1605</v>
      </c>
      <c r="B11" s="3210"/>
      <c r="C11" s="3210"/>
      <c r="D11" s="3211" t="str">
        <f ca="1">结果表!D125</f>
        <v>贰仟叁佰叁拾捌万元整</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1605</v>
      </c>
      <c r="B13" s="3216"/>
      <c r="C13" s="3216"/>
      <c r="D13" s="3217" t="e">
        <f>结果表!D127</f>
        <v>#VALUE!</v>
      </c>
      <c r="E13" s="3217"/>
      <c r="F13" s="3217"/>
      <c r="G13" s="3217"/>
      <c r="H13" s="3217"/>
      <c r="I13" s="3217"/>
    </row>
    <row r="14" spans="1:9" ht="15" thickTop="1">
      <c r="A14" s="3218" t="s">
        <v>1610</v>
      </c>
      <c r="B14" s="3218"/>
      <c r="C14" s="3218"/>
      <c r="D14" s="3218"/>
      <c r="E14" s="3218"/>
      <c r="F14" s="3218"/>
      <c r="G14" s="3218"/>
      <c r="H14" s="3218"/>
      <c r="I14" s="3218"/>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3316</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75" t="s">
        <v>1368</v>
      </c>
      <c r="C6" s="1198" t="e">
        <f ca="1">ROUND(F6*F8*F7*(1-F9)/10000,0)</f>
        <v>#N/A</v>
      </c>
      <c r="D6" s="160" t="s">
        <v>2842</v>
      </c>
      <c r="E6" s="308" t="s">
        <v>1370</v>
      </c>
      <c r="F6" s="309" t="e">
        <f ca="1">INDIRECT("'数据-取费表'!u"&amp;$G$1)</f>
        <v>#N/A</v>
      </c>
      <c r="G6" s="1558"/>
      <c r="H6" s="1193" t="s">
        <v>1003</v>
      </c>
      <c r="I6" s="3475" t="s">
        <v>1368</v>
      </c>
      <c r="J6" s="307" t="e">
        <f ca="1">ROUND(M6*M8*M7*(1-M9)/10000,0)</f>
        <v>#N/A</v>
      </c>
      <c r="K6" s="160" t="s">
        <v>2841</v>
      </c>
      <c r="L6" s="308" t="s">
        <v>1370</v>
      </c>
      <c r="M6" s="309" t="e">
        <f ca="1">INDIRECT("'数据-取费表'!z"&amp;$G$1)</f>
        <v>#N/A</v>
      </c>
    </row>
    <row r="7" spans="1:37" ht="18" customHeight="1">
      <c r="A7" s="1197"/>
      <c r="B7" s="3476"/>
      <c r="C7" s="1199"/>
      <c r="D7" s="313"/>
      <c r="E7" s="3127" t="s">
        <v>1371</v>
      </c>
      <c r="F7" s="309" t="e">
        <f ca="1">IF(INDIRECT("'数据-取费表'!ah"&amp;$G$1)="",INDIRECT("'数据-取费表'!k"&amp;$G$1),INDIRECT("'数据-取费表'!ah"&amp;$G$1))</f>
        <v>#N/A</v>
      </c>
      <c r="G7" s="1558"/>
      <c r="H7" s="310"/>
      <c r="I7" s="3476"/>
      <c r="J7" s="312"/>
      <c r="K7" s="313"/>
      <c r="L7" s="308" t="s">
        <v>1371</v>
      </c>
      <c r="M7" s="309" t="e">
        <f ca="1">F7</f>
        <v>#N/A</v>
      </c>
    </row>
    <row r="8" spans="1:37" ht="18" customHeight="1">
      <c r="A8" s="310"/>
      <c r="B8" s="3476"/>
      <c r="C8" s="312"/>
      <c r="D8" s="313"/>
      <c r="E8" s="308" t="s">
        <v>1372</v>
      </c>
      <c r="F8" s="309" t="e">
        <f ca="1">INDIRECT("'数据-取费表'!ai"&amp;$G$1)</f>
        <v>#N/A</v>
      </c>
      <c r="G8" s="1558"/>
      <c r="H8" s="310"/>
      <c r="I8" s="3476"/>
      <c r="J8" s="312"/>
      <c r="K8" s="313"/>
      <c r="L8" s="308" t="s">
        <v>1372</v>
      </c>
      <c r="M8" s="309" t="e">
        <f ca="1">INDIRECT("'数据-取费表'!ai"&amp;$G$1)</f>
        <v>#N/A</v>
      </c>
    </row>
    <row r="9" spans="1:37" ht="18" customHeight="1">
      <c r="A9" s="310"/>
      <c r="B9" s="3477"/>
      <c r="C9" s="312"/>
      <c r="D9" s="313"/>
      <c r="E9" s="308" t="s">
        <v>1373</v>
      </c>
      <c r="F9" s="318" t="e">
        <f ca="1">INDIRECT("'数据-取费表'!w"&amp;$G$1)</f>
        <v>#N/A</v>
      </c>
      <c r="G9" s="1558"/>
      <c r="H9" s="310"/>
      <c r="I9" s="3477"/>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78" t="s">
        <v>1513</v>
      </c>
      <c r="L53" s="3479"/>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3447</v>
      </c>
      <c r="D1" s="1536" t="s">
        <v>70</v>
      </c>
      <c r="E1" s="1537" t="s">
        <v>1352</v>
      </c>
      <c r="F1" s="1185">
        <f ca="1">J53</f>
        <v>32</v>
      </c>
      <c r="G1" s="1552">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f ca="1">C40+J29+L46</f>
        <v>583</v>
      </c>
      <c r="C2" s="1561" t="s">
        <v>1481</v>
      </c>
      <c r="D2" s="1561"/>
      <c r="E2" s="1562"/>
      <c r="F2" s="1563"/>
      <c r="G2" s="2922"/>
      <c r="H2" s="2911"/>
      <c r="I2" s="2911"/>
      <c r="J2" s="2911"/>
      <c r="K2" s="2912"/>
      <c r="L2" s="2911"/>
      <c r="M2" s="2911"/>
    </row>
    <row r="3" spans="1:37" ht="18" customHeight="1" thickBot="1">
      <c r="A3" s="1564" t="s">
        <v>1482</v>
      </c>
      <c r="B3" s="1565">
        <f ca="1">IF(ISERROR(B2*10000/F43),0,ROUND(B2*10000/F43,0))</f>
        <v>16314</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f ca="1">C6+C10+C12</f>
        <v>40</v>
      </c>
      <c r="D5" s="1538" t="s">
        <v>1367</v>
      </c>
      <c r="E5" s="1195"/>
      <c r="F5" s="1196"/>
      <c r="G5" s="1558"/>
      <c r="H5" s="305">
        <v>1</v>
      </c>
      <c r="I5" s="306" t="s">
        <v>1366</v>
      </c>
      <c r="J5" s="1194">
        <f ca="1">J6+J10+J12</f>
        <v>0</v>
      </c>
      <c r="K5" s="1538" t="s">
        <v>1367</v>
      </c>
      <c r="L5" s="1195"/>
      <c r="M5" s="1196"/>
    </row>
    <row r="6" spans="1:37" ht="18" customHeight="1">
      <c r="A6" s="1193" t="s">
        <v>1003</v>
      </c>
      <c r="B6" s="3475" t="s">
        <v>1368</v>
      </c>
      <c r="C6" s="1198">
        <f ca="1">ROUND(F6*F8*F7*(1-F9)/10000,0)</f>
        <v>40</v>
      </c>
      <c r="D6" s="160" t="s">
        <v>2842</v>
      </c>
      <c r="E6" s="308" t="s">
        <v>1370</v>
      </c>
      <c r="F6" s="309">
        <f ca="1">INDIRECT("'数据-取费表'!u"&amp;$G$1)</f>
        <v>3.4</v>
      </c>
      <c r="G6" s="1558"/>
      <c r="H6" s="1193" t="s">
        <v>1003</v>
      </c>
      <c r="I6" s="3475" t="s">
        <v>1368</v>
      </c>
      <c r="J6" s="307">
        <f ca="1">ROUND(M6*M8*M7*(1-M9)/10000,0)</f>
        <v>0</v>
      </c>
      <c r="K6" s="160" t="s">
        <v>2841</v>
      </c>
      <c r="L6" s="308" t="s">
        <v>1370</v>
      </c>
      <c r="M6" s="309">
        <f ca="1">INDIRECT("'数据-取费表'!z"&amp;$G$1)</f>
        <v>0</v>
      </c>
    </row>
    <row r="7" spans="1:37" ht="18" customHeight="1">
      <c r="A7" s="1197"/>
      <c r="B7" s="3476"/>
      <c r="C7" s="1199"/>
      <c r="D7" s="313"/>
      <c r="E7" s="3127" t="s">
        <v>1371</v>
      </c>
      <c r="F7" s="309">
        <f ca="1">IF(INDIRECT("'数据-取费表'!ah"&amp;$G$1)="",INDIRECT("'数据-取费表'!k"&amp;$G$1),INDIRECT("'数据-取费表'!ah"&amp;$G$1))</f>
        <v>357.37</v>
      </c>
      <c r="G7" s="1558"/>
      <c r="H7" s="310"/>
      <c r="I7" s="3476"/>
      <c r="J7" s="312"/>
      <c r="K7" s="313"/>
      <c r="L7" s="308" t="s">
        <v>1371</v>
      </c>
      <c r="M7" s="309">
        <f ca="1">F7</f>
        <v>357.37</v>
      </c>
    </row>
    <row r="8" spans="1:37" ht="18" customHeight="1">
      <c r="A8" s="310"/>
      <c r="B8" s="3476"/>
      <c r="C8" s="312"/>
      <c r="D8" s="313"/>
      <c r="E8" s="308" t="s">
        <v>1372</v>
      </c>
      <c r="F8" s="309">
        <f ca="1">INDIRECT("'数据-取费表'!ai"&amp;$G$1)</f>
        <v>365</v>
      </c>
      <c r="G8" s="1558"/>
      <c r="H8" s="310"/>
      <c r="I8" s="3476"/>
      <c r="J8" s="312"/>
      <c r="K8" s="313"/>
      <c r="L8" s="308" t="s">
        <v>1372</v>
      </c>
      <c r="M8" s="309">
        <f ca="1">INDIRECT("'数据-取费表'!ai"&amp;$G$1)</f>
        <v>365</v>
      </c>
    </row>
    <row r="9" spans="1:37" ht="18" customHeight="1">
      <c r="A9" s="310"/>
      <c r="B9" s="3477"/>
      <c r="C9" s="312"/>
      <c r="D9" s="313"/>
      <c r="E9" s="308" t="s">
        <v>1373</v>
      </c>
      <c r="F9" s="318">
        <f ca="1">INDIRECT("'数据-取费表'!w"&amp;$G$1)</f>
        <v>0.1</v>
      </c>
      <c r="G9" s="1558"/>
      <c r="H9" s="310"/>
      <c r="I9" s="3477"/>
      <c r="J9" s="312"/>
      <c r="K9" s="313"/>
      <c r="L9" s="319" t="s">
        <v>1373</v>
      </c>
      <c r="M9" s="320">
        <f ca="1">INDIRECT("'数据-取费表'!ab"&amp;$G$1)</f>
        <v>0</v>
      </c>
    </row>
    <row r="10" spans="1:37" ht="18" customHeight="1">
      <c r="A10" s="1193" t="s">
        <v>1007</v>
      </c>
      <c r="B10" s="1539" t="s">
        <v>1374</v>
      </c>
      <c r="C10" s="322">
        <f ca="1">ROUND(IF(F10="押一",C6/12*F11,IF(F10="押二",C6/12*2*F11,IF(F10="押三",C6/12*3*F11,C11*F11))),0)</f>
        <v>0</v>
      </c>
      <c r="D10" s="1540" t="s">
        <v>2849</v>
      </c>
      <c r="E10" s="319" t="s">
        <v>1375</v>
      </c>
      <c r="F10" s="1268" t="s">
        <v>3275</v>
      </c>
      <c r="G10" s="1558"/>
      <c r="H10" s="1193" t="s">
        <v>1007</v>
      </c>
      <c r="I10" s="1539" t="s">
        <v>1374</v>
      </c>
      <c r="J10" s="307">
        <f ca="1">ROUND(IF(M10="押一",J6/12*M11,IF(M10="押二",J6/12*2*M11,IF(M10="押三",J6/12*3*M11,J11*M11))),0)</f>
        <v>0</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166</v>
      </c>
      <c r="D13" s="3124" t="s">
        <v>1380</v>
      </c>
      <c r="E13" s="3124" t="s">
        <v>1381</v>
      </c>
      <c r="F13" s="1234">
        <f ca="1">INDIRECT("'数据-取费表'!y"&amp;$G$1)</f>
        <v>0.9</v>
      </c>
      <c r="G13" s="1558"/>
      <c r="H13" s="1231">
        <v>2</v>
      </c>
      <c r="I13" s="1232" t="s">
        <v>1379</v>
      </c>
      <c r="J13" s="1192">
        <f ca="1">ROUND(J14*J15,0)</f>
        <v>0</v>
      </c>
      <c r="K13" s="1239" t="s">
        <v>1380</v>
      </c>
      <c r="L13" s="1566"/>
      <c r="M13" s="1567"/>
    </row>
    <row r="14" spans="1:37" ht="18" customHeight="1">
      <c r="A14" s="1106" t="s">
        <v>1002</v>
      </c>
      <c r="B14" s="308" t="s">
        <v>1382</v>
      </c>
      <c r="C14" s="324">
        <f ca="1">INDIRECT("'数据-取费表'!m"&amp;$G$1)+INDIRECT("'数据-取费表'!t"&amp;$G$1)</f>
        <v>125</v>
      </c>
      <c r="D14" s="3130" t="s">
        <v>1383</v>
      </c>
      <c r="E14" s="3129"/>
      <c r="F14" s="325"/>
      <c r="G14" s="1558"/>
      <c r="H14" s="1106" t="s">
        <v>1003</v>
      </c>
      <c r="I14" s="308" t="s">
        <v>1384</v>
      </c>
      <c r="J14" s="24">
        <f ca="1">C29</f>
        <v>184</v>
      </c>
      <c r="K14" s="3126"/>
      <c r="L14" s="910"/>
      <c r="M14" s="911"/>
    </row>
    <row r="15" spans="1:37" s="1571" customFormat="1" ht="18" customHeight="1" thickBot="1">
      <c r="A15" s="1106" t="s">
        <v>1004</v>
      </c>
      <c r="B15" s="308" t="s">
        <v>1385</v>
      </c>
      <c r="C15" s="24">
        <f ca="1">ROUND(C14*F15,0)</f>
        <v>6</v>
      </c>
      <c r="D15" s="3125" t="s">
        <v>1386</v>
      </c>
      <c r="E15" s="3125" t="s">
        <v>1387</v>
      </c>
      <c r="F15" s="327">
        <f>'数据-取费表'!B33</f>
        <v>0.05</v>
      </c>
      <c r="G15" s="1570"/>
      <c r="H15" s="1241" t="s">
        <v>1007</v>
      </c>
      <c r="I15" s="1242" t="s">
        <v>1381</v>
      </c>
      <c r="J15" s="1251">
        <f ca="1">INDIRECT("'数据-取费表'!ad"&amp;$G$1)</f>
        <v>0</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58"/>
      <c r="H16" s="1231" t="s">
        <v>998</v>
      </c>
      <c r="I16" s="1232" t="s">
        <v>1389</v>
      </c>
      <c r="J16" s="316">
        <f ca="1">ROUND(J17+J22+J23+J24,0)</f>
        <v>2</v>
      </c>
      <c r="K16" s="1239" t="s">
        <v>1390</v>
      </c>
      <c r="L16" s="3133"/>
      <c r="M16" s="1196"/>
    </row>
    <row r="17" spans="1:37" s="1571" customFormat="1" ht="18" customHeight="1">
      <c r="A17" s="1106" t="s">
        <v>1355</v>
      </c>
      <c r="B17" s="308" t="s">
        <v>1391</v>
      </c>
      <c r="C17" s="24">
        <f ca="1">ROUND(F17*(F43+INDIRECT("'数据-取费表'!S"&amp;$G$1))/10000,0)</f>
        <v>7</v>
      </c>
      <c r="D17" s="308" t="s">
        <v>1392</v>
      </c>
      <c r="E17" s="308" t="s">
        <v>1393</v>
      </c>
      <c r="F17" s="26">
        <f>'数据-取费表'!B35</f>
        <v>200</v>
      </c>
      <c r="G17" s="1570"/>
      <c r="H17" s="1106" t="s">
        <v>1003</v>
      </c>
      <c r="I17" s="308" t="s">
        <v>1394</v>
      </c>
      <c r="J17" s="2523">
        <f ca="1">ROUND(IF(AND(项目基本情况!B11="自然人",项目基本情况!B10="北京市"),J6*M17/(1+'数据-取费表'!C42),J18+J19+J20),0)</f>
        <v>0</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2</v>
      </c>
      <c r="D18" s="308" t="s">
        <v>1386</v>
      </c>
      <c r="E18" s="308" t="s">
        <v>1387</v>
      </c>
      <c r="F18" s="328">
        <f>'数据-取费表'!B36</f>
        <v>1.4999999999999999E-2</v>
      </c>
      <c r="G18" s="1570"/>
      <c r="H18" s="1106" t="s">
        <v>1002</v>
      </c>
      <c r="I18" s="308" t="s">
        <v>1398</v>
      </c>
      <c r="J18" s="24">
        <f ca="1">ROUND(J6*M18/(1+'数据-取费表'!C42),2)</f>
        <v>0</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140</v>
      </c>
      <c r="D19" s="136" t="s">
        <v>1401</v>
      </c>
      <c r="E19" s="3135"/>
      <c r="F19" s="26"/>
      <c r="G19" s="1558"/>
      <c r="H19" s="1106" t="s">
        <v>1004</v>
      </c>
      <c r="I19" s="308" t="s">
        <v>1402</v>
      </c>
      <c r="J19" s="24">
        <f ca="1">IF(K19="按租金收入计税",ROUND(J6*M19/(1+'数据-取费表'!C42),2),ROUND(C29*M19*0.7,2))</f>
        <v>0</v>
      </c>
      <c r="K19" s="1544" t="s">
        <v>3276</v>
      </c>
      <c r="L19" s="308" t="s">
        <v>1387</v>
      </c>
      <c r="M19" s="328">
        <f>IF(K19="按租金收入计税",'数据-取费表'!B51,'数据-取费表'!B50)</f>
        <v>0.12</v>
      </c>
    </row>
    <row r="20" spans="1:37" s="1571" customFormat="1" ht="18" customHeight="1">
      <c r="A20" s="1106" t="s">
        <v>1007</v>
      </c>
      <c r="B20" s="308" t="s">
        <v>1404</v>
      </c>
      <c r="C20" s="24">
        <f ca="1">ROUND(C19*F20,0)</f>
        <v>3</v>
      </c>
      <c r="D20" s="329" t="s">
        <v>1405</v>
      </c>
      <c r="E20" s="308" t="s">
        <v>1387</v>
      </c>
      <c r="F20" s="328">
        <f>'数据-取费表'!B37</f>
        <v>0.02</v>
      </c>
      <c r="G20" s="1570"/>
      <c r="H20" s="1106" t="s">
        <v>1354</v>
      </c>
      <c r="I20" s="160" t="s">
        <v>1406</v>
      </c>
      <c r="J20" s="25">
        <f ca="1">ROUND(M20*M21/10000,2)</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f ca="1">ROUND(J14*M22,1)</f>
        <v>1.8</v>
      </c>
      <c r="K22" s="3132" t="s">
        <v>1415</v>
      </c>
      <c r="L22" s="308" t="s">
        <v>1387</v>
      </c>
      <c r="M22" s="334">
        <f ca="1">INDIRECT("'数据-取费表'!Ak"&amp;$G$1)</f>
        <v>0.01</v>
      </c>
    </row>
    <row r="23" spans="1:37" s="1571" customFormat="1" ht="18" customHeight="1">
      <c r="A23" s="1106" t="s">
        <v>1002</v>
      </c>
      <c r="B23" s="308" t="s">
        <v>1416</v>
      </c>
      <c r="C23" s="24">
        <f ca="1">IF('数据-取费表'!B22&lt;=1,ROUND(C19*F24*F23/2,0)+ROUND(C20*F24*F23/2,0),ROUND(C19*(POWER((1+F24),F23/2)-1),0)+ROUND(C20*(POWER((1+F24),F23/2)-1),0))</f>
        <v>6</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ROUND(J13*M23,1)</f>
        <v>0</v>
      </c>
      <c r="K23" s="3132" t="s">
        <v>1419</v>
      </c>
      <c r="L23" s="308" t="s">
        <v>1387</v>
      </c>
      <c r="M23" s="336">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f ca="1">ROUND(J5*M24,1)</f>
        <v>0</v>
      </c>
      <c r="K24" s="1244" t="s">
        <v>1424</v>
      </c>
      <c r="L24" s="1242" t="s">
        <v>1387</v>
      </c>
      <c r="M24" s="1238">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f ca="1">J5-J16</f>
        <v>-2</v>
      </c>
      <c r="K25" s="1247" t="s">
        <v>1429</v>
      </c>
      <c r="L25" s="1248"/>
      <c r="M25" s="1249"/>
    </row>
    <row r="26" spans="1:37">
      <c r="A26" s="1106" t="s">
        <v>1002</v>
      </c>
      <c r="B26" s="308" t="s">
        <v>1430</v>
      </c>
      <c r="C26" s="24">
        <f ca="1">ROUND((C19+C20)*F26,0)</f>
        <v>21</v>
      </c>
      <c r="D26" s="329" t="s">
        <v>1431</v>
      </c>
      <c r="E26" s="319" t="s">
        <v>1432</v>
      </c>
      <c r="F26" s="318">
        <f ca="1">INDIRECT("'数据-取费表'!q"&amp;$G$1)</f>
        <v>0.15</v>
      </c>
      <c r="G26" s="1558"/>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125"/>
      <c r="F27" s="327"/>
      <c r="G27" s="1558"/>
      <c r="H27" s="310"/>
      <c r="I27" s="311"/>
      <c r="J27" s="312"/>
      <c r="K27" s="338" t="s">
        <v>1438</v>
      </c>
      <c r="L27" s="308" t="s">
        <v>1439</v>
      </c>
      <c r="M27" s="339">
        <f ca="1">INDIRECT("'数据-取费表'!ag"&amp;$G$1)</f>
        <v>0</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184</v>
      </c>
      <c r="D29" s="1244"/>
      <c r="E29" s="1242"/>
      <c r="F29" s="1245"/>
      <c r="G29" s="1570"/>
      <c r="H29" s="340" t="s">
        <v>1001</v>
      </c>
      <c r="I29" s="341" t="s">
        <v>1444</v>
      </c>
      <c r="J29" s="342">
        <f ca="1">ROUND(J26/(1+F40)^F41,0)</f>
        <v>0</v>
      </c>
      <c r="K29" s="343" t="s">
        <v>1445</v>
      </c>
      <c r="L29" s="344"/>
      <c r="M29" s="345">
        <f ca="1">INDIRECT("'数据-取费表'!k"&amp;$G$1)</f>
        <v>357.37</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9</v>
      </c>
      <c r="D30" s="1239" t="s">
        <v>1390</v>
      </c>
      <c r="E30" s="3133"/>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7</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IF(项目基本情况!B11="自然人","——",ROUND(C6*F32/(1+'数据-取费表'!C42),2))</f>
        <v>2.13</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IF(项目基本情况!B11="自然人","——",IF(D33="按租金收入计税",ROUND(C6*F33/(1+'数据-取费表'!C42),2),IF(D33="按房产原值计税",ROUND(C29*F33*0.7,2),INDIRECT("'数据-取费表'!Aj"&amp;$G$1))))</f>
        <v>4.57</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f ca="1">IF(项目基本情况!B11="自然人","——",ROUND(F34*F35/10000,2))</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ROUND(C29*F36,1)</f>
        <v>1.8</v>
      </c>
      <c r="D36" s="3132" t="s">
        <v>1447</v>
      </c>
      <c r="E36" s="308" t="s">
        <v>1387</v>
      </c>
      <c r="F36" s="334">
        <f ca="1">INDIRECT("'数据-取费表'!Ak"&amp;$G$1)</f>
        <v>0.01</v>
      </c>
      <c r="G36" s="1558"/>
      <c r="H36" s="2916"/>
      <c r="I36" s="1572"/>
      <c r="J36" s="1573"/>
      <c r="K36" s="2758"/>
      <c r="L36" s="2916"/>
      <c r="M36" s="2916"/>
    </row>
    <row r="37" spans="1:18" ht="18" customHeight="1">
      <c r="A37" s="1106" t="s">
        <v>1043</v>
      </c>
      <c r="B37" s="308" t="s">
        <v>1418</v>
      </c>
      <c r="C37" s="24">
        <f ca="1">ROUND(C13*F37,1)</f>
        <v>0.2</v>
      </c>
      <c r="D37" s="3132" t="s">
        <v>1419</v>
      </c>
      <c r="E37" s="308" t="s">
        <v>1387</v>
      </c>
      <c r="F37" s="336">
        <f ca="1">INDIRECT("'数据-取费表'!Al"&amp;$G$1)</f>
        <v>1.5E-3</v>
      </c>
      <c r="G37" s="1558"/>
      <c r="H37" s="2916"/>
      <c r="I37" s="1572"/>
      <c r="J37" s="1573"/>
      <c r="K37" s="2758"/>
      <c r="L37" s="2916"/>
      <c r="M37" s="2916"/>
    </row>
    <row r="38" spans="1:18" ht="18" customHeight="1" thickBot="1">
      <c r="A38" s="1241" t="s">
        <v>1357</v>
      </c>
      <c r="B38" s="1242" t="s">
        <v>1404</v>
      </c>
      <c r="C38" s="1243">
        <f ca="1">ROUND(C5*F38,1)</f>
        <v>0.4</v>
      </c>
      <c r="D38" s="1244" t="s">
        <v>1424</v>
      </c>
      <c r="E38" s="1242" t="s">
        <v>1387</v>
      </c>
      <c r="F38" s="1238">
        <f ca="1">INDIRECT("'数据-取费表'!Am"&amp;$G$1)</f>
        <v>0.01</v>
      </c>
      <c r="G38" s="1558"/>
      <c r="H38" s="2916"/>
      <c r="I38" s="1572"/>
      <c r="J38" s="1573"/>
      <c r="K38" s="2920"/>
      <c r="L38" s="2916"/>
      <c r="M38" s="2916"/>
    </row>
    <row r="39" spans="1:18" ht="24.6" customHeight="1" thickTop="1">
      <c r="A39" s="1231" t="s">
        <v>999</v>
      </c>
      <c r="B39" s="1246" t="s">
        <v>1428</v>
      </c>
      <c r="C39" s="316">
        <f ca="1">C5-C30</f>
        <v>31</v>
      </c>
      <c r="D39" s="1247" t="s">
        <v>1429</v>
      </c>
      <c r="E39" s="1248"/>
      <c r="F39" s="1249"/>
      <c r="G39" s="1558"/>
      <c r="H39" s="2916"/>
      <c r="I39" s="1572"/>
      <c r="J39" s="1573"/>
      <c r="K39" s="2920"/>
      <c r="L39" s="2916"/>
      <c r="M39" s="2916"/>
    </row>
    <row r="40" spans="1:18" ht="18" customHeight="1">
      <c r="A40" s="305" t="s">
        <v>1000</v>
      </c>
      <c r="B40" s="306" t="s">
        <v>1450</v>
      </c>
      <c r="C40" s="307">
        <f ca="1">ROUND(C39*(1-((1+F42)/(1+F40))^F41)/(F40-F42),0)</f>
        <v>583</v>
      </c>
      <c r="D40" s="330" t="s">
        <v>1434</v>
      </c>
      <c r="E40" s="308" t="s">
        <v>1435</v>
      </c>
      <c r="F40" s="318">
        <f ca="1">INDIRECT("'数据-取费表'!I"&amp;$G$1)</f>
        <v>0.06</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32</v>
      </c>
      <c r="G41" s="1558"/>
      <c r="H41" s="1344"/>
      <c r="I41" s="1572"/>
      <c r="J41" s="1573"/>
      <c r="K41" s="2758"/>
      <c r="L41" s="1344"/>
      <c r="M41" s="1344"/>
    </row>
    <row r="42" spans="1:18" ht="18" customHeight="1">
      <c r="A42" s="314"/>
      <c r="B42" s="315"/>
      <c r="C42" s="316"/>
      <c r="D42" s="333"/>
      <c r="E42" s="308" t="s">
        <v>1442</v>
      </c>
      <c r="F42" s="318">
        <f ca="1">INDIRECT("'数据-取费表'!v"&amp;$G$1)</f>
        <v>2.5000000000000001E-2</v>
      </c>
      <c r="G42" s="1558"/>
      <c r="H42" s="1344"/>
      <c r="I42" s="1572"/>
      <c r="J42" s="1573"/>
      <c r="K42" s="2758"/>
      <c r="L42" s="1344"/>
      <c r="M42" s="1344"/>
    </row>
    <row r="43" spans="1:18" ht="18" customHeight="1" thickBot="1">
      <c r="A43" s="340" t="s">
        <v>1001</v>
      </c>
      <c r="B43" s="341" t="s">
        <v>1452</v>
      </c>
      <c r="C43" s="342">
        <f ca="1">ROUND(C40*10000/F43,0)</f>
        <v>16314</v>
      </c>
      <c r="D43" s="343" t="s">
        <v>1453</v>
      </c>
      <c r="E43" s="344" t="s">
        <v>1454</v>
      </c>
      <c r="F43" s="345">
        <f ca="1">INDIRECT("'数据-取费表'!k"&amp;$G$1)</f>
        <v>357.37</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f ca="1">C68-C40</f>
        <v>-822</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f ca="1">INDIRECT("'数据-取费表'!d"&amp;$G$1)</f>
        <v>40</v>
      </c>
      <c r="M47" s="1554" t="str">
        <f>IF(ISNUMBER(FIND("住宅",C1)),"住宅","非住宅")</f>
        <v>非住宅</v>
      </c>
      <c r="O47" s="1592" t="s">
        <v>1008</v>
      </c>
      <c r="P47" s="1593" t="s">
        <v>1493</v>
      </c>
      <c r="Q47" s="1594">
        <f ca="1">C40+J29</f>
        <v>583</v>
      </c>
      <c r="R47" s="1594" t="s">
        <v>1494</v>
      </c>
    </row>
    <row r="48" spans="1:18" s="1558" customFormat="1" ht="28.5" thickBot="1">
      <c r="A48" s="1262" t="s">
        <v>1103</v>
      </c>
      <c r="B48" s="306" t="s">
        <v>1366</v>
      </c>
      <c r="C48" s="3134">
        <f ca="1">C49+C53+C55</f>
        <v>0</v>
      </c>
      <c r="D48" s="1264"/>
      <c r="E48" s="1265"/>
      <c r="F48" s="1086"/>
      <c r="G48" s="731"/>
      <c r="H48" s="732"/>
      <c r="I48" s="1595" t="s">
        <v>1495</v>
      </c>
      <c r="J48" s="1596" t="s">
        <v>3274</v>
      </c>
      <c r="K48" s="1597" t="s">
        <v>1496</v>
      </c>
      <c r="L48" s="1598">
        <f ca="1">INDIRECT("'数据-取费表'!f"&amp;$G$1)</f>
        <v>32</v>
      </c>
      <c r="O48" s="1592" t="s">
        <v>1009</v>
      </c>
      <c r="P48" s="1593" t="s">
        <v>1497</v>
      </c>
      <c r="Q48" s="1594" t="str">
        <f ca="1">J60</f>
        <v>0</v>
      </c>
      <c r="R48" s="1594" t="s">
        <v>1498</v>
      </c>
    </row>
    <row r="49" spans="1:18" s="1558" customFormat="1" ht="13.5" thickBot="1">
      <c r="A49" s="1099" t="s">
        <v>1104</v>
      </c>
      <c r="B49" s="1545" t="s">
        <v>1455</v>
      </c>
      <c r="C49" s="1266">
        <f ca="1">ROUND(F49*F51*F50*(1-F52)/10000,0)</f>
        <v>0</v>
      </c>
      <c r="D49" s="1178" t="s">
        <v>2841</v>
      </c>
      <c r="E49" s="1546" t="s">
        <v>1456</v>
      </c>
      <c r="F49" s="1183"/>
      <c r="G49" s="1599"/>
      <c r="H49" s="732"/>
      <c r="I49" s="1595" t="s">
        <v>1499</v>
      </c>
      <c r="J49" s="1600"/>
      <c r="K49" s="1597" t="s">
        <v>1500</v>
      </c>
      <c r="L49" s="1601"/>
      <c r="O49" s="1602" t="s">
        <v>1010</v>
      </c>
      <c r="P49" s="1593" t="s">
        <v>1501</v>
      </c>
      <c r="Q49" s="1594">
        <f ca="1">C29</f>
        <v>184</v>
      </c>
      <c r="R49" s="1594" t="s">
        <v>1494</v>
      </c>
    </row>
    <row r="50" spans="1:18" s="1558" customFormat="1" ht="13.5" thickBot="1">
      <c r="A50" s="1100"/>
      <c r="B50" s="1103"/>
      <c r="C50" s="1270"/>
      <c r="D50" s="1077"/>
      <c r="E50" s="1179" t="s">
        <v>1371</v>
      </c>
      <c r="F50" s="1180">
        <f ca="1">F7</f>
        <v>357.37</v>
      </c>
      <c r="H50" s="732"/>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101"/>
      <c r="B51" s="1103"/>
      <c r="C51" s="1104"/>
      <c r="D51" s="1077"/>
      <c r="E51" s="1105" t="s">
        <v>1372</v>
      </c>
      <c r="F51" s="309">
        <f ca="1">F8</f>
        <v>365</v>
      </c>
      <c r="I51" s="1606" t="s">
        <v>1505</v>
      </c>
      <c r="J51" s="1607">
        <f>IF(J49="",J50,J49+J50-YEAR('数据-取费表'!B2))</f>
        <v>60</v>
      </c>
      <c r="K51" s="1608" t="s">
        <v>1506</v>
      </c>
      <c r="L51" s="1609">
        <f ca="1">ROUND(-PV(INDIRECT("'数据-取费表'!h"&amp;$G$1),J51,(C39-C13*C76),0),0)</f>
        <v>295</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f ca="1">J53</f>
        <v>32</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f ca="1">IF(M47="住宅",IF(D1="——",MAX(J51,L48),MAX(J51,L48-'数据-取费表'!B24)),IF(D1="——",MIN(J51,L48),MIN(J51,L48-'数据-取费表'!B24)))</f>
        <v>32</v>
      </c>
      <c r="K53" s="3478" t="s">
        <v>1513</v>
      </c>
      <c r="L53" s="3479"/>
      <c r="O53" s="1592" t="s">
        <v>1014</v>
      </c>
      <c r="P53" s="1593" t="s">
        <v>1514</v>
      </c>
      <c r="Q53" s="1594">
        <f ca="1">Q47+Q48</f>
        <v>583</v>
      </c>
      <c r="R53" s="1594" t="s">
        <v>1015</v>
      </c>
    </row>
    <row r="54" spans="1:18" s="1558" customFormat="1" ht="13.5" thickBot="1">
      <c r="A54" s="1307"/>
      <c r="B54" s="1541" t="s">
        <v>1353</v>
      </c>
      <c r="C54" s="1083"/>
      <c r="D54" s="1540"/>
      <c r="E54" s="312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81">
        <v>2</v>
      </c>
      <c r="B56" s="1082" t="s">
        <v>1379</v>
      </c>
      <c r="C56" s="238">
        <f ca="1">C13</f>
        <v>166</v>
      </c>
      <c r="D56" s="1621"/>
      <c r="E56" s="1622"/>
      <c r="F56" s="1614"/>
      <c r="I56" s="1623" t="s">
        <v>1519</v>
      </c>
      <c r="J56" s="1624" t="s">
        <v>3179</v>
      </c>
      <c r="K56" s="1595" t="s">
        <v>1520</v>
      </c>
      <c r="L56" s="1598" t="str">
        <f ca="1">IF(L48&lt;J51,"——",L48-J53)</f>
        <v>——</v>
      </c>
      <c r="O56" s="1592" t="s">
        <v>1008</v>
      </c>
      <c r="P56" s="1593" t="s">
        <v>1493</v>
      </c>
      <c r="Q56" s="1594">
        <f ca="1">C40+J29</f>
        <v>583</v>
      </c>
      <c r="R56" s="1594" t="s">
        <v>1494</v>
      </c>
    </row>
    <row r="57" spans="1:18" s="1558" customFormat="1" ht="24.75" thickBot="1">
      <c r="A57" s="1625"/>
      <c r="B57" s="1074" t="s">
        <v>1443</v>
      </c>
      <c r="C57" s="244">
        <f ca="1">C29</f>
        <v>184</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21" t="s">
        <v>998</v>
      </c>
      <c r="B58" s="1082" t="s">
        <v>1389</v>
      </c>
      <c r="C58" s="322">
        <f ca="1">ROUND(C59+C64+C65+C66,0)</f>
        <v>17</v>
      </c>
      <c r="D58" s="1084" t="s">
        <v>1390</v>
      </c>
      <c r="E58" s="1085"/>
      <c r="F58" s="1086"/>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15</v>
      </c>
      <c r="D59" s="1087" t="s">
        <v>1395</v>
      </c>
      <c r="E59" s="1088"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6" t="s">
        <v>1457</v>
      </c>
      <c r="B61" s="1074" t="s">
        <v>1402</v>
      </c>
      <c r="C61" s="24">
        <f ca="1">IF(项目基本情况!B11="自然人","——",IF(D61="按租金收入计税",ROUND(C49*F61/(1+'数据-取费表'!C42),2),IF(D61="按房产原值计税",ROUND(C57*F61*0.7,2),INDIRECT("'数据-取费表'!Aj"&amp;$G$1))))</f>
        <v>15.46</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6" t="s">
        <v>1460</v>
      </c>
      <c r="B62" s="1073" t="s">
        <v>1406</v>
      </c>
      <c r="C62" s="25">
        <f ca="1">IF(项目基本情况!B11="自然人","——",ROUND(F62*F63/10000,2))</f>
        <v>0</v>
      </c>
      <c r="D62" s="1089" t="s">
        <v>1407</v>
      </c>
      <c r="E62" s="1074" t="s">
        <v>1408</v>
      </c>
      <c r="F62" s="331">
        <f t="shared" si="0"/>
        <v>3</v>
      </c>
      <c r="I62" s="1636" t="s">
        <v>1535</v>
      </c>
      <c r="J62" s="1637" t="s">
        <v>1536</v>
      </c>
      <c r="K62" s="1637" t="s">
        <v>1537</v>
      </c>
      <c r="L62" s="1637" t="s">
        <v>1538</v>
      </c>
      <c r="M62" s="1638" t="s">
        <v>1539</v>
      </c>
      <c r="O62" s="1592" t="s">
        <v>1014</v>
      </c>
      <c r="P62" s="1593" t="s">
        <v>1514</v>
      </c>
      <c r="Q62" s="1594">
        <f ca="1">Q56+Q57</f>
        <v>583</v>
      </c>
      <c r="R62" s="1594" t="s">
        <v>1015</v>
      </c>
    </row>
    <row r="63" spans="1:18" s="1558" customFormat="1" ht="13.5" thickBot="1">
      <c r="A63" s="332"/>
      <c r="B63" s="1080"/>
      <c r="C63" s="29"/>
      <c r="D63" s="1090"/>
      <c r="E63" s="1074" t="s">
        <v>1412</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f ca="1">ROUND(C57*F64,1)</f>
        <v>1.8</v>
      </c>
      <c r="D64" s="1088" t="s">
        <v>1447</v>
      </c>
      <c r="E64" s="1074" t="s">
        <v>1387</v>
      </c>
      <c r="F64" s="334">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ROUND(C56*F65,1)</f>
        <v>0.2</v>
      </c>
      <c r="D65" s="1088" t="s">
        <v>1419</v>
      </c>
      <c r="E65" s="1074" t="s">
        <v>1387</v>
      </c>
      <c r="F65" s="336">
        <f t="shared" ca="1" si="0"/>
        <v>1.5E-3</v>
      </c>
      <c r="I65" s="1636" t="s">
        <v>1544</v>
      </c>
      <c r="J65" s="1637">
        <v>40</v>
      </c>
      <c r="K65" s="1637">
        <v>30</v>
      </c>
      <c r="L65" s="1637">
        <v>50</v>
      </c>
      <c r="M65" s="1639">
        <v>0.02</v>
      </c>
      <c r="O65" s="1592" t="s">
        <v>1008</v>
      </c>
      <c r="P65" s="1593" t="s">
        <v>1493</v>
      </c>
      <c r="Q65" s="1594">
        <f ca="1">C40+J29</f>
        <v>583</v>
      </c>
      <c r="R65" s="1594" t="s">
        <v>1494</v>
      </c>
    </row>
    <row r="66" spans="1:18" s="1558" customFormat="1" ht="16.5" thickBot="1">
      <c r="A66" s="1106" t="s">
        <v>1469</v>
      </c>
      <c r="B66" s="1074" t="s">
        <v>1404</v>
      </c>
      <c r="C66" s="24">
        <f ca="1">ROUND(C48*F66,1)</f>
        <v>0</v>
      </c>
      <c r="D66" s="1088" t="s">
        <v>1424</v>
      </c>
      <c r="E66" s="1074" t="s">
        <v>1387</v>
      </c>
      <c r="F66" s="318">
        <f t="shared" ca="1" si="0"/>
        <v>0.01</v>
      </c>
      <c r="O66" s="1592" t="s">
        <v>1009</v>
      </c>
      <c r="P66" s="1593" t="s">
        <v>1523</v>
      </c>
      <c r="Q66" s="1594">
        <f ca="1">L60</f>
        <v>0</v>
      </c>
      <c r="R66" s="1594" t="s">
        <v>1546</v>
      </c>
    </row>
    <row r="67" spans="1:18" s="1558" customFormat="1" ht="16.5" thickBot="1">
      <c r="A67" s="1081" t="s">
        <v>999</v>
      </c>
      <c r="B67" s="1091" t="s">
        <v>1428</v>
      </c>
      <c r="C67" s="322">
        <f ca="1">C48-C58</f>
        <v>-17</v>
      </c>
      <c r="D67" s="1087" t="s">
        <v>1429</v>
      </c>
      <c r="E67" s="1092"/>
      <c r="F67" s="1093"/>
      <c r="O67" s="1602" t="s">
        <v>1010</v>
      </c>
      <c r="P67" s="1593" t="s">
        <v>1527</v>
      </c>
      <c r="Q67" s="1640">
        <f ca="1">L51</f>
        <v>295</v>
      </c>
      <c r="R67" s="1594" t="s">
        <v>1547</v>
      </c>
    </row>
    <row r="68" spans="1:18" s="1558" customFormat="1" ht="16.5" thickBot="1">
      <c r="A68" s="1071" t="s">
        <v>1000</v>
      </c>
      <c r="B68" s="1072" t="s">
        <v>1450</v>
      </c>
      <c r="C68" s="307">
        <f ca="1">ROUND(C67*(1-((1+F70)/(1+F68))^F69)/(F68-F70),0)</f>
        <v>-239</v>
      </c>
      <c r="D68" s="1089" t="s">
        <v>1434</v>
      </c>
      <c r="E68" s="1074" t="s">
        <v>1435</v>
      </c>
      <c r="F68" s="318">
        <f ca="1">F40</f>
        <v>0.06</v>
      </c>
      <c r="O68" s="1602" t="s">
        <v>1011</v>
      </c>
      <c r="P68" s="1641" t="s">
        <v>1548</v>
      </c>
      <c r="Q68" s="1594">
        <f ca="1">ROUND(Q69-Q70*Q71,0)</f>
        <v>17</v>
      </c>
      <c r="R68" s="1594" t="s">
        <v>1019</v>
      </c>
    </row>
    <row r="69" spans="1:18" s="1558" customFormat="1" ht="13.5" thickBot="1">
      <c r="A69" s="1075"/>
      <c r="B69" s="1076"/>
      <c r="C69" s="312"/>
      <c r="D69" s="1094" t="s">
        <v>1438</v>
      </c>
      <c r="E69" s="1074" t="s">
        <v>1439</v>
      </c>
      <c r="F69" s="339">
        <f ca="1">F41</f>
        <v>32</v>
      </c>
      <c r="O69" s="1602" t="s">
        <v>1016</v>
      </c>
      <c r="P69" s="1641" t="s">
        <v>1549</v>
      </c>
      <c r="Q69" s="1594">
        <f ca="1">C39</f>
        <v>31</v>
      </c>
      <c r="R69" s="1594" t="s">
        <v>1494</v>
      </c>
    </row>
    <row r="70" spans="1:18" s="1558" customFormat="1" ht="13.5" thickBot="1">
      <c r="A70" s="1078"/>
      <c r="B70" s="1079"/>
      <c r="C70" s="316"/>
      <c r="D70" s="1090"/>
      <c r="E70" s="1074" t="s">
        <v>1442</v>
      </c>
      <c r="F70" s="1177"/>
      <c r="O70" s="1602" t="s">
        <v>1017</v>
      </c>
      <c r="P70" s="1641" t="s">
        <v>1550</v>
      </c>
      <c r="Q70" s="1594">
        <f ca="1">C13</f>
        <v>166</v>
      </c>
      <c r="R70" s="1594" t="s">
        <v>1494</v>
      </c>
    </row>
    <row r="71" spans="1:18" s="1558" customFormat="1" ht="13.5" thickBot="1">
      <c r="A71" s="1095" t="s">
        <v>1001</v>
      </c>
      <c r="B71" s="1096" t="s">
        <v>1452</v>
      </c>
      <c r="C71" s="342">
        <f ca="1">ROUND(C68*10000/F71,0)</f>
        <v>-6688</v>
      </c>
      <c r="D71" s="1097" t="s">
        <v>1453</v>
      </c>
      <c r="E71" s="1098" t="s">
        <v>1454</v>
      </c>
      <c r="F71" s="345">
        <f ca="1">F43</f>
        <v>357.37</v>
      </c>
      <c r="O71" s="1602" t="s">
        <v>1018</v>
      </c>
      <c r="P71" s="1641" t="s">
        <v>1551</v>
      </c>
      <c r="Q71" s="1605">
        <f ca="1">C76</f>
        <v>8.5000000000000006E-2</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6" t="s">
        <v>1471</v>
      </c>
      <c r="C75" s="347">
        <f ca="1">ROUND(C13*C76,0)</f>
        <v>14</v>
      </c>
      <c r="D75" s="1558"/>
      <c r="E75" s="1558"/>
      <c r="F75" s="1558"/>
      <c r="K75" s="1576"/>
      <c r="L75" s="1558"/>
      <c r="O75" s="1592" t="s">
        <v>1014</v>
      </c>
      <c r="P75" s="1593" t="s">
        <v>1514</v>
      </c>
      <c r="Q75" s="1594">
        <f ca="1">Q65+Q66</f>
        <v>583</v>
      </c>
      <c r="R75" s="1594" t="s">
        <v>1015</v>
      </c>
    </row>
    <row r="76" spans="1:18">
      <c r="B76" s="348" t="s">
        <v>1472</v>
      </c>
      <c r="C76" s="349">
        <f ca="1">INDIRECT("'数据-取费表'!j"&amp;$G$1)</f>
        <v>8.5000000000000006E-2</v>
      </c>
      <c r="I76" s="1558"/>
      <c r="J76" s="1558"/>
      <c r="K76" s="1576"/>
      <c r="L76" s="1558"/>
    </row>
    <row r="77" spans="1:18">
      <c r="B77" s="350" t="s">
        <v>1473</v>
      </c>
      <c r="C77" s="351"/>
      <c r="I77" s="1558"/>
      <c r="J77" s="1558"/>
      <c r="K77" s="1576"/>
      <c r="L77" s="1558"/>
    </row>
    <row r="78" spans="1:18">
      <c r="B78" s="276" t="s">
        <v>1474</v>
      </c>
      <c r="C78" s="352"/>
    </row>
    <row r="79" spans="1:18">
      <c r="B79" s="346" t="s">
        <v>1475</v>
      </c>
      <c r="C79" s="280">
        <f ca="1">1-C80</f>
        <v>0.54800000000000004</v>
      </c>
    </row>
    <row r="80" spans="1:18">
      <c r="B80" s="346" t="s">
        <v>1476</v>
      </c>
      <c r="C80" s="280">
        <f ca="1">ROUND(C75/C39,3)</f>
        <v>0.45200000000000001</v>
      </c>
    </row>
    <row r="81" spans="2:3">
      <c r="B81" s="276" t="s">
        <v>1477</v>
      </c>
      <c r="C81" s="244"/>
    </row>
    <row r="82" spans="2:3">
      <c r="B82" s="279" t="s">
        <v>1478</v>
      </c>
      <c r="C82" s="281">
        <f ca="1">1-C83</f>
        <v>0.71500000000000008</v>
      </c>
    </row>
    <row r="83" spans="2:3">
      <c r="B83" s="279" t="s">
        <v>1479</v>
      </c>
      <c r="C83" s="280">
        <f ca="1">ROUND(C13/C40,3)</f>
        <v>0.28499999999999998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B9" sqref="B9"/>
    </sheetView>
  </sheetViews>
  <sheetFormatPr defaultRowHeight="13.5"/>
  <cols>
    <col min="1" max="1" width="12.125" customWidth="1"/>
    <col min="2" max="2" width="32.875" customWidth="1"/>
    <col min="4" max="4" width="13.625" customWidth="1"/>
    <col min="7" max="7" width="9.5" customWidth="1"/>
  </cols>
  <sheetData>
    <row r="1" spans="1:10">
      <c r="A1" s="3049" t="s">
        <v>3053</v>
      </c>
      <c r="C1" s="3049" t="s">
        <v>3054</v>
      </c>
      <c r="D1">
        <v>13901390392</v>
      </c>
    </row>
    <row r="3" spans="1:10">
      <c r="A3" s="3049" t="s">
        <v>3055</v>
      </c>
      <c r="B3" s="3049" t="s">
        <v>3082</v>
      </c>
    </row>
    <row r="4" spans="1:10">
      <c r="A4" s="3049" t="s">
        <v>3056</v>
      </c>
      <c r="B4" s="3049" t="s">
        <v>3057</v>
      </c>
      <c r="C4" s="3049" t="s">
        <v>3058</v>
      </c>
      <c r="D4" s="3049" t="s">
        <v>3060</v>
      </c>
      <c r="E4" s="3049" t="s">
        <v>3062</v>
      </c>
      <c r="F4" s="3049" t="s">
        <v>3063</v>
      </c>
      <c r="G4" s="3049" t="s">
        <v>3065</v>
      </c>
    </row>
    <row r="5" spans="1:10">
      <c r="A5">
        <v>1</v>
      </c>
      <c r="B5" s="3049" t="s">
        <v>3084</v>
      </c>
      <c r="C5" s="3049" t="s">
        <v>3059</v>
      </c>
      <c r="D5" s="3049" t="s">
        <v>3061</v>
      </c>
      <c r="E5">
        <v>290.99</v>
      </c>
      <c r="F5" s="3049" t="s">
        <v>3064</v>
      </c>
      <c r="G5" s="3049" t="s">
        <v>3066</v>
      </c>
    </row>
    <row r="6" spans="1:10">
      <c r="A6">
        <v>2</v>
      </c>
      <c r="B6" s="3049" t="s">
        <v>3458</v>
      </c>
      <c r="C6" t="str">
        <f>C5</f>
        <v>商品房</v>
      </c>
      <c r="D6" t="str">
        <f>D5</f>
        <v>其他商业服务</v>
      </c>
      <c r="E6">
        <v>333.07</v>
      </c>
      <c r="F6" t="str">
        <f>F5</f>
        <v>1-2/36</v>
      </c>
      <c r="G6" t="str">
        <f>G5</f>
        <v>2015年</v>
      </c>
    </row>
    <row r="7" spans="1:10">
      <c r="A7">
        <v>3</v>
      </c>
      <c r="B7" s="3049" t="s">
        <v>3459</v>
      </c>
      <c r="C7" t="str">
        <f>C6</f>
        <v>商品房</v>
      </c>
      <c r="D7" t="str">
        <f>D6</f>
        <v>其他商业服务</v>
      </c>
      <c r="E7">
        <v>198.38</v>
      </c>
      <c r="F7" t="str">
        <f>F6</f>
        <v>1-2/36</v>
      </c>
      <c r="G7" t="str">
        <f>G6</f>
        <v>2015年</v>
      </c>
    </row>
    <row r="8" spans="1:10">
      <c r="A8">
        <v>4</v>
      </c>
      <c r="B8" s="3049" t="s">
        <v>3460</v>
      </c>
      <c r="C8" t="str">
        <f>C7</f>
        <v>商品房</v>
      </c>
      <c r="D8" s="3052" t="s">
        <v>3067</v>
      </c>
      <c r="E8">
        <v>91.22</v>
      </c>
      <c r="F8" s="3051" t="s">
        <v>3068</v>
      </c>
      <c r="G8" t="str">
        <f>G7</f>
        <v>2015年</v>
      </c>
    </row>
    <row r="9" spans="1:10">
      <c r="A9">
        <v>5</v>
      </c>
      <c r="B9" s="3049" t="s">
        <v>3069</v>
      </c>
      <c r="C9" t="str">
        <f>C8</f>
        <v>商品房</v>
      </c>
      <c r="D9" s="3053" t="str">
        <f>D8</f>
        <v>地区级配套商业</v>
      </c>
      <c r="E9">
        <v>85.15</v>
      </c>
      <c r="F9" s="3050" t="str">
        <f>F8</f>
        <v>1/12</v>
      </c>
      <c r="G9" t="str">
        <f>G8</f>
        <v>2015年</v>
      </c>
    </row>
    <row r="11" spans="1:10">
      <c r="A11" s="3049" t="s">
        <v>3070</v>
      </c>
      <c r="B11" s="3049" t="s">
        <v>3085</v>
      </c>
    </row>
    <row r="12" spans="1:10">
      <c r="A12" s="3049" t="s">
        <v>3056</v>
      </c>
      <c r="B12" s="3049" t="s">
        <v>3057</v>
      </c>
      <c r="C12" t="str">
        <f>C4</f>
        <v>权利性质</v>
      </c>
      <c r="D12" s="3049" t="s">
        <v>3060</v>
      </c>
      <c r="E12" s="3049" t="s">
        <v>3072</v>
      </c>
      <c r="F12" s="3049" t="s">
        <v>3073</v>
      </c>
      <c r="G12" t="str">
        <f>F4</f>
        <v>所在层数</v>
      </c>
      <c r="H12" s="3049" t="s">
        <v>3065</v>
      </c>
      <c r="J12" s="3049" t="s">
        <v>3178</v>
      </c>
    </row>
    <row r="13" spans="1:10">
      <c r="A13">
        <v>1</v>
      </c>
      <c r="B13" s="3049" t="s">
        <v>3256</v>
      </c>
      <c r="C13" s="3049" t="s">
        <v>3071</v>
      </c>
      <c r="D13" s="3049" t="s">
        <v>3074</v>
      </c>
      <c r="E13">
        <v>11241.85</v>
      </c>
      <c r="F13">
        <v>8600.65</v>
      </c>
      <c r="G13" s="3051" t="s">
        <v>3075</v>
      </c>
      <c r="H13" s="3053"/>
    </row>
    <row r="14" spans="1:10">
      <c r="A14">
        <v>2</v>
      </c>
      <c r="B14" s="3049" t="s">
        <v>3076</v>
      </c>
      <c r="C14" t="str">
        <f>C13</f>
        <v>集体土地</v>
      </c>
      <c r="D14" s="3049" t="s">
        <v>3077</v>
      </c>
      <c r="E14">
        <f>E13</f>
        <v>11241.85</v>
      </c>
      <c r="F14">
        <v>11775.46</v>
      </c>
      <c r="G14" s="3051" t="s">
        <v>3078</v>
      </c>
      <c r="H14" s="3053"/>
    </row>
    <row r="16" spans="1:10">
      <c r="A16" s="3049" t="s">
        <v>3079</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49" t="s">
        <v>3178</v>
      </c>
    </row>
    <row r="17" spans="1:8">
      <c r="A17" s="3049" t="s">
        <v>3056</v>
      </c>
      <c r="B17" s="3049" t="s">
        <v>3083</v>
      </c>
      <c r="C17" t="str">
        <f>C14</f>
        <v>集体土地</v>
      </c>
      <c r="D17" s="3049" t="s">
        <v>3080</v>
      </c>
      <c r="E17">
        <v>6192.14</v>
      </c>
      <c r="F17">
        <v>8986.4599999999991</v>
      </c>
      <c r="G17" s="3049" t="s">
        <v>3081</v>
      </c>
      <c r="H17" s="3053"/>
    </row>
  </sheetData>
  <phoneticPr fontId="140" type="noConversion"/>
  <pageMargins left="0.7" right="0.7" top="0.75" bottom="0.75" header="0.3" footer="0.3"/>
  <pageSetup paperSize="9" scale="73"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3086</v>
      </c>
      <c r="B1" t="s">
        <v>3087</v>
      </c>
      <c r="C1" t="s">
        <v>3088</v>
      </c>
      <c r="D1" t="s">
        <v>3089</v>
      </c>
      <c r="E1" t="s">
        <v>3090</v>
      </c>
      <c r="F1" t="s">
        <v>3091</v>
      </c>
      <c r="G1" t="s">
        <v>3092</v>
      </c>
      <c r="H1" t="s">
        <v>3093</v>
      </c>
      <c r="I1" t="s">
        <v>3094</v>
      </c>
      <c r="J1" t="s">
        <v>3095</v>
      </c>
      <c r="K1" t="s">
        <v>3096</v>
      </c>
      <c r="L1" t="s">
        <v>3097</v>
      </c>
      <c r="M1" t="s">
        <v>3098</v>
      </c>
      <c r="N1" t="s">
        <v>3099</v>
      </c>
      <c r="O1" t="s">
        <v>3100</v>
      </c>
    </row>
    <row r="2" spans="1:15">
      <c r="A2" s="3049" t="s">
        <v>3301</v>
      </c>
      <c r="B2" t="s">
        <v>3112</v>
      </c>
      <c r="C2" t="s">
        <v>3113</v>
      </c>
      <c r="D2" t="s">
        <v>3105</v>
      </c>
      <c r="E2">
        <v>12136.3</v>
      </c>
      <c r="F2">
        <v>42477</v>
      </c>
      <c r="G2">
        <v>3.5</v>
      </c>
      <c r="H2" t="s">
        <v>3114</v>
      </c>
      <c r="I2" s="3065">
        <v>44495</v>
      </c>
      <c r="J2" t="s">
        <v>3115</v>
      </c>
      <c r="K2">
        <v>71000</v>
      </c>
      <c r="L2">
        <v>3900.15</v>
      </c>
      <c r="M2">
        <v>16715</v>
      </c>
      <c r="N2">
        <v>0</v>
      </c>
      <c r="O2" t="s">
        <v>3108</v>
      </c>
    </row>
    <row r="3" spans="1:15">
      <c r="A3" s="3049" t="s">
        <v>3302</v>
      </c>
      <c r="B3" t="s">
        <v>3112</v>
      </c>
      <c r="C3" t="s">
        <v>3113</v>
      </c>
      <c r="D3" t="s">
        <v>3105</v>
      </c>
      <c r="E3">
        <v>30159.25</v>
      </c>
      <c r="F3">
        <v>138421</v>
      </c>
      <c r="G3">
        <f>ROUND(F3/E3,1)</f>
        <v>4.5999999999999996</v>
      </c>
      <c r="H3" t="s">
        <v>3114</v>
      </c>
      <c r="I3" s="3065">
        <v>43811</v>
      </c>
      <c r="J3" t="s">
        <v>3135</v>
      </c>
      <c r="K3">
        <v>230100</v>
      </c>
      <c r="L3">
        <v>5086.33</v>
      </c>
      <c r="M3">
        <v>16623</v>
      </c>
      <c r="N3">
        <v>0</v>
      </c>
      <c r="O3" t="s">
        <v>3122</v>
      </c>
    </row>
    <row r="4" spans="1:15">
      <c r="A4" s="3049" t="s">
        <v>3303</v>
      </c>
      <c r="B4" t="s">
        <v>3112</v>
      </c>
      <c r="C4" t="s">
        <v>3113</v>
      </c>
      <c r="D4" t="s">
        <v>3105</v>
      </c>
      <c r="E4">
        <v>35629.120000000003</v>
      </c>
      <c r="F4">
        <v>100429</v>
      </c>
      <c r="G4">
        <f>ROUND(F4/E4,1)</f>
        <v>2.8</v>
      </c>
      <c r="H4" t="s">
        <v>3138</v>
      </c>
      <c r="I4" s="3065">
        <v>43811</v>
      </c>
      <c r="J4" t="s">
        <v>3135</v>
      </c>
      <c r="K4">
        <v>166700</v>
      </c>
      <c r="L4">
        <v>3119.17</v>
      </c>
      <c r="M4">
        <v>16599</v>
      </c>
      <c r="N4">
        <v>0</v>
      </c>
      <c r="O4" t="s">
        <v>3122</v>
      </c>
    </row>
    <row r="6" spans="1:15">
      <c r="A6" t="s">
        <v>3086</v>
      </c>
      <c r="B6" t="s">
        <v>3087</v>
      </c>
      <c r="C6" t="s">
        <v>3088</v>
      </c>
      <c r="D6" t="s">
        <v>3089</v>
      </c>
      <c r="E6" t="s">
        <v>3090</v>
      </c>
      <c r="F6" t="s">
        <v>3091</v>
      </c>
      <c r="G6" t="s">
        <v>3092</v>
      </c>
      <c r="H6" t="s">
        <v>3093</v>
      </c>
      <c r="I6" t="s">
        <v>3094</v>
      </c>
      <c r="J6" t="s">
        <v>3095</v>
      </c>
      <c r="K6" t="s">
        <v>3096</v>
      </c>
      <c r="L6" t="s">
        <v>3097</v>
      </c>
      <c r="M6" t="s">
        <v>3098</v>
      </c>
      <c r="N6" t="s">
        <v>3099</v>
      </c>
      <c r="O6" t="s">
        <v>3100</v>
      </c>
    </row>
    <row r="7" spans="1:15">
      <c r="A7" t="s">
        <v>3101</v>
      </c>
      <c r="B7" t="s">
        <v>3103</v>
      </c>
      <c r="C7" t="s">
        <v>3104</v>
      </c>
      <c r="D7" t="s">
        <v>3105</v>
      </c>
      <c r="E7">
        <v>38252.550000000003</v>
      </c>
      <c r="F7">
        <v>84155.61</v>
      </c>
      <c r="G7">
        <v>2.2000000000000002</v>
      </c>
      <c r="H7" t="s">
        <v>3106</v>
      </c>
      <c r="I7" s="3065">
        <v>44495</v>
      </c>
      <c r="J7" t="s">
        <v>3107</v>
      </c>
      <c r="K7">
        <v>175000</v>
      </c>
      <c r="L7">
        <v>3049.91</v>
      </c>
      <c r="M7">
        <v>20795</v>
      </c>
      <c r="N7">
        <v>0</v>
      </c>
      <c r="O7" t="s">
        <v>3108</v>
      </c>
    </row>
    <row r="8" spans="1:15">
      <c r="A8" t="s">
        <v>3109</v>
      </c>
      <c r="B8" t="s">
        <v>3103</v>
      </c>
      <c r="C8" t="s">
        <v>3104</v>
      </c>
      <c r="D8" t="s">
        <v>3105</v>
      </c>
      <c r="E8">
        <v>30025.18</v>
      </c>
      <c r="F8">
        <v>66055.39</v>
      </c>
      <c r="G8">
        <v>2.2000000000000002</v>
      </c>
      <c r="H8" t="s">
        <v>3106</v>
      </c>
      <c r="I8" s="3065">
        <v>44495</v>
      </c>
      <c r="J8" t="s">
        <v>3110</v>
      </c>
      <c r="K8">
        <v>137000</v>
      </c>
      <c r="L8">
        <v>3041.89</v>
      </c>
      <c r="M8">
        <v>20740</v>
      </c>
      <c r="N8">
        <v>0</v>
      </c>
      <c r="O8" t="s">
        <v>3108</v>
      </c>
    </row>
    <row r="9" spans="1:15">
      <c r="A9" t="s">
        <v>3111</v>
      </c>
      <c r="B9" t="s">
        <v>3112</v>
      </c>
      <c r="C9" t="s">
        <v>3113</v>
      </c>
      <c r="D9" t="s">
        <v>3105</v>
      </c>
      <c r="E9">
        <v>12136.3</v>
      </c>
      <c r="F9">
        <v>42477</v>
      </c>
      <c r="G9">
        <v>3.5</v>
      </c>
      <c r="H9" t="s">
        <v>3114</v>
      </c>
      <c r="I9" s="3065">
        <v>44495</v>
      </c>
      <c r="J9" t="s">
        <v>3115</v>
      </c>
      <c r="K9">
        <v>71000</v>
      </c>
      <c r="L9">
        <v>3900.15</v>
      </c>
      <c r="M9">
        <v>16715</v>
      </c>
      <c r="N9">
        <v>0</v>
      </c>
      <c r="O9" t="s">
        <v>3108</v>
      </c>
    </row>
    <row r="10" spans="1:15">
      <c r="A10" t="s">
        <v>3116</v>
      </c>
      <c r="B10" t="s">
        <v>3103</v>
      </c>
      <c r="C10" t="s">
        <v>3104</v>
      </c>
      <c r="D10" t="s">
        <v>3105</v>
      </c>
      <c r="E10">
        <v>25121.77</v>
      </c>
      <c r="F10">
        <v>55267.89</v>
      </c>
      <c r="G10">
        <v>2.2000000000000002</v>
      </c>
      <c r="H10" t="s">
        <v>3106</v>
      </c>
      <c r="I10" s="3065">
        <v>44495</v>
      </c>
      <c r="J10" t="s">
        <v>3117</v>
      </c>
      <c r="K10">
        <v>115000</v>
      </c>
      <c r="L10">
        <v>3051.8</v>
      </c>
      <c r="M10">
        <v>20808</v>
      </c>
      <c r="N10">
        <v>0</v>
      </c>
      <c r="O10" t="s">
        <v>3108</v>
      </c>
    </row>
    <row r="11" spans="1:15">
      <c r="A11" t="s">
        <v>3118</v>
      </c>
      <c r="B11" t="s">
        <v>3112</v>
      </c>
      <c r="C11" t="s">
        <v>3113</v>
      </c>
      <c r="D11" t="s">
        <v>3105</v>
      </c>
      <c r="E11">
        <v>28676.63</v>
      </c>
      <c r="F11">
        <v>114706.51</v>
      </c>
      <c r="G11" t="s">
        <v>3119</v>
      </c>
      <c r="H11" t="s">
        <v>3120</v>
      </c>
      <c r="I11" s="3065">
        <v>44179</v>
      </c>
      <c r="J11" t="s">
        <v>3121</v>
      </c>
      <c r="K11">
        <v>175500</v>
      </c>
      <c r="L11">
        <v>4079.98</v>
      </c>
      <c r="M11">
        <v>15300</v>
      </c>
      <c r="N11">
        <v>0</v>
      </c>
      <c r="O11" t="s">
        <v>3122</v>
      </c>
    </row>
    <row r="12" spans="1:15">
      <c r="A12" t="s">
        <v>3123</v>
      </c>
      <c r="B12" t="s">
        <v>3103</v>
      </c>
      <c r="C12" t="s">
        <v>3124</v>
      </c>
      <c r="D12" t="s">
        <v>3105</v>
      </c>
      <c r="E12">
        <v>51788.13</v>
      </c>
      <c r="F12">
        <v>184800</v>
      </c>
      <c r="G12" t="s">
        <v>3125</v>
      </c>
      <c r="H12" t="s">
        <v>3114</v>
      </c>
      <c r="I12" s="3065">
        <v>44167</v>
      </c>
      <c r="J12" t="s">
        <v>3126</v>
      </c>
      <c r="K12">
        <v>579500</v>
      </c>
      <c r="L12">
        <v>7459.88</v>
      </c>
      <c r="M12">
        <v>31358</v>
      </c>
      <c r="N12">
        <v>1.58</v>
      </c>
      <c r="O12" t="s">
        <v>3122</v>
      </c>
    </row>
    <row r="13" spans="1:15">
      <c r="A13" t="s">
        <v>3127</v>
      </c>
      <c r="B13" t="s">
        <v>3128</v>
      </c>
      <c r="C13" t="s">
        <v>3129</v>
      </c>
      <c r="D13" t="s">
        <v>3105</v>
      </c>
      <c r="E13">
        <v>7289.19</v>
      </c>
      <c r="F13">
        <v>21867.57</v>
      </c>
      <c r="G13" t="s">
        <v>3130</v>
      </c>
      <c r="H13" t="s">
        <v>3131</v>
      </c>
      <c r="I13" s="3065">
        <v>43923</v>
      </c>
      <c r="J13" t="s">
        <v>3132</v>
      </c>
      <c r="K13">
        <v>35200</v>
      </c>
      <c r="L13">
        <v>3219.38</v>
      </c>
      <c r="M13">
        <v>16097</v>
      </c>
      <c r="N13">
        <v>0</v>
      </c>
      <c r="O13" t="s">
        <v>3122</v>
      </c>
    </row>
    <row r="14" spans="1:15">
      <c r="A14" t="s">
        <v>3133</v>
      </c>
      <c r="B14" t="s">
        <v>3112</v>
      </c>
      <c r="C14" t="s">
        <v>3113</v>
      </c>
      <c r="D14" t="s">
        <v>3105</v>
      </c>
      <c r="E14">
        <v>30159.25</v>
      </c>
      <c r="F14">
        <v>138421</v>
      </c>
      <c r="G14" t="s">
        <v>3134</v>
      </c>
      <c r="H14" t="s">
        <v>3114</v>
      </c>
      <c r="I14" s="3065">
        <v>43811</v>
      </c>
      <c r="J14" t="s">
        <v>3135</v>
      </c>
      <c r="K14">
        <v>230100</v>
      </c>
      <c r="L14">
        <v>5086.33</v>
      </c>
      <c r="M14">
        <v>16623</v>
      </c>
      <c r="N14">
        <v>0</v>
      </c>
      <c r="O14" t="s">
        <v>3122</v>
      </c>
    </row>
    <row r="15" spans="1:15">
      <c r="A15" t="s">
        <v>3136</v>
      </c>
      <c r="B15" t="s">
        <v>3112</v>
      </c>
      <c r="C15" t="s">
        <v>3113</v>
      </c>
      <c r="D15" t="s">
        <v>3105</v>
      </c>
      <c r="E15">
        <v>35629.120000000003</v>
      </c>
      <c r="F15">
        <v>100429</v>
      </c>
      <c r="G15" t="s">
        <v>3137</v>
      </c>
      <c r="H15" t="s">
        <v>3138</v>
      </c>
      <c r="I15" s="3065">
        <v>43811</v>
      </c>
      <c r="J15" t="s">
        <v>3135</v>
      </c>
      <c r="K15">
        <v>166700</v>
      </c>
      <c r="L15">
        <v>3119.17</v>
      </c>
      <c r="M15">
        <v>16599</v>
      </c>
      <c r="N15">
        <v>0</v>
      </c>
      <c r="O15" t="s">
        <v>3122</v>
      </c>
    </row>
    <row r="16" spans="1:15">
      <c r="A16" t="s">
        <v>3139</v>
      </c>
      <c r="B16" t="s">
        <v>3103</v>
      </c>
      <c r="C16" t="s">
        <v>3140</v>
      </c>
      <c r="D16" t="s">
        <v>3105</v>
      </c>
      <c r="E16">
        <v>70601.070000000007</v>
      </c>
      <c r="F16">
        <v>285523</v>
      </c>
      <c r="G16" t="s">
        <v>3141</v>
      </c>
      <c r="H16" t="s">
        <v>3142</v>
      </c>
      <c r="I16" s="3065">
        <v>43801</v>
      </c>
      <c r="J16" t="s">
        <v>3143</v>
      </c>
      <c r="K16">
        <v>660900</v>
      </c>
      <c r="L16">
        <v>6240.7</v>
      </c>
      <c r="M16">
        <v>23147</v>
      </c>
      <c r="N16">
        <v>0</v>
      </c>
      <c r="O16" t="s">
        <v>3122</v>
      </c>
    </row>
    <row r="17" spans="1:15">
      <c r="A17" t="s">
        <v>3144</v>
      </c>
      <c r="B17" t="s">
        <v>3103</v>
      </c>
      <c r="C17" t="s">
        <v>3145</v>
      </c>
      <c r="D17" t="s">
        <v>3105</v>
      </c>
      <c r="E17">
        <v>22035.93</v>
      </c>
      <c r="F17">
        <v>61700.6</v>
      </c>
      <c r="G17" t="s">
        <v>3146</v>
      </c>
      <c r="H17" t="s">
        <v>3114</v>
      </c>
      <c r="I17" s="3065">
        <v>43650</v>
      </c>
      <c r="J17" t="s">
        <v>3147</v>
      </c>
      <c r="K17">
        <v>103700</v>
      </c>
      <c r="L17">
        <v>3137.3</v>
      </c>
      <c r="M17">
        <v>16807</v>
      </c>
      <c r="N17">
        <v>0</v>
      </c>
      <c r="O17" t="s">
        <v>3122</v>
      </c>
    </row>
    <row r="18" spans="1:15">
      <c r="A18" t="s">
        <v>3148</v>
      </c>
      <c r="B18" t="s">
        <v>3103</v>
      </c>
      <c r="C18" t="s">
        <v>3104</v>
      </c>
      <c r="D18" t="s">
        <v>3105</v>
      </c>
      <c r="E18">
        <v>32158.94</v>
      </c>
      <c r="F18">
        <v>96476.82</v>
      </c>
      <c r="G18" t="s">
        <v>3130</v>
      </c>
      <c r="H18" t="s">
        <v>3120</v>
      </c>
      <c r="I18" s="3065">
        <v>43613</v>
      </c>
      <c r="J18" t="s">
        <v>3149</v>
      </c>
      <c r="K18">
        <v>263800</v>
      </c>
      <c r="L18">
        <v>5468.67</v>
      </c>
      <c r="M18">
        <v>27343</v>
      </c>
      <c r="N18">
        <v>0</v>
      </c>
      <c r="O18" t="s">
        <v>3122</v>
      </c>
    </row>
    <row r="19" spans="1:15">
      <c r="A19" t="s">
        <v>3150</v>
      </c>
      <c r="B19" t="s">
        <v>3128</v>
      </c>
      <c r="C19" t="s">
        <v>3151</v>
      </c>
      <c r="D19" t="s">
        <v>3105</v>
      </c>
      <c r="E19">
        <v>138746.29999999999</v>
      </c>
      <c r="F19">
        <v>486596</v>
      </c>
      <c r="G19">
        <v>3.51</v>
      </c>
      <c r="H19" t="s">
        <v>3138</v>
      </c>
      <c r="I19" s="3065">
        <v>43409</v>
      </c>
      <c r="J19" t="s">
        <v>3152</v>
      </c>
      <c r="K19">
        <v>866300</v>
      </c>
      <c r="L19">
        <v>4162.51</v>
      </c>
      <c r="M19">
        <v>17803</v>
      </c>
      <c r="N19">
        <v>0</v>
      </c>
      <c r="O19" t="s">
        <v>3122</v>
      </c>
    </row>
    <row r="20" spans="1:15">
      <c r="A20" t="s">
        <v>3153</v>
      </c>
      <c r="B20" t="s">
        <v>3154</v>
      </c>
      <c r="C20" t="s">
        <v>3155</v>
      </c>
      <c r="D20" t="s">
        <v>3105</v>
      </c>
      <c r="E20">
        <v>39410.74</v>
      </c>
      <c r="F20">
        <v>120000</v>
      </c>
      <c r="G20">
        <v>3.04</v>
      </c>
      <c r="H20" t="s">
        <v>3106</v>
      </c>
      <c r="I20" s="3065">
        <v>43287</v>
      </c>
      <c r="J20" t="s">
        <v>3156</v>
      </c>
      <c r="K20">
        <v>318758</v>
      </c>
      <c r="L20">
        <v>5392.07</v>
      </c>
      <c r="M20">
        <v>26563</v>
      </c>
      <c r="N20">
        <v>0</v>
      </c>
      <c r="O20" t="s">
        <v>3122</v>
      </c>
    </row>
    <row r="21" spans="1:15">
      <c r="A21" t="s">
        <v>3157</v>
      </c>
      <c r="B21" t="s">
        <v>3112</v>
      </c>
      <c r="C21" t="s">
        <v>3104</v>
      </c>
      <c r="D21" t="s">
        <v>3105</v>
      </c>
      <c r="E21">
        <v>59747.77</v>
      </c>
      <c r="F21">
        <v>89622</v>
      </c>
      <c r="G21">
        <v>1.5</v>
      </c>
      <c r="H21" t="s">
        <v>3158</v>
      </c>
      <c r="I21" s="3065">
        <v>43109</v>
      </c>
      <c r="J21" t="s">
        <v>3159</v>
      </c>
      <c r="K21">
        <v>146800</v>
      </c>
      <c r="L21">
        <v>1638</v>
      </c>
      <c r="M21">
        <v>16380</v>
      </c>
      <c r="N21">
        <v>0</v>
      </c>
      <c r="O21" t="s">
        <v>3160</v>
      </c>
    </row>
  </sheetData>
  <phoneticPr fontId="14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F1" zoomScale="80" zoomScaleNormal="80" workbookViewId="0">
      <selection activeCell="U18" sqref="U18"/>
    </sheetView>
  </sheetViews>
  <sheetFormatPr defaultColWidth="9" defaultRowHeight="13.5"/>
  <cols>
    <col min="1" max="1" width="4.75" style="3115" customWidth="1"/>
    <col min="2" max="2" width="8.625" style="3116" customWidth="1"/>
    <col min="3" max="5" width="9.375" style="3115" customWidth="1"/>
    <col min="6" max="6" width="11" style="3115" customWidth="1"/>
    <col min="7" max="7" width="20.125" style="3117" customWidth="1"/>
    <col min="8" max="8" width="12.5" style="3115" customWidth="1"/>
    <col min="9" max="9" width="8.5" style="3115" customWidth="1"/>
    <col min="10" max="10" width="21.75" style="3115" customWidth="1"/>
    <col min="11" max="11" width="9.375" style="3115" customWidth="1"/>
    <col min="12" max="14" width="9" style="3069"/>
    <col min="15" max="15" width="13.625" style="3069" customWidth="1"/>
    <col min="16" max="16" width="18.125" style="3069" customWidth="1"/>
    <col min="17" max="17" width="13.875" style="3069" bestFit="1" customWidth="1"/>
    <col min="18" max="18" width="9" style="3069"/>
    <col min="19" max="19" width="13.875" style="3069" bestFit="1" customWidth="1"/>
    <col min="20" max="20" width="9" style="3069"/>
    <col min="21" max="31" width="13.875" style="3069" bestFit="1" customWidth="1"/>
    <col min="32" max="16384" width="9" style="3069"/>
  </cols>
  <sheetData>
    <row r="1" spans="1:31" ht="38.25" customHeight="1">
      <c r="A1" s="3541" t="s">
        <v>3184</v>
      </c>
      <c r="B1" s="3542"/>
      <c r="C1" s="3542"/>
      <c r="D1" s="3542"/>
      <c r="E1" s="3542"/>
      <c r="F1" s="3542"/>
      <c r="G1" s="3542"/>
      <c r="H1" s="3542"/>
      <c r="I1" s="3542"/>
      <c r="J1" s="3542"/>
      <c r="K1" s="3542"/>
      <c r="L1" s="3542"/>
      <c r="M1" s="3542"/>
      <c r="N1" s="3542"/>
      <c r="O1" s="3542"/>
      <c r="P1" s="3068"/>
    </row>
    <row r="2" spans="1:31" ht="39.75" customHeight="1">
      <c r="A2" s="3543" t="s">
        <v>3185</v>
      </c>
      <c r="B2" s="3544"/>
      <c r="C2" s="3544"/>
      <c r="D2" s="3544"/>
      <c r="E2" s="3544"/>
      <c r="F2" s="3544"/>
      <c r="G2" s="3544"/>
      <c r="H2" s="3544"/>
      <c r="I2" s="3544"/>
      <c r="J2" s="3544"/>
      <c r="K2" s="3544"/>
      <c r="L2" s="3544"/>
      <c r="M2" s="3544"/>
      <c r="N2" s="3544"/>
      <c r="O2" s="3544"/>
      <c r="P2" s="3070"/>
      <c r="R2" s="3069" t="s">
        <v>3337</v>
      </c>
      <c r="S2" s="3123">
        <f>J4+J5+J6+J7+J9</f>
        <v>767924.5</v>
      </c>
      <c r="U2" s="3069">
        <v>0.1</v>
      </c>
    </row>
    <row r="3" spans="1:31" ht="39.950000000000003" customHeight="1">
      <c r="A3" s="3071" t="s">
        <v>3186</v>
      </c>
      <c r="B3" s="3071" t="s">
        <v>3187</v>
      </c>
      <c r="C3" s="3071" t="s">
        <v>3188</v>
      </c>
      <c r="D3" s="3071" t="s">
        <v>3189</v>
      </c>
      <c r="E3" s="3071" t="s">
        <v>3190</v>
      </c>
      <c r="F3" s="3072" t="s">
        <v>3191</v>
      </c>
      <c r="G3" s="3071" t="s">
        <v>3192</v>
      </c>
      <c r="H3" s="3071" t="s">
        <v>3193</v>
      </c>
      <c r="I3" s="3071" t="s">
        <v>3194</v>
      </c>
      <c r="J3" s="3073" t="s">
        <v>3195</v>
      </c>
      <c r="K3" s="3073" t="s">
        <v>3196</v>
      </c>
      <c r="L3" s="3071" t="s">
        <v>3197</v>
      </c>
      <c r="M3" s="3071" t="s">
        <v>3198</v>
      </c>
      <c r="N3" s="3071" t="s">
        <v>3199</v>
      </c>
      <c r="O3" s="3074" t="s">
        <v>3200</v>
      </c>
      <c r="P3" s="3071" t="s">
        <v>3201</v>
      </c>
      <c r="R3" s="3069" t="s">
        <v>3338</v>
      </c>
      <c r="S3" s="3069">
        <f>'数据-汇总表'!E3</f>
        <v>998.81000000000006</v>
      </c>
      <c r="U3" s="3069" t="s">
        <v>3346</v>
      </c>
      <c r="V3" s="3069" t="s">
        <v>3347</v>
      </c>
      <c r="W3" s="3069" t="s">
        <v>3348</v>
      </c>
      <c r="X3" s="3069" t="s">
        <v>3349</v>
      </c>
      <c r="Y3" s="3069" t="s">
        <v>3350</v>
      </c>
      <c r="Z3" s="3069" t="s">
        <v>3351</v>
      </c>
      <c r="AA3" s="3069" t="s">
        <v>3352</v>
      </c>
      <c r="AB3" s="3069" t="s">
        <v>3353</v>
      </c>
      <c r="AC3" s="3069" t="s">
        <v>3354</v>
      </c>
      <c r="AD3" s="3069" t="s">
        <v>3355</v>
      </c>
      <c r="AE3" s="3069" t="s">
        <v>3356</v>
      </c>
    </row>
    <row r="4" spans="1:31" ht="48" customHeight="1">
      <c r="A4" s="3071">
        <v>1</v>
      </c>
      <c r="B4" s="3075" t="s">
        <v>3202</v>
      </c>
      <c r="C4" s="3076" t="s">
        <v>3203</v>
      </c>
      <c r="D4" s="3077" t="s">
        <v>3204</v>
      </c>
      <c r="E4" s="3071" t="s">
        <v>3204</v>
      </c>
      <c r="F4" s="3072">
        <v>13001187752</v>
      </c>
      <c r="G4" s="3071" t="s">
        <v>3205</v>
      </c>
      <c r="H4" s="3071" t="s">
        <v>3206</v>
      </c>
      <c r="I4" s="3071">
        <v>181</v>
      </c>
      <c r="J4" s="3073">
        <v>156747.65</v>
      </c>
      <c r="K4" s="3071" t="s">
        <v>3207</v>
      </c>
      <c r="L4" s="3071" t="s">
        <v>3208</v>
      </c>
      <c r="M4" s="3072"/>
      <c r="N4" s="3071" t="s">
        <v>3209</v>
      </c>
      <c r="O4" s="3072" t="s">
        <v>3209</v>
      </c>
      <c r="P4" s="3071" t="s">
        <v>3210</v>
      </c>
      <c r="Q4" s="3123"/>
      <c r="R4" s="3123">
        <f>J4/I4/365</f>
        <v>2.3726277151290396</v>
      </c>
      <c r="S4" s="3123">
        <f>S2/S3/365</f>
        <v>2.1064093668726058</v>
      </c>
      <c r="T4" s="3069">
        <v>0.73</v>
      </c>
      <c r="U4" s="3069">
        <f>J4*(1+5%)</f>
        <v>164585.0325</v>
      </c>
      <c r="V4" s="3069">
        <f>U4</f>
        <v>164585.0325</v>
      </c>
    </row>
    <row r="5" spans="1:31" ht="42" customHeight="1">
      <c r="A5" s="3071">
        <v>2</v>
      </c>
      <c r="B5" s="3078" t="s">
        <v>3211</v>
      </c>
      <c r="C5" s="3076" t="s">
        <v>3212</v>
      </c>
      <c r="D5" s="3077" t="s">
        <v>3213</v>
      </c>
      <c r="E5" s="3071" t="s">
        <v>3214</v>
      </c>
      <c r="F5" s="3072">
        <v>13911933668</v>
      </c>
      <c r="G5" s="3071" t="s">
        <v>3215</v>
      </c>
      <c r="H5" s="3071" t="s">
        <v>3216</v>
      </c>
      <c r="I5" s="3071">
        <v>85.15</v>
      </c>
      <c r="J5" s="3073">
        <v>77700</v>
      </c>
      <c r="K5" s="3071" t="s">
        <v>3217</v>
      </c>
      <c r="L5" s="3071" t="s">
        <v>3208</v>
      </c>
      <c r="M5" s="3072" t="s">
        <v>3218</v>
      </c>
      <c r="N5" s="3071" t="s">
        <v>3209</v>
      </c>
      <c r="O5" s="3072" t="s">
        <v>3209</v>
      </c>
      <c r="P5" s="3071" t="s">
        <v>3219</v>
      </c>
      <c r="Q5" s="3123"/>
      <c r="T5" s="3069" t="s">
        <v>3416</v>
      </c>
      <c r="U5" s="3069">
        <v>93240</v>
      </c>
      <c r="V5" s="3069">
        <f>U5</f>
        <v>93240</v>
      </c>
    </row>
    <row r="6" spans="1:31" ht="59.25" customHeight="1">
      <c r="A6" s="3071">
        <v>3</v>
      </c>
      <c r="B6" s="3078" t="s">
        <v>3220</v>
      </c>
      <c r="C6" s="3076" t="s">
        <v>3212</v>
      </c>
      <c r="D6" s="3077" t="s">
        <v>3213</v>
      </c>
      <c r="E6" s="3079" t="s">
        <v>3221</v>
      </c>
      <c r="F6" s="3080">
        <v>13911933668</v>
      </c>
      <c r="G6" s="3081" t="s">
        <v>3222</v>
      </c>
      <c r="H6" s="3071" t="s">
        <v>3216</v>
      </c>
      <c r="I6" s="3071">
        <v>91.22</v>
      </c>
      <c r="J6" s="3073">
        <v>83240</v>
      </c>
      <c r="K6" s="3071" t="s">
        <v>3217</v>
      </c>
      <c r="L6" s="3071" t="s">
        <v>3208</v>
      </c>
      <c r="M6" s="3072" t="s">
        <v>3218</v>
      </c>
      <c r="N6" s="3071" t="s">
        <v>3209</v>
      </c>
      <c r="O6" s="3072" t="s">
        <v>3209</v>
      </c>
      <c r="P6" s="3082" t="s">
        <v>3223</v>
      </c>
      <c r="Q6" s="3123"/>
      <c r="U6" s="3069">
        <v>99890</v>
      </c>
      <c r="V6" s="3069">
        <f>U6</f>
        <v>99890</v>
      </c>
    </row>
    <row r="7" spans="1:31" ht="24" customHeight="1">
      <c r="A7" s="3539">
        <v>4</v>
      </c>
      <c r="B7" s="3545" t="s">
        <v>3224</v>
      </c>
      <c r="C7" s="3547" t="s">
        <v>3225</v>
      </c>
      <c r="D7" s="3549" t="s">
        <v>3226</v>
      </c>
      <c r="E7" s="3549" t="s">
        <v>3227</v>
      </c>
      <c r="F7" s="3551">
        <v>13911131871</v>
      </c>
      <c r="G7" s="3549" t="s">
        <v>3228</v>
      </c>
      <c r="H7" s="3083" t="s">
        <v>3229</v>
      </c>
      <c r="I7" s="3554">
        <v>333.07</v>
      </c>
      <c r="J7" s="3084">
        <v>182355.83</v>
      </c>
      <c r="K7" s="3537" t="s">
        <v>3217</v>
      </c>
      <c r="L7" s="3537" t="s">
        <v>3208</v>
      </c>
      <c r="M7" s="3537" t="s">
        <v>3218</v>
      </c>
      <c r="N7" s="3537">
        <v>50000</v>
      </c>
      <c r="O7" s="3537" t="s">
        <v>3209</v>
      </c>
      <c r="P7" s="3539" t="s">
        <v>3230</v>
      </c>
      <c r="Q7" s="3123">
        <f>J7+J8+J9+J10</f>
        <v>974765.58</v>
      </c>
      <c r="R7" s="3123">
        <f>J7/I7/365</f>
        <v>1.5000000411283816</v>
      </c>
      <c r="T7" s="3069">
        <f>SUM(U7:AE7)</f>
        <v>2370625.7500000005</v>
      </c>
      <c r="U7" s="3069">
        <v>182355.83</v>
      </c>
      <c r="V7" s="3069">
        <f>U7</f>
        <v>182355.83</v>
      </c>
      <c r="W7" s="3069">
        <f t="shared" ref="W7:Y8" si="0">V7</f>
        <v>182355.83</v>
      </c>
      <c r="X7" s="3069">
        <f t="shared" si="0"/>
        <v>182355.83</v>
      </c>
      <c r="Y7" s="3069">
        <f t="shared" si="0"/>
        <v>182355.83</v>
      </c>
      <c r="Z7" s="3123">
        <f>J8</f>
        <v>243141.1</v>
      </c>
      <c r="AA7" s="3123">
        <f>Z7</f>
        <v>243141.1</v>
      </c>
      <c r="AB7" s="3123">
        <f>AA7</f>
        <v>243141.1</v>
      </c>
      <c r="AC7" s="3123">
        <f>AB7</f>
        <v>243141.1</v>
      </c>
      <c r="AD7" s="3123">
        <f>AC7</f>
        <v>243141.1</v>
      </c>
      <c r="AE7" s="3123">
        <f>AD7</f>
        <v>243141.1</v>
      </c>
    </row>
    <row r="8" spans="1:31" ht="24" customHeight="1">
      <c r="A8" s="3540"/>
      <c r="B8" s="3546"/>
      <c r="C8" s="3548"/>
      <c r="D8" s="3550"/>
      <c r="E8" s="3550"/>
      <c r="F8" s="3552"/>
      <c r="G8" s="3553"/>
      <c r="H8" s="3083" t="s">
        <v>3231</v>
      </c>
      <c r="I8" s="3554"/>
      <c r="J8" s="3084">
        <v>243141.1</v>
      </c>
      <c r="K8" s="3557"/>
      <c r="L8" s="3557"/>
      <c r="M8" s="3538"/>
      <c r="N8" s="3538"/>
      <c r="O8" s="3538"/>
      <c r="P8" s="3540"/>
      <c r="Q8" s="3123">
        <f>(I7+I9)*2</f>
        <v>1282.8800000000001</v>
      </c>
      <c r="R8" s="3123">
        <f>J8/I7/365</f>
        <v>2</v>
      </c>
      <c r="T8" s="3069">
        <f>SUM(U8:AE8)</f>
        <v>3014224.2699999996</v>
      </c>
      <c r="U8" s="3123">
        <f>J9</f>
        <v>267881.02</v>
      </c>
      <c r="V8" s="3123">
        <f>U8</f>
        <v>267881.02</v>
      </c>
      <c r="W8" s="3123">
        <f t="shared" si="0"/>
        <v>267881.02</v>
      </c>
      <c r="X8" s="3123">
        <f t="shared" si="0"/>
        <v>267881.02</v>
      </c>
      <c r="Y8" s="3123">
        <f t="shared" si="0"/>
        <v>267881.02</v>
      </c>
      <c r="Z8" s="3123">
        <f>Y8</f>
        <v>267881.02</v>
      </c>
      <c r="AA8" s="3123">
        <f>J10</f>
        <v>281387.63</v>
      </c>
      <c r="AB8" s="3123">
        <f>AA8</f>
        <v>281387.63</v>
      </c>
      <c r="AC8" s="3123">
        <f>AB8</f>
        <v>281387.63</v>
      </c>
      <c r="AD8" s="3123">
        <f>AC8</f>
        <v>281387.63</v>
      </c>
      <c r="AE8" s="3123">
        <f>AD8</f>
        <v>281387.63</v>
      </c>
    </row>
    <row r="9" spans="1:31" ht="36.950000000000003" customHeight="1">
      <c r="A9" s="3539">
        <v>5</v>
      </c>
      <c r="B9" s="3545" t="s">
        <v>3232</v>
      </c>
      <c r="C9" s="3558" t="s">
        <v>3225</v>
      </c>
      <c r="D9" s="3560" t="s">
        <v>3233</v>
      </c>
      <c r="E9" s="3537" t="s">
        <v>3234</v>
      </c>
      <c r="F9" s="3555">
        <v>13811575603</v>
      </c>
      <c r="G9" s="3539" t="s">
        <v>3235</v>
      </c>
      <c r="H9" s="3083" t="s">
        <v>3236</v>
      </c>
      <c r="I9" s="3564">
        <v>308.37</v>
      </c>
      <c r="J9" s="3085">
        <v>267881.02</v>
      </c>
      <c r="K9" s="3566" t="s">
        <v>3217</v>
      </c>
      <c r="L9" s="3537" t="s">
        <v>3208</v>
      </c>
      <c r="M9" s="3537" t="s">
        <v>3218</v>
      </c>
      <c r="N9" s="3539" t="s">
        <v>3237</v>
      </c>
      <c r="O9" s="3562" t="s">
        <v>3209</v>
      </c>
      <c r="P9" s="3072" t="s">
        <v>3238</v>
      </c>
      <c r="Q9" s="3123">
        <f>Q7/Q8/365</f>
        <v>2.0817150708850289</v>
      </c>
      <c r="R9" s="3123"/>
      <c r="T9" s="3069">
        <f>T8+T7</f>
        <v>5384850.0199999996</v>
      </c>
    </row>
    <row r="10" spans="1:31" ht="36.950000000000003" customHeight="1">
      <c r="A10" s="3540"/>
      <c r="B10" s="3546"/>
      <c r="C10" s="3559"/>
      <c r="D10" s="3561"/>
      <c r="E10" s="3557"/>
      <c r="F10" s="3556"/>
      <c r="G10" s="3563"/>
      <c r="H10" s="3086" t="s">
        <v>3239</v>
      </c>
      <c r="I10" s="3565"/>
      <c r="J10" s="3087">
        <v>281387.63</v>
      </c>
      <c r="K10" s="3567"/>
      <c r="L10" s="3557"/>
      <c r="M10" s="3538"/>
      <c r="N10" s="3540"/>
      <c r="O10" s="3562"/>
      <c r="P10" s="3072" t="s">
        <v>3240</v>
      </c>
      <c r="Q10" s="3069" t="s">
        <v>3357</v>
      </c>
      <c r="T10" s="3069">
        <f>T9/(I7+I9)</f>
        <v>8394.9395422798698</v>
      </c>
    </row>
    <row r="11" spans="1:31" ht="54" customHeight="1">
      <c r="A11" s="3071">
        <v>6</v>
      </c>
      <c r="B11" s="3088" t="s">
        <v>3241</v>
      </c>
      <c r="C11" s="3089" t="s">
        <v>3225</v>
      </c>
      <c r="D11" s="3074" t="s">
        <v>3242</v>
      </c>
      <c r="E11" s="3072" t="s">
        <v>3243</v>
      </c>
      <c r="F11" s="3090">
        <v>13701360720</v>
      </c>
      <c r="G11" s="3071" t="s">
        <v>3244</v>
      </c>
      <c r="H11" s="3083" t="s">
        <v>3245</v>
      </c>
      <c r="I11" s="3091">
        <v>9283.9</v>
      </c>
      <c r="J11" s="3085">
        <v>11860182.25</v>
      </c>
      <c r="K11" s="3092" t="s">
        <v>3246</v>
      </c>
      <c r="L11" s="3093" t="s">
        <v>3208</v>
      </c>
      <c r="M11" s="3093" t="s">
        <v>3218</v>
      </c>
      <c r="N11" s="3094" t="s">
        <v>3247</v>
      </c>
      <c r="O11" s="3085" t="s">
        <v>3209</v>
      </c>
      <c r="P11" s="3071" t="s">
        <v>3248</v>
      </c>
      <c r="T11" s="3069">
        <f>T10/11</f>
        <v>763.17632202544269</v>
      </c>
    </row>
    <row r="12" spans="1:31" ht="36.950000000000003" customHeight="1">
      <c r="A12" s="3071">
        <v>7</v>
      </c>
      <c r="B12" s="3095">
        <v>1</v>
      </c>
      <c r="C12" s="3096" t="s">
        <v>3249</v>
      </c>
      <c r="D12" s="3097" t="s">
        <v>3250</v>
      </c>
      <c r="E12" s="3096" t="s">
        <v>3251</v>
      </c>
      <c r="F12" s="3096" t="s">
        <v>3252</v>
      </c>
      <c r="G12" s="3097" t="s">
        <v>3253</v>
      </c>
      <c r="H12" s="3097" t="s">
        <v>3236</v>
      </c>
      <c r="I12" s="3072">
        <v>8600.65</v>
      </c>
      <c r="J12" s="3098">
        <v>14126567.619999999</v>
      </c>
      <c r="K12" s="3072" t="s">
        <v>3254</v>
      </c>
      <c r="L12" s="3093" t="s">
        <v>3208</v>
      </c>
      <c r="M12" s="3093" t="s">
        <v>3218</v>
      </c>
      <c r="N12" s="3071" t="s">
        <v>3209</v>
      </c>
      <c r="O12" s="3085" t="s">
        <v>3209</v>
      </c>
      <c r="P12" s="3072"/>
      <c r="Q12" s="3123"/>
      <c r="T12" s="3069">
        <f>T11/365</f>
        <v>2.0908940329464185</v>
      </c>
    </row>
    <row r="13" spans="1:31" ht="27.95" customHeight="1">
      <c r="A13" s="3099"/>
      <c r="B13" s="3099"/>
      <c r="C13" s="3099"/>
      <c r="D13" s="3100" t="s">
        <v>3255</v>
      </c>
      <c r="E13" s="3101"/>
      <c r="F13" s="3101"/>
      <c r="G13" s="3101"/>
      <c r="H13" s="3101"/>
      <c r="I13" s="3102"/>
      <c r="J13" s="3085">
        <f>SUM(J4:J12)</f>
        <v>27279203.100000001</v>
      </c>
      <c r="K13" s="3072"/>
      <c r="L13" s="3103"/>
      <c r="M13" s="3103"/>
      <c r="N13" s="3103"/>
      <c r="O13" s="3104"/>
      <c r="P13" s="3103"/>
    </row>
    <row r="14" spans="1:31" ht="20.100000000000001" customHeight="1">
      <c r="A14" s="3105"/>
      <c r="B14" s="3106"/>
      <c r="C14" s="3107"/>
      <c r="D14" s="3108"/>
      <c r="E14" s="3105"/>
      <c r="F14" s="3105"/>
      <c r="G14" s="3109"/>
      <c r="H14" s="3105"/>
      <c r="I14" s="3110"/>
      <c r="J14" s="3110"/>
      <c r="K14" s="3110"/>
      <c r="L14" s="3111"/>
    </row>
    <row r="15" spans="1:31" ht="14.25">
      <c r="A15" s="3105"/>
      <c r="B15" s="3106"/>
      <c r="C15" s="3107"/>
      <c r="D15" s="3108"/>
      <c r="E15" s="3105"/>
      <c r="F15" s="3105"/>
      <c r="G15" s="3109"/>
      <c r="H15" s="3105"/>
      <c r="I15" s="3110"/>
      <c r="J15" s="3110"/>
      <c r="K15" s="3110"/>
      <c r="L15" s="3111"/>
    </row>
    <row r="16" spans="1:31" ht="14.25">
      <c r="A16" s="3105"/>
      <c r="B16" s="3106"/>
      <c r="C16" s="3107"/>
      <c r="D16" s="3108"/>
      <c r="E16" s="3105"/>
      <c r="F16" s="3105"/>
      <c r="G16" s="3109"/>
      <c r="H16" s="3105"/>
      <c r="I16" s="3110"/>
      <c r="J16" s="3110"/>
      <c r="K16" s="3110"/>
      <c r="L16" s="3111"/>
    </row>
    <row r="17" spans="1:12" ht="14.25">
      <c r="A17" s="3105"/>
      <c r="B17" s="3106"/>
      <c r="C17" s="3107"/>
      <c r="D17" s="3108"/>
      <c r="E17" s="3105"/>
      <c r="F17" s="3105"/>
      <c r="G17" s="3109"/>
      <c r="H17" s="3105"/>
      <c r="I17" s="3110"/>
      <c r="J17" s="3110"/>
      <c r="K17" s="3110"/>
      <c r="L17" s="3111"/>
    </row>
    <row r="18" spans="1:12" ht="14.25">
      <c r="A18" s="3105"/>
      <c r="B18" s="3106"/>
      <c r="C18" s="3107"/>
      <c r="D18" s="3108"/>
      <c r="E18" s="3105"/>
      <c r="F18" s="3105"/>
      <c r="G18" s="3112"/>
      <c r="H18" s="3105"/>
      <c r="I18" s="3110"/>
      <c r="J18" s="3110"/>
      <c r="K18" s="3110"/>
      <c r="L18" s="3111"/>
    </row>
    <row r="19" spans="1:12" ht="14.25">
      <c r="A19" s="3105"/>
      <c r="B19" s="3106"/>
      <c r="C19" s="3107"/>
      <c r="D19" s="3108"/>
      <c r="E19" s="3105"/>
      <c r="F19" s="3105"/>
      <c r="G19" s="3109"/>
      <c r="H19" s="3105"/>
      <c r="I19" s="3110"/>
      <c r="J19" s="3110"/>
      <c r="K19" s="3110"/>
      <c r="L19" s="3111"/>
    </row>
    <row r="20" spans="1:12" ht="14.25">
      <c r="A20" s="3105"/>
      <c r="B20" s="3106"/>
      <c r="C20" s="3107"/>
      <c r="D20" s="3108"/>
      <c r="E20" s="3105"/>
      <c r="F20" s="3105"/>
      <c r="G20" s="3109"/>
      <c r="H20" s="3105"/>
      <c r="I20" s="3110"/>
      <c r="J20" s="3110"/>
      <c r="K20" s="3110"/>
      <c r="L20" s="3111"/>
    </row>
    <row r="21" spans="1:12" ht="14.25">
      <c r="A21" s="3105"/>
      <c r="B21" s="3106"/>
      <c r="C21" s="3113"/>
      <c r="D21" s="3108"/>
      <c r="E21" s="3105"/>
      <c r="F21" s="3105"/>
      <c r="G21" s="3112"/>
      <c r="H21" s="3105"/>
      <c r="I21" s="3110"/>
      <c r="J21" s="3110"/>
      <c r="K21" s="3110"/>
      <c r="L21" s="3111"/>
    </row>
    <row r="22" spans="1:12" ht="14.25">
      <c r="A22" s="3105"/>
      <c r="B22" s="3106"/>
      <c r="C22" s="3107"/>
      <c r="D22" s="3108"/>
      <c r="E22" s="3105"/>
      <c r="F22" s="3105"/>
      <c r="G22" s="3109"/>
      <c r="H22" s="3105"/>
      <c r="I22" s="3110"/>
      <c r="J22" s="3110"/>
      <c r="K22" s="3110"/>
      <c r="L22" s="3111"/>
    </row>
    <row r="23" spans="1:12" ht="14.25">
      <c r="A23" s="3105"/>
      <c r="B23" s="3106"/>
      <c r="C23" s="3107"/>
      <c r="D23" s="3108"/>
      <c r="E23" s="3105"/>
      <c r="F23" s="3105"/>
      <c r="G23" s="3109"/>
      <c r="H23" s="3105"/>
      <c r="I23" s="3110"/>
      <c r="J23" s="3110"/>
      <c r="K23" s="3110"/>
      <c r="L23" s="3111"/>
    </row>
    <row r="24" spans="1:12" ht="14.25">
      <c r="A24" s="3105"/>
      <c r="B24" s="3106"/>
      <c r="C24" s="3107"/>
      <c r="D24" s="3108"/>
      <c r="E24" s="3105"/>
      <c r="F24" s="3105"/>
      <c r="G24" s="3109"/>
      <c r="H24" s="3105"/>
      <c r="I24" s="3110"/>
      <c r="J24" s="3110"/>
      <c r="K24" s="3110"/>
      <c r="L24" s="3111"/>
    </row>
    <row r="25" spans="1:12">
      <c r="A25" s="3105"/>
      <c r="B25" s="3105"/>
      <c r="C25" s="3110"/>
      <c r="D25" s="3108"/>
      <c r="E25" s="3110"/>
      <c r="F25" s="3110"/>
      <c r="G25" s="3114"/>
      <c r="H25" s="3110"/>
      <c r="I25" s="3110"/>
      <c r="J25" s="3110"/>
      <c r="K25" s="3110"/>
      <c r="L25" s="3111"/>
    </row>
    <row r="26" spans="1:12">
      <c r="A26" s="3110"/>
      <c r="B26" s="3105"/>
      <c r="C26" s="3110"/>
      <c r="D26" s="3110"/>
      <c r="E26" s="3110"/>
      <c r="F26" s="3110"/>
      <c r="G26" s="3114"/>
      <c r="H26" s="3110"/>
      <c r="I26" s="3110"/>
      <c r="J26" s="3110"/>
      <c r="K26" s="3110"/>
      <c r="L26" s="3111"/>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disablePrompts="1"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B4" sqref="B4"/>
    </sheetView>
  </sheetViews>
  <sheetFormatPr defaultColWidth="9" defaultRowHeight="20.25" customHeight="1"/>
  <cols>
    <col min="1" max="1" width="14.25" style="3139" customWidth="1"/>
    <col min="2" max="2" width="18.75" style="3139" customWidth="1"/>
    <col min="3" max="5" width="14.25" style="3139" customWidth="1"/>
    <col min="6" max="6" width="11" style="3139" customWidth="1"/>
    <col min="7" max="7" width="9" style="3139"/>
    <col min="8" max="8" width="13.75" style="3139" customWidth="1"/>
    <col min="9" max="256" width="9" style="3139"/>
    <col min="257" max="257" width="14.25" style="3139" customWidth="1"/>
    <col min="258" max="258" width="18.75" style="3139" customWidth="1"/>
    <col min="259" max="261" width="14.25" style="3139" customWidth="1"/>
    <col min="262" max="262" width="11" style="3139" customWidth="1"/>
    <col min="263" max="263" width="9" style="3139"/>
    <col min="264" max="264" width="13.75" style="3139" customWidth="1"/>
    <col min="265" max="512" width="9" style="3139"/>
    <col min="513" max="513" width="14.25" style="3139" customWidth="1"/>
    <col min="514" max="514" width="18.75" style="3139" customWidth="1"/>
    <col min="515" max="517" width="14.25" style="3139" customWidth="1"/>
    <col min="518" max="518" width="11" style="3139" customWidth="1"/>
    <col min="519" max="519" width="9" style="3139"/>
    <col min="520" max="520" width="13.75" style="3139" customWidth="1"/>
    <col min="521" max="768" width="9" style="3139"/>
    <col min="769" max="769" width="14.25" style="3139" customWidth="1"/>
    <col min="770" max="770" width="18.75" style="3139" customWidth="1"/>
    <col min="771" max="773" width="14.25" style="3139" customWidth="1"/>
    <col min="774" max="774" width="11" style="3139" customWidth="1"/>
    <col min="775" max="775" width="9" style="3139"/>
    <col min="776" max="776" width="13.75" style="3139" customWidth="1"/>
    <col min="777" max="1024" width="9" style="3139"/>
    <col min="1025" max="1025" width="14.25" style="3139" customWidth="1"/>
    <col min="1026" max="1026" width="18.75" style="3139" customWidth="1"/>
    <col min="1027" max="1029" width="14.25" style="3139" customWidth="1"/>
    <col min="1030" max="1030" width="11" style="3139" customWidth="1"/>
    <col min="1031" max="1031" width="9" style="3139"/>
    <col min="1032" max="1032" width="13.75" style="3139" customWidth="1"/>
    <col min="1033" max="1280" width="9" style="3139"/>
    <col min="1281" max="1281" width="14.25" style="3139" customWidth="1"/>
    <col min="1282" max="1282" width="18.75" style="3139" customWidth="1"/>
    <col min="1283" max="1285" width="14.25" style="3139" customWidth="1"/>
    <col min="1286" max="1286" width="11" style="3139" customWidth="1"/>
    <col min="1287" max="1287" width="9" style="3139"/>
    <col min="1288" max="1288" width="13.75" style="3139" customWidth="1"/>
    <col min="1289" max="1536" width="9" style="3139"/>
    <col min="1537" max="1537" width="14.25" style="3139" customWidth="1"/>
    <col min="1538" max="1538" width="18.75" style="3139" customWidth="1"/>
    <col min="1539" max="1541" width="14.25" style="3139" customWidth="1"/>
    <col min="1542" max="1542" width="11" style="3139" customWidth="1"/>
    <col min="1543" max="1543" width="9" style="3139"/>
    <col min="1544" max="1544" width="13.75" style="3139" customWidth="1"/>
    <col min="1545" max="1792" width="9" style="3139"/>
    <col min="1793" max="1793" width="14.25" style="3139" customWidth="1"/>
    <col min="1794" max="1794" width="18.75" style="3139" customWidth="1"/>
    <col min="1795" max="1797" width="14.25" style="3139" customWidth="1"/>
    <col min="1798" max="1798" width="11" style="3139" customWidth="1"/>
    <col min="1799" max="1799" width="9" style="3139"/>
    <col min="1800" max="1800" width="13.75" style="3139" customWidth="1"/>
    <col min="1801" max="2048" width="9" style="3139"/>
    <col min="2049" max="2049" width="14.25" style="3139" customWidth="1"/>
    <col min="2050" max="2050" width="18.75" style="3139" customWidth="1"/>
    <col min="2051" max="2053" width="14.25" style="3139" customWidth="1"/>
    <col min="2054" max="2054" width="11" style="3139" customWidth="1"/>
    <col min="2055" max="2055" width="9" style="3139"/>
    <col min="2056" max="2056" width="13.75" style="3139" customWidth="1"/>
    <col min="2057" max="2304" width="9" style="3139"/>
    <col min="2305" max="2305" width="14.25" style="3139" customWidth="1"/>
    <col min="2306" max="2306" width="18.75" style="3139" customWidth="1"/>
    <col min="2307" max="2309" width="14.25" style="3139" customWidth="1"/>
    <col min="2310" max="2310" width="11" style="3139" customWidth="1"/>
    <col min="2311" max="2311" width="9" style="3139"/>
    <col min="2312" max="2312" width="13.75" style="3139" customWidth="1"/>
    <col min="2313" max="2560" width="9" style="3139"/>
    <col min="2561" max="2561" width="14.25" style="3139" customWidth="1"/>
    <col min="2562" max="2562" width="18.75" style="3139" customWidth="1"/>
    <col min="2563" max="2565" width="14.25" style="3139" customWidth="1"/>
    <col min="2566" max="2566" width="11" style="3139" customWidth="1"/>
    <col min="2567" max="2567" width="9" style="3139"/>
    <col min="2568" max="2568" width="13.75" style="3139" customWidth="1"/>
    <col min="2569" max="2816" width="9" style="3139"/>
    <col min="2817" max="2817" width="14.25" style="3139" customWidth="1"/>
    <col min="2818" max="2818" width="18.75" style="3139" customWidth="1"/>
    <col min="2819" max="2821" width="14.25" style="3139" customWidth="1"/>
    <col min="2822" max="2822" width="11" style="3139" customWidth="1"/>
    <col min="2823" max="2823" width="9" style="3139"/>
    <col min="2824" max="2824" width="13.75" style="3139" customWidth="1"/>
    <col min="2825" max="3072" width="9" style="3139"/>
    <col min="3073" max="3073" width="14.25" style="3139" customWidth="1"/>
    <col min="3074" max="3074" width="18.75" style="3139" customWidth="1"/>
    <col min="3075" max="3077" width="14.25" style="3139" customWidth="1"/>
    <col min="3078" max="3078" width="11" style="3139" customWidth="1"/>
    <col min="3079" max="3079" width="9" style="3139"/>
    <col min="3080" max="3080" width="13.75" style="3139" customWidth="1"/>
    <col min="3081" max="3328" width="9" style="3139"/>
    <col min="3329" max="3329" width="14.25" style="3139" customWidth="1"/>
    <col min="3330" max="3330" width="18.75" style="3139" customWidth="1"/>
    <col min="3331" max="3333" width="14.25" style="3139" customWidth="1"/>
    <col min="3334" max="3334" width="11" style="3139" customWidth="1"/>
    <col min="3335" max="3335" width="9" style="3139"/>
    <col min="3336" max="3336" width="13.75" style="3139" customWidth="1"/>
    <col min="3337" max="3584" width="9" style="3139"/>
    <col min="3585" max="3585" width="14.25" style="3139" customWidth="1"/>
    <col min="3586" max="3586" width="18.75" style="3139" customWidth="1"/>
    <col min="3587" max="3589" width="14.25" style="3139" customWidth="1"/>
    <col min="3590" max="3590" width="11" style="3139" customWidth="1"/>
    <col min="3591" max="3591" width="9" style="3139"/>
    <col min="3592" max="3592" width="13.75" style="3139" customWidth="1"/>
    <col min="3593" max="3840" width="9" style="3139"/>
    <col min="3841" max="3841" width="14.25" style="3139" customWidth="1"/>
    <col min="3842" max="3842" width="18.75" style="3139" customWidth="1"/>
    <col min="3843" max="3845" width="14.25" style="3139" customWidth="1"/>
    <col min="3846" max="3846" width="11" style="3139" customWidth="1"/>
    <col min="3847" max="3847" width="9" style="3139"/>
    <col min="3848" max="3848" width="13.75" style="3139" customWidth="1"/>
    <col min="3849" max="4096" width="9" style="3139"/>
    <col min="4097" max="4097" width="14.25" style="3139" customWidth="1"/>
    <col min="4098" max="4098" width="18.75" style="3139" customWidth="1"/>
    <col min="4099" max="4101" width="14.25" style="3139" customWidth="1"/>
    <col min="4102" max="4102" width="11" style="3139" customWidth="1"/>
    <col min="4103" max="4103" width="9" style="3139"/>
    <col min="4104" max="4104" width="13.75" style="3139" customWidth="1"/>
    <col min="4105" max="4352" width="9" style="3139"/>
    <col min="4353" max="4353" width="14.25" style="3139" customWidth="1"/>
    <col min="4354" max="4354" width="18.75" style="3139" customWidth="1"/>
    <col min="4355" max="4357" width="14.25" style="3139" customWidth="1"/>
    <col min="4358" max="4358" width="11" style="3139" customWidth="1"/>
    <col min="4359" max="4359" width="9" style="3139"/>
    <col min="4360" max="4360" width="13.75" style="3139" customWidth="1"/>
    <col min="4361" max="4608" width="9" style="3139"/>
    <col min="4609" max="4609" width="14.25" style="3139" customWidth="1"/>
    <col min="4610" max="4610" width="18.75" style="3139" customWidth="1"/>
    <col min="4611" max="4613" width="14.25" style="3139" customWidth="1"/>
    <col min="4614" max="4614" width="11" style="3139" customWidth="1"/>
    <col min="4615" max="4615" width="9" style="3139"/>
    <col min="4616" max="4616" width="13.75" style="3139" customWidth="1"/>
    <col min="4617" max="4864" width="9" style="3139"/>
    <col min="4865" max="4865" width="14.25" style="3139" customWidth="1"/>
    <col min="4866" max="4866" width="18.75" style="3139" customWidth="1"/>
    <col min="4867" max="4869" width="14.25" style="3139" customWidth="1"/>
    <col min="4870" max="4870" width="11" style="3139" customWidth="1"/>
    <col min="4871" max="4871" width="9" style="3139"/>
    <col min="4872" max="4872" width="13.75" style="3139" customWidth="1"/>
    <col min="4873" max="5120" width="9" style="3139"/>
    <col min="5121" max="5121" width="14.25" style="3139" customWidth="1"/>
    <col min="5122" max="5122" width="18.75" style="3139" customWidth="1"/>
    <col min="5123" max="5125" width="14.25" style="3139" customWidth="1"/>
    <col min="5126" max="5126" width="11" style="3139" customWidth="1"/>
    <col min="5127" max="5127" width="9" style="3139"/>
    <col min="5128" max="5128" width="13.75" style="3139" customWidth="1"/>
    <col min="5129" max="5376" width="9" style="3139"/>
    <col min="5377" max="5377" width="14.25" style="3139" customWidth="1"/>
    <col min="5378" max="5378" width="18.75" style="3139" customWidth="1"/>
    <col min="5379" max="5381" width="14.25" style="3139" customWidth="1"/>
    <col min="5382" max="5382" width="11" style="3139" customWidth="1"/>
    <col min="5383" max="5383" width="9" style="3139"/>
    <col min="5384" max="5384" width="13.75" style="3139" customWidth="1"/>
    <col min="5385" max="5632" width="9" style="3139"/>
    <col min="5633" max="5633" width="14.25" style="3139" customWidth="1"/>
    <col min="5634" max="5634" width="18.75" style="3139" customWidth="1"/>
    <col min="5635" max="5637" width="14.25" style="3139" customWidth="1"/>
    <col min="5638" max="5638" width="11" style="3139" customWidth="1"/>
    <col min="5639" max="5639" width="9" style="3139"/>
    <col min="5640" max="5640" width="13.75" style="3139" customWidth="1"/>
    <col min="5641" max="5888" width="9" style="3139"/>
    <col min="5889" max="5889" width="14.25" style="3139" customWidth="1"/>
    <col min="5890" max="5890" width="18.75" style="3139" customWidth="1"/>
    <col min="5891" max="5893" width="14.25" style="3139" customWidth="1"/>
    <col min="5894" max="5894" width="11" style="3139" customWidth="1"/>
    <col min="5895" max="5895" width="9" style="3139"/>
    <col min="5896" max="5896" width="13.75" style="3139" customWidth="1"/>
    <col min="5897" max="6144" width="9" style="3139"/>
    <col min="6145" max="6145" width="14.25" style="3139" customWidth="1"/>
    <col min="6146" max="6146" width="18.75" style="3139" customWidth="1"/>
    <col min="6147" max="6149" width="14.25" style="3139" customWidth="1"/>
    <col min="6150" max="6150" width="11" style="3139" customWidth="1"/>
    <col min="6151" max="6151" width="9" style="3139"/>
    <col min="6152" max="6152" width="13.75" style="3139" customWidth="1"/>
    <col min="6153" max="6400" width="9" style="3139"/>
    <col min="6401" max="6401" width="14.25" style="3139" customWidth="1"/>
    <col min="6402" max="6402" width="18.75" style="3139" customWidth="1"/>
    <col min="6403" max="6405" width="14.25" style="3139" customWidth="1"/>
    <col min="6406" max="6406" width="11" style="3139" customWidth="1"/>
    <col min="6407" max="6407" width="9" style="3139"/>
    <col min="6408" max="6408" width="13.75" style="3139" customWidth="1"/>
    <col min="6409" max="6656" width="9" style="3139"/>
    <col min="6657" max="6657" width="14.25" style="3139" customWidth="1"/>
    <col min="6658" max="6658" width="18.75" style="3139" customWidth="1"/>
    <col min="6659" max="6661" width="14.25" style="3139" customWidth="1"/>
    <col min="6662" max="6662" width="11" style="3139" customWidth="1"/>
    <col min="6663" max="6663" width="9" style="3139"/>
    <col min="6664" max="6664" width="13.75" style="3139" customWidth="1"/>
    <col min="6665" max="6912" width="9" style="3139"/>
    <col min="6913" max="6913" width="14.25" style="3139" customWidth="1"/>
    <col min="6914" max="6914" width="18.75" style="3139" customWidth="1"/>
    <col min="6915" max="6917" width="14.25" style="3139" customWidth="1"/>
    <col min="6918" max="6918" width="11" style="3139" customWidth="1"/>
    <col min="6919" max="6919" width="9" style="3139"/>
    <col min="6920" max="6920" width="13.75" style="3139" customWidth="1"/>
    <col min="6921" max="7168" width="9" style="3139"/>
    <col min="7169" max="7169" width="14.25" style="3139" customWidth="1"/>
    <col min="7170" max="7170" width="18.75" style="3139" customWidth="1"/>
    <col min="7171" max="7173" width="14.25" style="3139" customWidth="1"/>
    <col min="7174" max="7174" width="11" style="3139" customWidth="1"/>
    <col min="7175" max="7175" width="9" style="3139"/>
    <col min="7176" max="7176" width="13.75" style="3139" customWidth="1"/>
    <col min="7177" max="7424" width="9" style="3139"/>
    <col min="7425" max="7425" width="14.25" style="3139" customWidth="1"/>
    <col min="7426" max="7426" width="18.75" style="3139" customWidth="1"/>
    <col min="7427" max="7429" width="14.25" style="3139" customWidth="1"/>
    <col min="7430" max="7430" width="11" style="3139" customWidth="1"/>
    <col min="7431" max="7431" width="9" style="3139"/>
    <col min="7432" max="7432" width="13.75" style="3139" customWidth="1"/>
    <col min="7433" max="7680" width="9" style="3139"/>
    <col min="7681" max="7681" width="14.25" style="3139" customWidth="1"/>
    <col min="7682" max="7682" width="18.75" style="3139" customWidth="1"/>
    <col min="7683" max="7685" width="14.25" style="3139" customWidth="1"/>
    <col min="7686" max="7686" width="11" style="3139" customWidth="1"/>
    <col min="7687" max="7687" width="9" style="3139"/>
    <col min="7688" max="7688" width="13.75" style="3139" customWidth="1"/>
    <col min="7689" max="7936" width="9" style="3139"/>
    <col min="7937" max="7937" width="14.25" style="3139" customWidth="1"/>
    <col min="7938" max="7938" width="18.75" style="3139" customWidth="1"/>
    <col min="7939" max="7941" width="14.25" style="3139" customWidth="1"/>
    <col min="7942" max="7942" width="11" style="3139" customWidth="1"/>
    <col min="7943" max="7943" width="9" style="3139"/>
    <col min="7944" max="7944" width="13.75" style="3139" customWidth="1"/>
    <col min="7945" max="8192" width="9" style="3139"/>
    <col min="8193" max="8193" width="14.25" style="3139" customWidth="1"/>
    <col min="8194" max="8194" width="18.75" style="3139" customWidth="1"/>
    <col min="8195" max="8197" width="14.25" style="3139" customWidth="1"/>
    <col min="8198" max="8198" width="11" style="3139" customWidth="1"/>
    <col min="8199" max="8199" width="9" style="3139"/>
    <col min="8200" max="8200" width="13.75" style="3139" customWidth="1"/>
    <col min="8201" max="8448" width="9" style="3139"/>
    <col min="8449" max="8449" width="14.25" style="3139" customWidth="1"/>
    <col min="8450" max="8450" width="18.75" style="3139" customWidth="1"/>
    <col min="8451" max="8453" width="14.25" style="3139" customWidth="1"/>
    <col min="8454" max="8454" width="11" style="3139" customWidth="1"/>
    <col min="8455" max="8455" width="9" style="3139"/>
    <col min="8456" max="8456" width="13.75" style="3139" customWidth="1"/>
    <col min="8457" max="8704" width="9" style="3139"/>
    <col min="8705" max="8705" width="14.25" style="3139" customWidth="1"/>
    <col min="8706" max="8706" width="18.75" style="3139" customWidth="1"/>
    <col min="8707" max="8709" width="14.25" style="3139" customWidth="1"/>
    <col min="8710" max="8710" width="11" style="3139" customWidth="1"/>
    <col min="8711" max="8711" width="9" style="3139"/>
    <col min="8712" max="8712" width="13.75" style="3139" customWidth="1"/>
    <col min="8713" max="8960" width="9" style="3139"/>
    <col min="8961" max="8961" width="14.25" style="3139" customWidth="1"/>
    <col min="8962" max="8962" width="18.75" style="3139" customWidth="1"/>
    <col min="8963" max="8965" width="14.25" style="3139" customWidth="1"/>
    <col min="8966" max="8966" width="11" style="3139" customWidth="1"/>
    <col min="8967" max="8967" width="9" style="3139"/>
    <col min="8968" max="8968" width="13.75" style="3139" customWidth="1"/>
    <col min="8969" max="9216" width="9" style="3139"/>
    <col min="9217" max="9217" width="14.25" style="3139" customWidth="1"/>
    <col min="9218" max="9218" width="18.75" style="3139" customWidth="1"/>
    <col min="9219" max="9221" width="14.25" style="3139" customWidth="1"/>
    <col min="9222" max="9222" width="11" style="3139" customWidth="1"/>
    <col min="9223" max="9223" width="9" style="3139"/>
    <col min="9224" max="9224" width="13.75" style="3139" customWidth="1"/>
    <col min="9225" max="9472" width="9" style="3139"/>
    <col min="9473" max="9473" width="14.25" style="3139" customWidth="1"/>
    <col min="9474" max="9474" width="18.75" style="3139" customWidth="1"/>
    <col min="9475" max="9477" width="14.25" style="3139" customWidth="1"/>
    <col min="9478" max="9478" width="11" style="3139" customWidth="1"/>
    <col min="9479" max="9479" width="9" style="3139"/>
    <col min="9480" max="9480" width="13.75" style="3139" customWidth="1"/>
    <col min="9481" max="9728" width="9" style="3139"/>
    <col min="9729" max="9729" width="14.25" style="3139" customWidth="1"/>
    <col min="9730" max="9730" width="18.75" style="3139" customWidth="1"/>
    <col min="9731" max="9733" width="14.25" style="3139" customWidth="1"/>
    <col min="9734" max="9734" width="11" style="3139" customWidth="1"/>
    <col min="9735" max="9735" width="9" style="3139"/>
    <col min="9736" max="9736" width="13.75" style="3139" customWidth="1"/>
    <col min="9737" max="9984" width="9" style="3139"/>
    <col min="9985" max="9985" width="14.25" style="3139" customWidth="1"/>
    <col min="9986" max="9986" width="18.75" style="3139" customWidth="1"/>
    <col min="9987" max="9989" width="14.25" style="3139" customWidth="1"/>
    <col min="9990" max="9990" width="11" style="3139" customWidth="1"/>
    <col min="9991" max="9991" width="9" style="3139"/>
    <col min="9992" max="9992" width="13.75" style="3139" customWidth="1"/>
    <col min="9993" max="10240" width="9" style="3139"/>
    <col min="10241" max="10241" width="14.25" style="3139" customWidth="1"/>
    <col min="10242" max="10242" width="18.75" style="3139" customWidth="1"/>
    <col min="10243" max="10245" width="14.25" style="3139" customWidth="1"/>
    <col min="10246" max="10246" width="11" style="3139" customWidth="1"/>
    <col min="10247" max="10247" width="9" style="3139"/>
    <col min="10248" max="10248" width="13.75" style="3139" customWidth="1"/>
    <col min="10249" max="10496" width="9" style="3139"/>
    <col min="10497" max="10497" width="14.25" style="3139" customWidth="1"/>
    <col min="10498" max="10498" width="18.75" style="3139" customWidth="1"/>
    <col min="10499" max="10501" width="14.25" style="3139" customWidth="1"/>
    <col min="10502" max="10502" width="11" style="3139" customWidth="1"/>
    <col min="10503" max="10503" width="9" style="3139"/>
    <col min="10504" max="10504" width="13.75" style="3139" customWidth="1"/>
    <col min="10505" max="10752" width="9" style="3139"/>
    <col min="10753" max="10753" width="14.25" style="3139" customWidth="1"/>
    <col min="10754" max="10754" width="18.75" style="3139" customWidth="1"/>
    <col min="10755" max="10757" width="14.25" style="3139" customWidth="1"/>
    <col min="10758" max="10758" width="11" style="3139" customWidth="1"/>
    <col min="10759" max="10759" width="9" style="3139"/>
    <col min="10760" max="10760" width="13.75" style="3139" customWidth="1"/>
    <col min="10761" max="11008" width="9" style="3139"/>
    <col min="11009" max="11009" width="14.25" style="3139" customWidth="1"/>
    <col min="11010" max="11010" width="18.75" style="3139" customWidth="1"/>
    <col min="11011" max="11013" width="14.25" style="3139" customWidth="1"/>
    <col min="11014" max="11014" width="11" style="3139" customWidth="1"/>
    <col min="11015" max="11015" width="9" style="3139"/>
    <col min="11016" max="11016" width="13.75" style="3139" customWidth="1"/>
    <col min="11017" max="11264" width="9" style="3139"/>
    <col min="11265" max="11265" width="14.25" style="3139" customWidth="1"/>
    <col min="11266" max="11266" width="18.75" style="3139" customWidth="1"/>
    <col min="11267" max="11269" width="14.25" style="3139" customWidth="1"/>
    <col min="11270" max="11270" width="11" style="3139" customWidth="1"/>
    <col min="11271" max="11271" width="9" style="3139"/>
    <col min="11272" max="11272" width="13.75" style="3139" customWidth="1"/>
    <col min="11273" max="11520" width="9" style="3139"/>
    <col min="11521" max="11521" width="14.25" style="3139" customWidth="1"/>
    <col min="11522" max="11522" width="18.75" style="3139" customWidth="1"/>
    <col min="11523" max="11525" width="14.25" style="3139" customWidth="1"/>
    <col min="11526" max="11526" width="11" style="3139" customWidth="1"/>
    <col min="11527" max="11527" width="9" style="3139"/>
    <col min="11528" max="11528" width="13.75" style="3139" customWidth="1"/>
    <col min="11529" max="11776" width="9" style="3139"/>
    <col min="11777" max="11777" width="14.25" style="3139" customWidth="1"/>
    <col min="11778" max="11778" width="18.75" style="3139" customWidth="1"/>
    <col min="11779" max="11781" width="14.25" style="3139" customWidth="1"/>
    <col min="11782" max="11782" width="11" style="3139" customWidth="1"/>
    <col min="11783" max="11783" width="9" style="3139"/>
    <col min="11784" max="11784" width="13.75" style="3139" customWidth="1"/>
    <col min="11785" max="12032" width="9" style="3139"/>
    <col min="12033" max="12033" width="14.25" style="3139" customWidth="1"/>
    <col min="12034" max="12034" width="18.75" style="3139" customWidth="1"/>
    <col min="12035" max="12037" width="14.25" style="3139" customWidth="1"/>
    <col min="12038" max="12038" width="11" style="3139" customWidth="1"/>
    <col min="12039" max="12039" width="9" style="3139"/>
    <col min="12040" max="12040" width="13.75" style="3139" customWidth="1"/>
    <col min="12041" max="12288" width="9" style="3139"/>
    <col min="12289" max="12289" width="14.25" style="3139" customWidth="1"/>
    <col min="12290" max="12290" width="18.75" style="3139" customWidth="1"/>
    <col min="12291" max="12293" width="14.25" style="3139" customWidth="1"/>
    <col min="12294" max="12294" width="11" style="3139" customWidth="1"/>
    <col min="12295" max="12295" width="9" style="3139"/>
    <col min="12296" max="12296" width="13.75" style="3139" customWidth="1"/>
    <col min="12297" max="12544" width="9" style="3139"/>
    <col min="12545" max="12545" width="14.25" style="3139" customWidth="1"/>
    <col min="12546" max="12546" width="18.75" style="3139" customWidth="1"/>
    <col min="12547" max="12549" width="14.25" style="3139" customWidth="1"/>
    <col min="12550" max="12550" width="11" style="3139" customWidth="1"/>
    <col min="12551" max="12551" width="9" style="3139"/>
    <col min="12552" max="12552" width="13.75" style="3139" customWidth="1"/>
    <col min="12553" max="12800" width="9" style="3139"/>
    <col min="12801" max="12801" width="14.25" style="3139" customWidth="1"/>
    <col min="12802" max="12802" width="18.75" style="3139" customWidth="1"/>
    <col min="12803" max="12805" width="14.25" style="3139" customWidth="1"/>
    <col min="12806" max="12806" width="11" style="3139" customWidth="1"/>
    <col min="12807" max="12807" width="9" style="3139"/>
    <col min="12808" max="12808" width="13.75" style="3139" customWidth="1"/>
    <col min="12809" max="13056" width="9" style="3139"/>
    <col min="13057" max="13057" width="14.25" style="3139" customWidth="1"/>
    <col min="13058" max="13058" width="18.75" style="3139" customWidth="1"/>
    <col min="13059" max="13061" width="14.25" style="3139" customWidth="1"/>
    <col min="13062" max="13062" width="11" style="3139" customWidth="1"/>
    <col min="13063" max="13063" width="9" style="3139"/>
    <col min="13064" max="13064" width="13.75" style="3139" customWidth="1"/>
    <col min="13065" max="13312" width="9" style="3139"/>
    <col min="13313" max="13313" width="14.25" style="3139" customWidth="1"/>
    <col min="13314" max="13314" width="18.75" style="3139" customWidth="1"/>
    <col min="13315" max="13317" width="14.25" style="3139" customWidth="1"/>
    <col min="13318" max="13318" width="11" style="3139" customWidth="1"/>
    <col min="13319" max="13319" width="9" style="3139"/>
    <col min="13320" max="13320" width="13.75" style="3139" customWidth="1"/>
    <col min="13321" max="13568" width="9" style="3139"/>
    <col min="13569" max="13569" width="14.25" style="3139" customWidth="1"/>
    <col min="13570" max="13570" width="18.75" style="3139" customWidth="1"/>
    <col min="13571" max="13573" width="14.25" style="3139" customWidth="1"/>
    <col min="13574" max="13574" width="11" style="3139" customWidth="1"/>
    <col min="13575" max="13575" width="9" style="3139"/>
    <col min="13576" max="13576" width="13.75" style="3139" customWidth="1"/>
    <col min="13577" max="13824" width="9" style="3139"/>
    <col min="13825" max="13825" width="14.25" style="3139" customWidth="1"/>
    <col min="13826" max="13826" width="18.75" style="3139" customWidth="1"/>
    <col min="13827" max="13829" width="14.25" style="3139" customWidth="1"/>
    <col min="13830" max="13830" width="11" style="3139" customWidth="1"/>
    <col min="13831" max="13831" width="9" style="3139"/>
    <col min="13832" max="13832" width="13.75" style="3139" customWidth="1"/>
    <col min="13833" max="14080" width="9" style="3139"/>
    <col min="14081" max="14081" width="14.25" style="3139" customWidth="1"/>
    <col min="14082" max="14082" width="18.75" style="3139" customWidth="1"/>
    <col min="14083" max="14085" width="14.25" style="3139" customWidth="1"/>
    <col min="14086" max="14086" width="11" style="3139" customWidth="1"/>
    <col min="14087" max="14087" width="9" style="3139"/>
    <col min="14088" max="14088" width="13.75" style="3139" customWidth="1"/>
    <col min="14089" max="14336" width="9" style="3139"/>
    <col min="14337" max="14337" width="14.25" style="3139" customWidth="1"/>
    <col min="14338" max="14338" width="18.75" style="3139" customWidth="1"/>
    <col min="14339" max="14341" width="14.25" style="3139" customWidth="1"/>
    <col min="14342" max="14342" width="11" style="3139" customWidth="1"/>
    <col min="14343" max="14343" width="9" style="3139"/>
    <col min="14344" max="14344" width="13.75" style="3139" customWidth="1"/>
    <col min="14345" max="14592" width="9" style="3139"/>
    <col min="14593" max="14593" width="14.25" style="3139" customWidth="1"/>
    <col min="14594" max="14594" width="18.75" style="3139" customWidth="1"/>
    <col min="14595" max="14597" width="14.25" style="3139" customWidth="1"/>
    <col min="14598" max="14598" width="11" style="3139" customWidth="1"/>
    <col min="14599" max="14599" width="9" style="3139"/>
    <col min="14600" max="14600" width="13.75" style="3139" customWidth="1"/>
    <col min="14601" max="14848" width="9" style="3139"/>
    <col min="14849" max="14849" width="14.25" style="3139" customWidth="1"/>
    <col min="14850" max="14850" width="18.75" style="3139" customWidth="1"/>
    <col min="14851" max="14853" width="14.25" style="3139" customWidth="1"/>
    <col min="14854" max="14854" width="11" style="3139" customWidth="1"/>
    <col min="14855" max="14855" width="9" style="3139"/>
    <col min="14856" max="14856" width="13.75" style="3139" customWidth="1"/>
    <col min="14857" max="15104" width="9" style="3139"/>
    <col min="15105" max="15105" width="14.25" style="3139" customWidth="1"/>
    <col min="15106" max="15106" width="18.75" style="3139" customWidth="1"/>
    <col min="15107" max="15109" width="14.25" style="3139" customWidth="1"/>
    <col min="15110" max="15110" width="11" style="3139" customWidth="1"/>
    <col min="15111" max="15111" width="9" style="3139"/>
    <col min="15112" max="15112" width="13.75" style="3139" customWidth="1"/>
    <col min="15113" max="15360" width="9" style="3139"/>
    <col min="15361" max="15361" width="14.25" style="3139" customWidth="1"/>
    <col min="15362" max="15362" width="18.75" style="3139" customWidth="1"/>
    <col min="15363" max="15365" width="14.25" style="3139" customWidth="1"/>
    <col min="15366" max="15366" width="11" style="3139" customWidth="1"/>
    <col min="15367" max="15367" width="9" style="3139"/>
    <col min="15368" max="15368" width="13.75" style="3139" customWidth="1"/>
    <col min="15369" max="15616" width="9" style="3139"/>
    <col min="15617" max="15617" width="14.25" style="3139" customWidth="1"/>
    <col min="15618" max="15618" width="18.75" style="3139" customWidth="1"/>
    <col min="15619" max="15621" width="14.25" style="3139" customWidth="1"/>
    <col min="15622" max="15622" width="11" style="3139" customWidth="1"/>
    <col min="15623" max="15623" width="9" style="3139"/>
    <col min="15624" max="15624" width="13.75" style="3139" customWidth="1"/>
    <col min="15625" max="15872" width="9" style="3139"/>
    <col min="15873" max="15873" width="14.25" style="3139" customWidth="1"/>
    <col min="15874" max="15874" width="18.75" style="3139" customWidth="1"/>
    <col min="15875" max="15877" width="14.25" style="3139" customWidth="1"/>
    <col min="15878" max="15878" width="11" style="3139" customWidth="1"/>
    <col min="15879" max="15879" width="9" style="3139"/>
    <col min="15880" max="15880" width="13.75" style="3139" customWidth="1"/>
    <col min="15881" max="16128" width="9" style="3139"/>
    <col min="16129" max="16129" width="14.25" style="3139" customWidth="1"/>
    <col min="16130" max="16130" width="18.75" style="3139" customWidth="1"/>
    <col min="16131" max="16133" width="14.25" style="3139" customWidth="1"/>
    <col min="16134" max="16134" width="11" style="3139" customWidth="1"/>
    <col min="16135" max="16135" width="9" style="3139"/>
    <col min="16136" max="16136" width="13.75" style="3139" customWidth="1"/>
    <col min="16137" max="16384" width="9" style="3139"/>
  </cols>
  <sheetData>
    <row r="1" spans="1:7" ht="20.25" customHeight="1" thickBot="1">
      <c r="A1" s="3137" t="s">
        <v>3317</v>
      </c>
      <c r="B1" s="3138">
        <f>系统读取表!B3</f>
        <v>44523</v>
      </c>
    </row>
    <row r="2" spans="1:7" ht="33" customHeight="1">
      <c r="A2" s="3140" t="s">
        <v>3318</v>
      </c>
      <c r="B2" s="3141" t="s">
        <v>3319</v>
      </c>
      <c r="C2" s="3141" t="s">
        <v>3320</v>
      </c>
      <c r="D2" s="3141" t="s">
        <v>3321</v>
      </c>
      <c r="E2" s="3142" t="s">
        <v>3322</v>
      </c>
    </row>
    <row r="3" spans="1:7" ht="20.25" customHeight="1">
      <c r="A3" s="3143">
        <v>40</v>
      </c>
      <c r="B3" s="3175">
        <v>48029</v>
      </c>
      <c r="C3" s="3144">
        <f>ROUNDDOWN(MIN((B3-$B$1)/365,A3),2)</f>
        <v>9.6</v>
      </c>
      <c r="D3" s="3144">
        <f>IF(ISERROR(ROUND(POWER(1+E3,A3-C3)*(POWER(1+E3,C3)-1)/(POWER(1+E3,A3)-1),3)),0,ROUND(POWER(1+E3,A3-C3)*(POWER(1+E3,C3)-1)/(POWER(1+E3,A3)-1),3))</f>
        <v>0</v>
      </c>
      <c r="E3" s="3145"/>
    </row>
    <row r="4" spans="1:7" ht="20.25" customHeight="1">
      <c r="A4" s="3143">
        <v>40</v>
      </c>
      <c r="B4" s="3146">
        <v>44853</v>
      </c>
      <c r="C4" s="3144">
        <f>ROUNDDOWN(MIN((B4-$B$1)/365,A4),2)</f>
        <v>0.9</v>
      </c>
      <c r="D4" s="3144">
        <f>IF(ISERROR(ROUND(POWER(1+E4,A4-C4)*(POWER(1+E4,C4)-1)/(POWER(1+E4,A4)-1),3)),0,ROUND(POWER(1+E4,A4-C4)*(POWER(1+E4,C4)-1)/(POWER(1+E4,A4)-1),3))</f>
        <v>4.7E-2</v>
      </c>
      <c r="E4" s="3145">
        <f>'[4]数据-取费表'!H6</f>
        <v>4.4999999999999998E-2</v>
      </c>
    </row>
    <row r="5" spans="1:7" ht="20.25" customHeight="1" thickBot="1">
      <c r="A5" s="3143">
        <v>40</v>
      </c>
      <c r="B5" s="3176">
        <v>44792</v>
      </c>
      <c r="C5" s="3147">
        <f>ROUNDDOWN(MIN((B5-$B$1)/365,A5),2)</f>
        <v>0.73</v>
      </c>
      <c r="D5" s="3147">
        <f>IF(ISERROR(ROUND(POWER(1+E5,A5-C5)*(POWER(1+E5,C5)-1)/(POWER(1+E5,A5)-1),3)),0,ROUND(POWER(1+E5,A5-C5)*(POWER(1+E5,C5)-1)/(POWER(1+E5,A5)-1),3))</f>
        <v>0</v>
      </c>
      <c r="E5" s="3148"/>
    </row>
    <row r="6" spans="1:7" ht="20.25" customHeight="1">
      <c r="A6" s="3143">
        <v>40</v>
      </c>
      <c r="B6" s="3177">
        <v>47695</v>
      </c>
      <c r="C6" s="3173"/>
      <c r="D6" s="3173"/>
      <c r="E6" s="3174"/>
    </row>
    <row r="7" spans="1:7" ht="20.25" customHeight="1">
      <c r="A7" s="3143">
        <v>40</v>
      </c>
      <c r="B7" s="3172"/>
      <c r="C7" s="3173"/>
      <c r="D7" s="3173"/>
      <c r="E7" s="3174"/>
    </row>
    <row r="8" spans="1:7" ht="20.25" customHeight="1">
      <c r="A8" s="3143">
        <v>40</v>
      </c>
      <c r="B8" s="3172"/>
      <c r="C8" s="3173"/>
      <c r="D8" s="3173"/>
      <c r="E8" s="3174"/>
    </row>
    <row r="9" spans="1:7" ht="20.25" customHeight="1" thickBot="1"/>
    <row r="10" spans="1:7" s="3151" customFormat="1" ht="20.25" customHeight="1" thickBot="1">
      <c r="A10" s="3149" t="s">
        <v>3323</v>
      </c>
      <c r="B10" s="3150"/>
    </row>
    <row r="11" spans="1:7" ht="20.25" customHeight="1" thickBot="1">
      <c r="A11" s="3568" t="s">
        <v>3324</v>
      </c>
      <c r="B11" s="3569"/>
      <c r="C11" s="3152"/>
      <c r="D11" s="3153" t="s">
        <v>3322</v>
      </c>
      <c r="E11" s="3152"/>
      <c r="F11" s="3154" t="s">
        <v>3321</v>
      </c>
    </row>
    <row r="12" spans="1:7" ht="20.25" customHeight="1">
      <c r="A12" s="3155" t="s">
        <v>3325</v>
      </c>
      <c r="B12" s="3156">
        <v>50</v>
      </c>
      <c r="C12" s="3157" t="s">
        <v>3326</v>
      </c>
      <c r="D12" s="3156">
        <f>E4</f>
        <v>4.4999999999999998E-2</v>
      </c>
      <c r="E12" s="3157" t="s">
        <v>3327</v>
      </c>
      <c r="F12" s="3158">
        <f>1-(1/(POWER(1+D12,B12)))</f>
        <v>0.88929035003434787</v>
      </c>
      <c r="G12" s="3139">
        <f>ROUND(F12/F13,2)</f>
        <v>1.52</v>
      </c>
    </row>
    <row r="13" spans="1:7" ht="20.25" customHeight="1" thickBot="1">
      <c r="A13" s="3159" t="s">
        <v>3328</v>
      </c>
      <c r="B13" s="3160">
        <v>20</v>
      </c>
      <c r="C13" s="3161" t="s">
        <v>3329</v>
      </c>
      <c r="D13" s="3160">
        <f>D12</f>
        <v>4.4999999999999998E-2</v>
      </c>
      <c r="E13" s="3161" t="s">
        <v>3330</v>
      </c>
      <c r="F13" s="3162">
        <f>1-(1/(POWER(1+D13,B13)))</f>
        <v>0.58535714031541541</v>
      </c>
    </row>
    <row r="14" spans="1:7" ht="20.25" customHeight="1" thickBot="1">
      <c r="A14" s="3163" t="s">
        <v>3331</v>
      </c>
      <c r="B14" s="3164"/>
      <c r="C14" s="3164"/>
      <c r="D14" s="3164"/>
      <c r="E14" s="3164"/>
      <c r="F14" s="3164"/>
    </row>
    <row r="15" spans="1:7" ht="20.25" customHeight="1">
      <c r="A15" s="3155" t="s">
        <v>3332</v>
      </c>
      <c r="B15" s="3165"/>
      <c r="E15" s="3166"/>
      <c r="F15" s="3166"/>
    </row>
    <row r="16" spans="1:7" ht="20.25" customHeight="1" thickBot="1">
      <c r="A16" s="3159" t="s">
        <v>3333</v>
      </c>
      <c r="B16" s="3167">
        <f>ROUND(B15*F13/F12,2)</f>
        <v>0</v>
      </c>
      <c r="C16" s="3168">
        <f>ROUND(F13/F12,4)</f>
        <v>0.65820000000000001</v>
      </c>
      <c r="E16" s="3166"/>
      <c r="F16" s="3166"/>
    </row>
    <row r="17" spans="1:3" ht="20.25" customHeight="1" thickBot="1">
      <c r="A17" s="3163" t="s">
        <v>3334</v>
      </c>
      <c r="B17" s="3169"/>
      <c r="C17" s="3166"/>
    </row>
    <row r="18" spans="1:3" ht="20.25" customHeight="1">
      <c r="A18" s="3157" t="s">
        <v>3335</v>
      </c>
      <c r="B18" s="3170"/>
      <c r="C18" s="3166"/>
    </row>
    <row r="19" spans="1:3" ht="20.25" customHeight="1" thickBot="1">
      <c r="A19" s="3161" t="s">
        <v>3336</v>
      </c>
      <c r="B19" s="3171">
        <f>ROUND(B18*F12/F13,2)</f>
        <v>0</v>
      </c>
      <c r="C19" s="3168">
        <f>ROUND(F12/F13,4)</f>
        <v>1.5192000000000001</v>
      </c>
    </row>
    <row r="20" spans="1:3" ht="20.25" customHeight="1">
      <c r="C20" s="3166"/>
    </row>
  </sheetData>
  <mergeCells count="1">
    <mergeCell ref="A11:B11"/>
  </mergeCells>
  <phoneticPr fontId="140" type="noConversion"/>
  <dataValidations count="1">
    <dataValidation type="list" allowBlank="1" showInputMessage="1" showErrorMessage="1" sqref="WVI983046:WVI983048 IW3:IW8 SS3:SS8 ACO3:ACO8 AMK3:AMK8 AWG3:AWG8 BGC3:BGC8 BPY3:BPY8 BZU3:BZU8 CJQ3:CJQ8 CTM3:CTM8 DDI3:DDI8 DNE3:DNE8 DXA3:DXA8 EGW3:EGW8 EQS3:EQS8 FAO3:FAO8 FKK3:FKK8 FUG3:FUG8 GEC3:GEC8 GNY3:GNY8 GXU3:GXU8 HHQ3:HHQ8 HRM3:HRM8 IBI3:IBI8 ILE3:ILE8 IVA3:IVA8 JEW3:JEW8 JOS3:JOS8 JYO3:JYO8 KIK3:KIK8 KSG3:KSG8 LCC3:LCC8 LLY3:LLY8 LVU3:LVU8 MFQ3:MFQ8 MPM3:MPM8 MZI3:MZI8 NJE3:NJE8 NTA3:NTA8 OCW3:OCW8 OMS3:OMS8 OWO3:OWO8 PGK3:PGK8 PQG3:PQG8 QAC3:QAC8 QJY3:QJY8 QTU3:QTU8 RDQ3:RDQ8 RNM3:RNM8 RXI3:RXI8 SHE3:SHE8 SRA3:SRA8 TAW3:TAW8 TKS3:TKS8 TUO3:TUO8 UEK3:UEK8 UOG3:UOG8 UYC3:UYC8 VHY3:VHY8 VRU3:VRU8 WBQ3:WBQ8 WLM3:WLM8 WVI3:WVI8 A65542:A65544 IW65542:IW65544 SS65542:SS65544 ACO65542:ACO65544 AMK65542:AMK65544 AWG65542:AWG65544 BGC65542:BGC65544 BPY65542:BPY65544 BZU65542:BZU65544 CJQ65542:CJQ65544 CTM65542:CTM65544 DDI65542:DDI65544 DNE65542:DNE65544 DXA65542:DXA65544 EGW65542:EGW65544 EQS65542:EQS65544 FAO65542:FAO65544 FKK65542:FKK65544 FUG65542:FUG65544 GEC65542:GEC65544 GNY65542:GNY65544 GXU65542:GXU65544 HHQ65542:HHQ65544 HRM65542:HRM65544 IBI65542:IBI65544 ILE65542:ILE65544 IVA65542:IVA65544 JEW65542:JEW65544 JOS65542:JOS65544 JYO65542:JYO65544 KIK65542:KIK65544 KSG65542:KSG65544 LCC65542:LCC65544 LLY65542:LLY65544 LVU65542:LVU65544 MFQ65542:MFQ65544 MPM65542:MPM65544 MZI65542:MZI65544 NJE65542:NJE65544 NTA65542:NTA65544 OCW65542:OCW65544 OMS65542:OMS65544 OWO65542:OWO65544 PGK65542:PGK65544 PQG65542:PQG65544 QAC65542:QAC65544 QJY65542:QJY65544 QTU65542:QTU65544 RDQ65542:RDQ65544 RNM65542:RNM65544 RXI65542:RXI65544 SHE65542:SHE65544 SRA65542:SRA65544 TAW65542:TAW65544 TKS65542:TKS65544 TUO65542:TUO65544 UEK65542:UEK65544 UOG65542:UOG65544 UYC65542:UYC65544 VHY65542:VHY65544 VRU65542:VRU65544 WBQ65542:WBQ65544 WLM65542:WLM65544 WVI65542:WVI65544 A131078:A131080 IW131078:IW131080 SS131078:SS131080 ACO131078:ACO131080 AMK131078:AMK131080 AWG131078:AWG131080 BGC131078:BGC131080 BPY131078:BPY131080 BZU131078:BZU131080 CJQ131078:CJQ131080 CTM131078:CTM131080 DDI131078:DDI131080 DNE131078:DNE131080 DXA131078:DXA131080 EGW131078:EGW131080 EQS131078:EQS131080 FAO131078:FAO131080 FKK131078:FKK131080 FUG131078:FUG131080 GEC131078:GEC131080 GNY131078:GNY131080 GXU131078:GXU131080 HHQ131078:HHQ131080 HRM131078:HRM131080 IBI131078:IBI131080 ILE131078:ILE131080 IVA131078:IVA131080 JEW131078:JEW131080 JOS131078:JOS131080 JYO131078:JYO131080 KIK131078:KIK131080 KSG131078:KSG131080 LCC131078:LCC131080 LLY131078:LLY131080 LVU131078:LVU131080 MFQ131078:MFQ131080 MPM131078:MPM131080 MZI131078:MZI131080 NJE131078:NJE131080 NTA131078:NTA131080 OCW131078:OCW131080 OMS131078:OMS131080 OWO131078:OWO131080 PGK131078:PGK131080 PQG131078:PQG131080 QAC131078:QAC131080 QJY131078:QJY131080 QTU131078:QTU131080 RDQ131078:RDQ131080 RNM131078:RNM131080 RXI131078:RXI131080 SHE131078:SHE131080 SRA131078:SRA131080 TAW131078:TAW131080 TKS131078:TKS131080 TUO131078:TUO131080 UEK131078:UEK131080 UOG131078:UOG131080 UYC131078:UYC131080 VHY131078:VHY131080 VRU131078:VRU131080 WBQ131078:WBQ131080 WLM131078:WLM131080 WVI131078:WVI131080 A196614:A196616 IW196614:IW196616 SS196614:SS196616 ACO196614:ACO196616 AMK196614:AMK196616 AWG196614:AWG196616 BGC196614:BGC196616 BPY196614:BPY196616 BZU196614:BZU196616 CJQ196614:CJQ196616 CTM196614:CTM196616 DDI196614:DDI196616 DNE196614:DNE196616 DXA196614:DXA196616 EGW196614:EGW196616 EQS196614:EQS196616 FAO196614:FAO196616 FKK196614:FKK196616 FUG196614:FUG196616 GEC196614:GEC196616 GNY196614:GNY196616 GXU196614:GXU196616 HHQ196614:HHQ196616 HRM196614:HRM196616 IBI196614:IBI196616 ILE196614:ILE196616 IVA196614:IVA196616 JEW196614:JEW196616 JOS196614:JOS196616 JYO196614:JYO196616 KIK196614:KIK196616 KSG196614:KSG196616 LCC196614:LCC196616 LLY196614:LLY196616 LVU196614:LVU196616 MFQ196614:MFQ196616 MPM196614:MPM196616 MZI196614:MZI196616 NJE196614:NJE196616 NTA196614:NTA196616 OCW196614:OCW196616 OMS196614:OMS196616 OWO196614:OWO196616 PGK196614:PGK196616 PQG196614:PQG196616 QAC196614:QAC196616 QJY196614:QJY196616 QTU196614:QTU196616 RDQ196614:RDQ196616 RNM196614:RNM196616 RXI196614:RXI196616 SHE196614:SHE196616 SRA196614:SRA196616 TAW196614:TAW196616 TKS196614:TKS196616 TUO196614:TUO196616 UEK196614:UEK196616 UOG196614:UOG196616 UYC196614:UYC196616 VHY196614:VHY196616 VRU196614:VRU196616 WBQ196614:WBQ196616 WLM196614:WLM196616 WVI196614:WVI196616 A262150:A262152 IW262150:IW262152 SS262150:SS262152 ACO262150:ACO262152 AMK262150:AMK262152 AWG262150:AWG262152 BGC262150:BGC262152 BPY262150:BPY262152 BZU262150:BZU262152 CJQ262150:CJQ262152 CTM262150:CTM262152 DDI262150:DDI262152 DNE262150:DNE262152 DXA262150:DXA262152 EGW262150:EGW262152 EQS262150:EQS262152 FAO262150:FAO262152 FKK262150:FKK262152 FUG262150:FUG262152 GEC262150:GEC262152 GNY262150:GNY262152 GXU262150:GXU262152 HHQ262150:HHQ262152 HRM262150:HRM262152 IBI262150:IBI262152 ILE262150:ILE262152 IVA262150:IVA262152 JEW262150:JEW262152 JOS262150:JOS262152 JYO262150:JYO262152 KIK262150:KIK262152 KSG262150:KSG262152 LCC262150:LCC262152 LLY262150:LLY262152 LVU262150:LVU262152 MFQ262150:MFQ262152 MPM262150:MPM262152 MZI262150:MZI262152 NJE262150:NJE262152 NTA262150:NTA262152 OCW262150:OCW262152 OMS262150:OMS262152 OWO262150:OWO262152 PGK262150:PGK262152 PQG262150:PQG262152 QAC262150:QAC262152 QJY262150:QJY262152 QTU262150:QTU262152 RDQ262150:RDQ262152 RNM262150:RNM262152 RXI262150:RXI262152 SHE262150:SHE262152 SRA262150:SRA262152 TAW262150:TAW262152 TKS262150:TKS262152 TUO262150:TUO262152 UEK262150:UEK262152 UOG262150:UOG262152 UYC262150:UYC262152 VHY262150:VHY262152 VRU262150:VRU262152 WBQ262150:WBQ262152 WLM262150:WLM262152 WVI262150:WVI262152 A327686:A327688 IW327686:IW327688 SS327686:SS327688 ACO327686:ACO327688 AMK327686:AMK327688 AWG327686:AWG327688 BGC327686:BGC327688 BPY327686:BPY327688 BZU327686:BZU327688 CJQ327686:CJQ327688 CTM327686:CTM327688 DDI327686:DDI327688 DNE327686:DNE327688 DXA327686:DXA327688 EGW327686:EGW327688 EQS327686:EQS327688 FAO327686:FAO327688 FKK327686:FKK327688 FUG327686:FUG327688 GEC327686:GEC327688 GNY327686:GNY327688 GXU327686:GXU327688 HHQ327686:HHQ327688 HRM327686:HRM327688 IBI327686:IBI327688 ILE327686:ILE327688 IVA327686:IVA327688 JEW327686:JEW327688 JOS327686:JOS327688 JYO327686:JYO327688 KIK327686:KIK327688 KSG327686:KSG327688 LCC327686:LCC327688 LLY327686:LLY327688 LVU327686:LVU327688 MFQ327686:MFQ327688 MPM327686:MPM327688 MZI327686:MZI327688 NJE327686:NJE327688 NTA327686:NTA327688 OCW327686:OCW327688 OMS327686:OMS327688 OWO327686:OWO327688 PGK327686:PGK327688 PQG327686:PQG327688 QAC327686:QAC327688 QJY327686:QJY327688 QTU327686:QTU327688 RDQ327686:RDQ327688 RNM327686:RNM327688 RXI327686:RXI327688 SHE327686:SHE327688 SRA327686:SRA327688 TAW327686:TAW327688 TKS327686:TKS327688 TUO327686:TUO327688 UEK327686:UEK327688 UOG327686:UOG327688 UYC327686:UYC327688 VHY327686:VHY327688 VRU327686:VRU327688 WBQ327686:WBQ327688 WLM327686:WLM327688 WVI327686:WVI327688 A393222:A393224 IW393222:IW393224 SS393222:SS393224 ACO393222:ACO393224 AMK393222:AMK393224 AWG393222:AWG393224 BGC393222:BGC393224 BPY393222:BPY393224 BZU393222:BZU393224 CJQ393222:CJQ393224 CTM393222:CTM393224 DDI393222:DDI393224 DNE393222:DNE393224 DXA393222:DXA393224 EGW393222:EGW393224 EQS393222:EQS393224 FAO393222:FAO393224 FKK393222:FKK393224 FUG393222:FUG393224 GEC393222:GEC393224 GNY393222:GNY393224 GXU393222:GXU393224 HHQ393222:HHQ393224 HRM393222:HRM393224 IBI393222:IBI393224 ILE393222:ILE393224 IVA393222:IVA393224 JEW393222:JEW393224 JOS393222:JOS393224 JYO393222:JYO393224 KIK393222:KIK393224 KSG393222:KSG393224 LCC393222:LCC393224 LLY393222:LLY393224 LVU393222:LVU393224 MFQ393222:MFQ393224 MPM393222:MPM393224 MZI393222:MZI393224 NJE393222:NJE393224 NTA393222:NTA393224 OCW393222:OCW393224 OMS393222:OMS393224 OWO393222:OWO393224 PGK393222:PGK393224 PQG393222:PQG393224 QAC393222:QAC393224 QJY393222:QJY393224 QTU393222:QTU393224 RDQ393222:RDQ393224 RNM393222:RNM393224 RXI393222:RXI393224 SHE393222:SHE393224 SRA393222:SRA393224 TAW393222:TAW393224 TKS393222:TKS393224 TUO393222:TUO393224 UEK393222:UEK393224 UOG393222:UOG393224 UYC393222:UYC393224 VHY393222:VHY393224 VRU393222:VRU393224 WBQ393222:WBQ393224 WLM393222:WLM393224 WVI393222:WVI393224 A458758:A458760 IW458758:IW458760 SS458758:SS458760 ACO458758:ACO458760 AMK458758:AMK458760 AWG458758:AWG458760 BGC458758:BGC458760 BPY458758:BPY458760 BZU458758:BZU458760 CJQ458758:CJQ458760 CTM458758:CTM458760 DDI458758:DDI458760 DNE458758:DNE458760 DXA458758:DXA458760 EGW458758:EGW458760 EQS458758:EQS458760 FAO458758:FAO458760 FKK458758:FKK458760 FUG458758:FUG458760 GEC458758:GEC458760 GNY458758:GNY458760 GXU458758:GXU458760 HHQ458758:HHQ458760 HRM458758:HRM458760 IBI458758:IBI458760 ILE458758:ILE458760 IVA458758:IVA458760 JEW458758:JEW458760 JOS458758:JOS458760 JYO458758:JYO458760 KIK458758:KIK458760 KSG458758:KSG458760 LCC458758:LCC458760 LLY458758:LLY458760 LVU458758:LVU458760 MFQ458758:MFQ458760 MPM458758:MPM458760 MZI458758:MZI458760 NJE458758:NJE458760 NTA458758:NTA458760 OCW458758:OCW458760 OMS458758:OMS458760 OWO458758:OWO458760 PGK458758:PGK458760 PQG458758:PQG458760 QAC458758:QAC458760 QJY458758:QJY458760 QTU458758:QTU458760 RDQ458758:RDQ458760 RNM458758:RNM458760 RXI458758:RXI458760 SHE458758:SHE458760 SRA458758:SRA458760 TAW458758:TAW458760 TKS458758:TKS458760 TUO458758:TUO458760 UEK458758:UEK458760 UOG458758:UOG458760 UYC458758:UYC458760 VHY458758:VHY458760 VRU458758:VRU458760 WBQ458758:WBQ458760 WLM458758:WLM458760 WVI458758:WVI458760 A524294:A524296 IW524294:IW524296 SS524294:SS524296 ACO524294:ACO524296 AMK524294:AMK524296 AWG524294:AWG524296 BGC524294:BGC524296 BPY524294:BPY524296 BZU524294:BZU524296 CJQ524294:CJQ524296 CTM524294:CTM524296 DDI524294:DDI524296 DNE524294:DNE524296 DXA524294:DXA524296 EGW524294:EGW524296 EQS524294:EQS524296 FAO524294:FAO524296 FKK524294:FKK524296 FUG524294:FUG524296 GEC524294:GEC524296 GNY524294:GNY524296 GXU524294:GXU524296 HHQ524294:HHQ524296 HRM524294:HRM524296 IBI524294:IBI524296 ILE524294:ILE524296 IVA524294:IVA524296 JEW524294:JEW524296 JOS524294:JOS524296 JYO524294:JYO524296 KIK524294:KIK524296 KSG524294:KSG524296 LCC524294:LCC524296 LLY524294:LLY524296 LVU524294:LVU524296 MFQ524294:MFQ524296 MPM524294:MPM524296 MZI524294:MZI524296 NJE524294:NJE524296 NTA524294:NTA524296 OCW524294:OCW524296 OMS524294:OMS524296 OWO524294:OWO524296 PGK524294:PGK524296 PQG524294:PQG524296 QAC524294:QAC524296 QJY524294:QJY524296 QTU524294:QTU524296 RDQ524294:RDQ524296 RNM524294:RNM524296 RXI524294:RXI524296 SHE524294:SHE524296 SRA524294:SRA524296 TAW524294:TAW524296 TKS524294:TKS524296 TUO524294:TUO524296 UEK524294:UEK524296 UOG524294:UOG524296 UYC524294:UYC524296 VHY524294:VHY524296 VRU524294:VRU524296 WBQ524294:WBQ524296 WLM524294:WLM524296 WVI524294:WVI524296 A589830:A589832 IW589830:IW589832 SS589830:SS589832 ACO589830:ACO589832 AMK589830:AMK589832 AWG589830:AWG589832 BGC589830:BGC589832 BPY589830:BPY589832 BZU589830:BZU589832 CJQ589830:CJQ589832 CTM589830:CTM589832 DDI589830:DDI589832 DNE589830:DNE589832 DXA589830:DXA589832 EGW589830:EGW589832 EQS589830:EQS589832 FAO589830:FAO589832 FKK589830:FKK589832 FUG589830:FUG589832 GEC589830:GEC589832 GNY589830:GNY589832 GXU589830:GXU589832 HHQ589830:HHQ589832 HRM589830:HRM589832 IBI589830:IBI589832 ILE589830:ILE589832 IVA589830:IVA589832 JEW589830:JEW589832 JOS589830:JOS589832 JYO589830:JYO589832 KIK589830:KIK589832 KSG589830:KSG589832 LCC589830:LCC589832 LLY589830:LLY589832 LVU589830:LVU589832 MFQ589830:MFQ589832 MPM589830:MPM589832 MZI589830:MZI589832 NJE589830:NJE589832 NTA589830:NTA589832 OCW589830:OCW589832 OMS589830:OMS589832 OWO589830:OWO589832 PGK589830:PGK589832 PQG589830:PQG589832 QAC589830:QAC589832 QJY589830:QJY589832 QTU589830:QTU589832 RDQ589830:RDQ589832 RNM589830:RNM589832 RXI589830:RXI589832 SHE589830:SHE589832 SRA589830:SRA589832 TAW589830:TAW589832 TKS589830:TKS589832 TUO589830:TUO589832 UEK589830:UEK589832 UOG589830:UOG589832 UYC589830:UYC589832 VHY589830:VHY589832 VRU589830:VRU589832 WBQ589830:WBQ589832 WLM589830:WLM589832 WVI589830:WVI589832 A655366:A655368 IW655366:IW655368 SS655366:SS655368 ACO655366:ACO655368 AMK655366:AMK655368 AWG655366:AWG655368 BGC655366:BGC655368 BPY655366:BPY655368 BZU655366:BZU655368 CJQ655366:CJQ655368 CTM655366:CTM655368 DDI655366:DDI655368 DNE655366:DNE655368 DXA655366:DXA655368 EGW655366:EGW655368 EQS655366:EQS655368 FAO655366:FAO655368 FKK655366:FKK655368 FUG655366:FUG655368 GEC655366:GEC655368 GNY655366:GNY655368 GXU655366:GXU655368 HHQ655366:HHQ655368 HRM655366:HRM655368 IBI655366:IBI655368 ILE655366:ILE655368 IVA655366:IVA655368 JEW655366:JEW655368 JOS655366:JOS655368 JYO655366:JYO655368 KIK655366:KIK655368 KSG655366:KSG655368 LCC655366:LCC655368 LLY655366:LLY655368 LVU655366:LVU655368 MFQ655366:MFQ655368 MPM655366:MPM655368 MZI655366:MZI655368 NJE655366:NJE655368 NTA655366:NTA655368 OCW655366:OCW655368 OMS655366:OMS655368 OWO655366:OWO655368 PGK655366:PGK655368 PQG655366:PQG655368 QAC655366:QAC655368 QJY655366:QJY655368 QTU655366:QTU655368 RDQ655366:RDQ655368 RNM655366:RNM655368 RXI655366:RXI655368 SHE655366:SHE655368 SRA655366:SRA655368 TAW655366:TAW655368 TKS655366:TKS655368 TUO655366:TUO655368 UEK655366:UEK655368 UOG655366:UOG655368 UYC655366:UYC655368 VHY655366:VHY655368 VRU655366:VRU655368 WBQ655366:WBQ655368 WLM655366:WLM655368 WVI655366:WVI655368 A720902:A720904 IW720902:IW720904 SS720902:SS720904 ACO720902:ACO720904 AMK720902:AMK720904 AWG720902:AWG720904 BGC720902:BGC720904 BPY720902:BPY720904 BZU720902:BZU720904 CJQ720902:CJQ720904 CTM720902:CTM720904 DDI720902:DDI720904 DNE720902:DNE720904 DXA720902:DXA720904 EGW720902:EGW720904 EQS720902:EQS720904 FAO720902:FAO720904 FKK720902:FKK720904 FUG720902:FUG720904 GEC720902:GEC720904 GNY720902:GNY720904 GXU720902:GXU720904 HHQ720902:HHQ720904 HRM720902:HRM720904 IBI720902:IBI720904 ILE720902:ILE720904 IVA720902:IVA720904 JEW720902:JEW720904 JOS720902:JOS720904 JYO720902:JYO720904 KIK720902:KIK720904 KSG720902:KSG720904 LCC720902:LCC720904 LLY720902:LLY720904 LVU720902:LVU720904 MFQ720902:MFQ720904 MPM720902:MPM720904 MZI720902:MZI720904 NJE720902:NJE720904 NTA720902:NTA720904 OCW720902:OCW720904 OMS720902:OMS720904 OWO720902:OWO720904 PGK720902:PGK720904 PQG720902:PQG720904 QAC720902:QAC720904 QJY720902:QJY720904 QTU720902:QTU720904 RDQ720902:RDQ720904 RNM720902:RNM720904 RXI720902:RXI720904 SHE720902:SHE720904 SRA720902:SRA720904 TAW720902:TAW720904 TKS720902:TKS720904 TUO720902:TUO720904 UEK720902:UEK720904 UOG720902:UOG720904 UYC720902:UYC720904 VHY720902:VHY720904 VRU720902:VRU720904 WBQ720902:WBQ720904 WLM720902:WLM720904 WVI720902:WVI720904 A786438:A786440 IW786438:IW786440 SS786438:SS786440 ACO786438:ACO786440 AMK786438:AMK786440 AWG786438:AWG786440 BGC786438:BGC786440 BPY786438:BPY786440 BZU786438:BZU786440 CJQ786438:CJQ786440 CTM786438:CTM786440 DDI786438:DDI786440 DNE786438:DNE786440 DXA786438:DXA786440 EGW786438:EGW786440 EQS786438:EQS786440 FAO786438:FAO786440 FKK786438:FKK786440 FUG786438:FUG786440 GEC786438:GEC786440 GNY786438:GNY786440 GXU786438:GXU786440 HHQ786438:HHQ786440 HRM786438:HRM786440 IBI786438:IBI786440 ILE786438:ILE786440 IVA786438:IVA786440 JEW786438:JEW786440 JOS786438:JOS786440 JYO786438:JYO786440 KIK786438:KIK786440 KSG786438:KSG786440 LCC786438:LCC786440 LLY786438:LLY786440 LVU786438:LVU786440 MFQ786438:MFQ786440 MPM786438:MPM786440 MZI786438:MZI786440 NJE786438:NJE786440 NTA786438:NTA786440 OCW786438:OCW786440 OMS786438:OMS786440 OWO786438:OWO786440 PGK786438:PGK786440 PQG786438:PQG786440 QAC786438:QAC786440 QJY786438:QJY786440 QTU786438:QTU786440 RDQ786438:RDQ786440 RNM786438:RNM786440 RXI786438:RXI786440 SHE786438:SHE786440 SRA786438:SRA786440 TAW786438:TAW786440 TKS786438:TKS786440 TUO786438:TUO786440 UEK786438:UEK786440 UOG786438:UOG786440 UYC786438:UYC786440 VHY786438:VHY786440 VRU786438:VRU786440 WBQ786438:WBQ786440 WLM786438:WLM786440 WVI786438:WVI786440 A851974:A851976 IW851974:IW851976 SS851974:SS851976 ACO851974:ACO851976 AMK851974:AMK851976 AWG851974:AWG851976 BGC851974:BGC851976 BPY851974:BPY851976 BZU851974:BZU851976 CJQ851974:CJQ851976 CTM851974:CTM851976 DDI851974:DDI851976 DNE851974:DNE851976 DXA851974:DXA851976 EGW851974:EGW851976 EQS851974:EQS851976 FAO851974:FAO851976 FKK851974:FKK851976 FUG851974:FUG851976 GEC851974:GEC851976 GNY851974:GNY851976 GXU851974:GXU851976 HHQ851974:HHQ851976 HRM851974:HRM851976 IBI851974:IBI851976 ILE851974:ILE851976 IVA851974:IVA851976 JEW851974:JEW851976 JOS851974:JOS851976 JYO851974:JYO851976 KIK851974:KIK851976 KSG851974:KSG851976 LCC851974:LCC851976 LLY851974:LLY851976 LVU851974:LVU851976 MFQ851974:MFQ851976 MPM851974:MPM851976 MZI851974:MZI851976 NJE851974:NJE851976 NTA851974:NTA851976 OCW851974:OCW851976 OMS851974:OMS851976 OWO851974:OWO851976 PGK851974:PGK851976 PQG851974:PQG851976 QAC851974:QAC851976 QJY851974:QJY851976 QTU851974:QTU851976 RDQ851974:RDQ851976 RNM851974:RNM851976 RXI851974:RXI851976 SHE851974:SHE851976 SRA851974:SRA851976 TAW851974:TAW851976 TKS851974:TKS851976 TUO851974:TUO851976 UEK851974:UEK851976 UOG851974:UOG851976 UYC851974:UYC851976 VHY851974:VHY851976 VRU851974:VRU851976 WBQ851974:WBQ851976 WLM851974:WLM851976 WVI851974:WVI851976 A917510:A917512 IW917510:IW917512 SS917510:SS917512 ACO917510:ACO917512 AMK917510:AMK917512 AWG917510:AWG917512 BGC917510:BGC917512 BPY917510:BPY917512 BZU917510:BZU917512 CJQ917510:CJQ917512 CTM917510:CTM917512 DDI917510:DDI917512 DNE917510:DNE917512 DXA917510:DXA917512 EGW917510:EGW917512 EQS917510:EQS917512 FAO917510:FAO917512 FKK917510:FKK917512 FUG917510:FUG917512 GEC917510:GEC917512 GNY917510:GNY917512 GXU917510:GXU917512 HHQ917510:HHQ917512 HRM917510:HRM917512 IBI917510:IBI917512 ILE917510:ILE917512 IVA917510:IVA917512 JEW917510:JEW917512 JOS917510:JOS917512 JYO917510:JYO917512 KIK917510:KIK917512 KSG917510:KSG917512 LCC917510:LCC917512 LLY917510:LLY917512 LVU917510:LVU917512 MFQ917510:MFQ917512 MPM917510:MPM917512 MZI917510:MZI917512 NJE917510:NJE917512 NTA917510:NTA917512 OCW917510:OCW917512 OMS917510:OMS917512 OWO917510:OWO917512 PGK917510:PGK917512 PQG917510:PQG917512 QAC917510:QAC917512 QJY917510:QJY917512 QTU917510:QTU917512 RDQ917510:RDQ917512 RNM917510:RNM917512 RXI917510:RXI917512 SHE917510:SHE917512 SRA917510:SRA917512 TAW917510:TAW917512 TKS917510:TKS917512 TUO917510:TUO917512 UEK917510:UEK917512 UOG917510:UOG917512 UYC917510:UYC917512 VHY917510:VHY917512 VRU917510:VRU917512 WBQ917510:WBQ917512 WLM917510:WLM917512 WVI917510:WVI917512 A983046:A983048 IW983046:IW983048 SS983046:SS983048 ACO983046:ACO983048 AMK983046:AMK983048 AWG983046:AWG983048 BGC983046:BGC983048 BPY983046:BPY983048 BZU983046:BZU983048 CJQ983046:CJQ983048 CTM983046:CTM983048 DDI983046:DDI983048 DNE983046:DNE983048 DXA983046:DXA983048 EGW983046:EGW983048 EQS983046:EQS983048 FAO983046:FAO983048 FKK983046:FKK983048 FUG983046:FUG983048 GEC983046:GEC983048 GNY983046:GNY983048 GXU983046:GXU983048 HHQ983046:HHQ983048 HRM983046:HRM983048 IBI983046:IBI983048 ILE983046:ILE983048 IVA983046:IVA983048 JEW983046:JEW983048 JOS983046:JOS983048 JYO983046:JYO983048 KIK983046:KIK983048 KSG983046:KSG983048 LCC983046:LCC983048 LLY983046:LLY983048 LVU983046:LVU983048 MFQ983046:MFQ983048 MPM983046:MPM983048 MZI983046:MZI983048 NJE983046:NJE983048 NTA983046:NTA983048 OCW983046:OCW983048 OMS983046:OMS983048 OWO983046:OWO983048 PGK983046:PGK983048 PQG983046:PQG983048 QAC983046:QAC983048 QJY983046:QJY983048 QTU983046:QTU983048 RDQ983046:RDQ983048 RNM983046:RNM983048 RXI983046:RXI983048 SHE983046:SHE983048 SRA983046:SRA983048 TAW983046:TAW983048 TKS983046:TKS983048 TUO983046:TUO983048 UEK983046:UEK983048 UOG983046:UOG983048 UYC983046:UYC983048 VHY983046:VHY983048 VRU983046:VRU983048 WBQ983046:WBQ983048 WLM983046:WLM983048 A3:A8">
      <formula1>"40,50,70"</formula1>
    </dataValidation>
  </dataValidation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O71"/>
  <sheetViews>
    <sheetView topLeftCell="A81" workbookViewId="0">
      <selection activeCell="L77" sqref="L77"/>
    </sheetView>
  </sheetViews>
  <sheetFormatPr defaultRowHeight="13.5"/>
  <cols>
    <col min="6" max="6" width="13.5" customWidth="1"/>
  </cols>
  <sheetData>
    <row r="3" spans="13:15">
      <c r="M3">
        <v>9900</v>
      </c>
      <c r="N3">
        <v>55</v>
      </c>
      <c r="O3">
        <f>M3/N3/30</f>
        <v>6</v>
      </c>
    </row>
    <row r="4" spans="13:15">
      <c r="M4">
        <v>18000</v>
      </c>
      <c r="N4">
        <v>120</v>
      </c>
      <c r="O4">
        <f t="shared" ref="O4:O13" si="0">M4/N4/30</f>
        <v>5</v>
      </c>
    </row>
    <row r="5" spans="13:15">
      <c r="M5">
        <v>15300</v>
      </c>
      <c r="N5">
        <v>70</v>
      </c>
      <c r="O5">
        <f t="shared" si="0"/>
        <v>7.2857142857142865</v>
      </c>
    </row>
    <row r="6" spans="13:15">
      <c r="M6" s="3053">
        <v>56300</v>
      </c>
      <c r="N6" s="3053">
        <v>536</v>
      </c>
      <c r="O6" s="3053">
        <f t="shared" si="0"/>
        <v>3.5012437810945274</v>
      </c>
    </row>
    <row r="7" spans="13:15">
      <c r="M7" s="3053">
        <v>24300</v>
      </c>
      <c r="N7" s="3053">
        <v>180</v>
      </c>
      <c r="O7" s="3053">
        <f t="shared" si="0"/>
        <v>4.5</v>
      </c>
    </row>
    <row r="8" spans="13:15">
      <c r="M8">
        <v>7000</v>
      </c>
      <c r="N8">
        <v>20</v>
      </c>
      <c r="O8">
        <f t="shared" si="0"/>
        <v>11.666666666666666</v>
      </c>
    </row>
    <row r="9" spans="13:15">
      <c r="M9">
        <v>5500</v>
      </c>
      <c r="N9">
        <v>64</v>
      </c>
      <c r="O9">
        <f t="shared" si="0"/>
        <v>2.8645833333333335</v>
      </c>
    </row>
    <row r="10" spans="13:15">
      <c r="M10">
        <v>420000</v>
      </c>
      <c r="N10">
        <v>4000</v>
      </c>
      <c r="O10">
        <f t="shared" si="0"/>
        <v>3.5</v>
      </c>
    </row>
    <row r="11" spans="13:15">
      <c r="M11">
        <v>45000</v>
      </c>
      <c r="N11">
        <v>181</v>
      </c>
      <c r="O11">
        <f t="shared" si="0"/>
        <v>8.2872928176795586</v>
      </c>
    </row>
    <row r="12" spans="13:15">
      <c r="M12">
        <v>90000</v>
      </c>
      <c r="N12">
        <v>362</v>
      </c>
      <c r="O12">
        <f t="shared" si="0"/>
        <v>8.2872928176795586</v>
      </c>
    </row>
    <row r="13" spans="13:15">
      <c r="M13">
        <v>10000</v>
      </c>
      <c r="N13">
        <v>34</v>
      </c>
      <c r="O13">
        <f t="shared" si="0"/>
        <v>9.8039215686274517</v>
      </c>
    </row>
    <row r="68" spans="6:10">
      <c r="F68" s="3049" t="s">
        <v>3418</v>
      </c>
      <c r="G68" s="3049" t="s">
        <v>3419</v>
      </c>
      <c r="H68" s="3049" t="s">
        <v>3421</v>
      </c>
      <c r="I68" s="3049" t="s">
        <v>3422</v>
      </c>
      <c r="J68" s="3049" t="s">
        <v>3423</v>
      </c>
    </row>
    <row r="69" spans="6:10">
      <c r="F69" s="3049" t="s">
        <v>3441</v>
      </c>
      <c r="G69">
        <v>122.53</v>
      </c>
      <c r="H69">
        <v>480</v>
      </c>
      <c r="I69">
        <f>ROUND(H69*10000/G69,0)</f>
        <v>39174</v>
      </c>
      <c r="J69" s="3049" t="s">
        <v>3424</v>
      </c>
    </row>
    <row r="70" spans="6:10">
      <c r="F70" s="3049" t="str">
        <f>F69</f>
        <v>广安康馨家园</v>
      </c>
      <c r="G70">
        <v>43.47</v>
      </c>
      <c r="H70">
        <v>190</v>
      </c>
      <c r="I70">
        <f>ROUND(H70*10000/G70,0)</f>
        <v>43708</v>
      </c>
      <c r="J70" s="3049" t="str">
        <f>J69</f>
        <v>住宅配套</v>
      </c>
    </row>
    <row r="71" spans="6:10">
      <c r="F71" s="3049" t="s">
        <v>3442</v>
      </c>
      <c r="G71">
        <v>232</v>
      </c>
      <c r="H71">
        <v>950</v>
      </c>
      <c r="I71">
        <f>ROUND(H71*10000/G71,0)</f>
        <v>40948</v>
      </c>
      <c r="J71" s="3049" t="str">
        <f>J70</f>
        <v>住宅配套</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219" t="s">
        <v>1627</v>
      </c>
      <c r="B1" s="3219"/>
      <c r="C1" s="3219"/>
      <c r="D1" s="3219"/>
    </row>
    <row r="2" spans="1:4" ht="18">
      <c r="A2" s="3220" t="s">
        <v>1611</v>
      </c>
      <c r="B2" s="3220"/>
      <c r="C2" s="3220"/>
      <c r="D2" s="3220"/>
    </row>
    <row r="3" spans="1:4" ht="18.75">
      <c r="A3" s="1684" t="s">
        <v>1612</v>
      </c>
      <c r="B3" s="1684" t="s">
        <v>1613</v>
      </c>
      <c r="C3" s="1684" t="s">
        <v>1614</v>
      </c>
      <c r="D3" s="1684" t="s">
        <v>1615</v>
      </c>
    </row>
    <row r="4" spans="1:4" ht="56.25" customHeight="1">
      <c r="A4" s="1685" t="str">
        <f>项目基本情况!B4</f>
        <v>崔锴</v>
      </c>
      <c r="B4" s="1686">
        <f ca="1">项目基本情况!C4</f>
        <v>1120100036</v>
      </c>
      <c r="C4" s="1687"/>
      <c r="D4" s="1688" t="s">
        <v>1616</v>
      </c>
    </row>
    <row r="5" spans="1:4" ht="56.25" customHeight="1">
      <c r="A5" s="1685" t="str">
        <f>项目基本情况!D4</f>
        <v>郑燚</v>
      </c>
      <c r="B5" s="1686">
        <f ca="1">项目基本情况!E4</f>
        <v>1120070131</v>
      </c>
      <c r="C5" s="1689"/>
      <c r="D5" s="1688" t="s">
        <v>1616</v>
      </c>
    </row>
    <row r="6" spans="1:4" ht="18">
      <c r="A6" s="3220" t="s">
        <v>1617</v>
      </c>
      <c r="B6" s="3220"/>
      <c r="C6" s="3220"/>
      <c r="D6" s="3220"/>
    </row>
    <row r="7" spans="1:4" ht="18.75">
      <c r="A7" s="1684" t="s">
        <v>1612</v>
      </c>
      <c r="B7" s="1686" t="s">
        <v>1618</v>
      </c>
      <c r="C7" s="1684" t="s">
        <v>1614</v>
      </c>
      <c r="D7" s="1684" t="s">
        <v>1615</v>
      </c>
    </row>
    <row r="8" spans="1:4" ht="56.25" customHeight="1">
      <c r="A8" s="1690" t="s">
        <v>837</v>
      </c>
      <c r="B8" s="1690" t="s">
        <v>1</v>
      </c>
      <c r="C8" s="1687"/>
      <c r="D8" s="1688" t="s">
        <v>1616</v>
      </c>
    </row>
    <row r="9" spans="1:4">
      <c r="A9" s="684"/>
      <c r="B9" s="684"/>
      <c r="C9" s="684"/>
      <c r="D9" s="684"/>
    </row>
    <row r="10" spans="1:4" ht="18.75">
      <c r="A10" s="1691" t="s">
        <v>1619</v>
      </c>
      <c r="B10" s="684"/>
      <c r="C10" s="684"/>
      <c r="D10" s="684"/>
    </row>
    <row r="11" spans="1:4" ht="30" customHeight="1">
      <c r="A11" s="3221" t="s">
        <v>1620</v>
      </c>
      <c r="B11" s="3222"/>
      <c r="C11" s="3222"/>
      <c r="D11" s="3222"/>
    </row>
    <row r="12" spans="1:4" ht="15.75">
      <c r="A12" s="32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22" t="str">
        <f>IF(项目基本情况!B8="抵押","4.本次评估估价师所知悉的法定优先受偿款情况说明如下：","——")</f>
        <v>4.本次评估估价师所知悉的法定优先受偿款情况说明如下：</v>
      </c>
      <c r="B14" s="3223"/>
      <c r="C14" s="3223"/>
      <c r="D14" s="3223"/>
    </row>
    <row r="15" spans="1:4" ht="42" customHeight="1">
      <c r="A15" s="322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222"/>
      <c r="C15" s="3222"/>
      <c r="D15" s="3222"/>
    </row>
    <row r="16" spans="1:4" ht="30" customHeight="1">
      <c r="A16" s="3225" t="s">
        <v>1621</v>
      </c>
      <c r="B16" s="3225"/>
      <c r="C16" s="3225"/>
      <c r="D16" s="3225"/>
    </row>
    <row r="17" spans="1:4" ht="144" customHeight="1">
      <c r="A17" s="3225" t="s">
        <v>1622</v>
      </c>
      <c r="B17" s="3225"/>
      <c r="C17" s="3225"/>
      <c r="D17" s="3225"/>
    </row>
    <row r="18" spans="1:4" ht="15.75" customHeight="1">
      <c r="A18" s="3222" t="str">
        <f>IF(项目基本情况!B8="抵押",结果表!K120,"——")</f>
        <v>故，本次评估不存在估价师知悉的除抵押担保权以外的法定优先受偿款</v>
      </c>
      <c r="B18" s="3222"/>
      <c r="C18" s="3222"/>
      <c r="D18" s="3222"/>
    </row>
    <row r="19" spans="1:4" ht="46.5" customHeight="1">
      <c r="A19" s="32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2"/>
      <c r="C19" s="3222"/>
      <c r="D19" s="3222"/>
    </row>
    <row r="20" spans="1:4" ht="57.75" customHeight="1">
      <c r="A20" s="32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2"/>
      <c r="C20" s="3222"/>
      <c r="D20" s="3222"/>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6"/>
      <c r="C21" s="3226"/>
      <c r="D21" s="3226"/>
    </row>
    <row r="22" spans="1:4" ht="18.75" customHeight="1">
      <c r="A22" s="3227" t="s">
        <v>1623</v>
      </c>
      <c r="B22" s="3227"/>
      <c r="C22" s="3227"/>
      <c r="D22" s="3227"/>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224">
        <v>42551</v>
      </c>
      <c r="D31" s="32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233" t="s">
        <v>1634</v>
      </c>
      <c r="B15" s="3228" t="s">
        <v>136</v>
      </c>
      <c r="C15" s="3229"/>
    </row>
    <row r="16" spans="1:7" ht="13.5">
      <c r="A16" s="3234"/>
      <c r="B16" s="3228" t="s">
        <v>69</v>
      </c>
      <c r="C16" s="3229"/>
    </row>
    <row r="17" spans="1:3" ht="13.5">
      <c r="A17" s="3234"/>
      <c r="B17" s="3231" t="s">
        <v>1635</v>
      </c>
      <c r="C17" s="1707" t="s">
        <v>1634</v>
      </c>
    </row>
    <row r="18" spans="1:3" ht="13.5">
      <c r="A18" s="3234"/>
      <c r="B18" s="3231"/>
      <c r="C18" s="1707" t="s">
        <v>1636</v>
      </c>
    </row>
    <row r="19" spans="1:3" ht="13.5">
      <c r="A19" s="3234"/>
      <c r="B19" s="3231"/>
      <c r="C19" s="1707" t="s">
        <v>1637</v>
      </c>
    </row>
    <row r="20" spans="1:3" ht="13.5">
      <c r="A20" s="3235"/>
      <c r="B20" s="3230" t="s">
        <v>1638</v>
      </c>
      <c r="C20" s="3229"/>
    </row>
    <row r="21" spans="1:3" ht="13.5">
      <c r="A21" s="1708" t="s">
        <v>1639</v>
      </c>
      <c r="B21" s="1709"/>
      <c r="C21" s="1710"/>
    </row>
    <row r="22" spans="1:3" ht="13.5">
      <c r="A22" s="3232" t="s">
        <v>1640</v>
      </c>
      <c r="B22" s="3230" t="s">
        <v>1641</v>
      </c>
      <c r="C22" s="3229"/>
    </row>
    <row r="23" spans="1:3" ht="13.5">
      <c r="A23" s="3232"/>
      <c r="B23" s="3230" t="s">
        <v>1642</v>
      </c>
      <c r="C23" s="3229"/>
    </row>
    <row r="24" spans="1:3" ht="13.5">
      <c r="A24" s="3232"/>
      <c r="B24" s="3230" t="s">
        <v>1643</v>
      </c>
      <c r="C24" s="3229"/>
    </row>
    <row r="25" spans="1:3" ht="13.5">
      <c r="A25" s="3232"/>
      <c r="B25" s="3231" t="s">
        <v>1644</v>
      </c>
      <c r="C25" s="1707" t="s">
        <v>1645</v>
      </c>
    </row>
    <row r="26" spans="1:3" ht="13.5">
      <c r="A26" s="3232"/>
      <c r="B26" s="3231"/>
      <c r="C26" s="1707" t="s">
        <v>1646</v>
      </c>
    </row>
    <row r="27" spans="1:3" ht="13.5">
      <c r="A27" s="3232"/>
      <c r="B27" s="3231"/>
      <c r="C27" s="1707" t="s">
        <v>1647</v>
      </c>
    </row>
    <row r="28" spans="1:3" ht="13.5">
      <c r="A28" s="3232"/>
      <c r="B28" s="3231"/>
      <c r="C28" s="1707" t="s">
        <v>1648</v>
      </c>
    </row>
    <row r="29" spans="1:3" ht="13.5">
      <c r="A29" s="3232"/>
      <c r="B29" s="3231"/>
      <c r="C29" s="1707" t="s">
        <v>1649</v>
      </c>
    </row>
    <row r="30" spans="1:3" ht="13.5">
      <c r="A30" s="3232"/>
      <c r="B30" s="3231"/>
      <c r="C30" s="1707" t="s">
        <v>1650</v>
      </c>
    </row>
    <row r="31" spans="1:3" ht="13.5">
      <c r="A31" s="3232"/>
      <c r="B31" s="3231"/>
      <c r="C31" s="1707" t="s">
        <v>1651</v>
      </c>
    </row>
    <row r="32" spans="1:3" ht="13.5">
      <c r="A32" s="3232"/>
      <c r="B32" s="3231"/>
      <c r="C32" s="1707" t="s">
        <v>1652</v>
      </c>
    </row>
    <row r="33" spans="1:3" ht="13.5">
      <c r="A33" s="3232"/>
      <c r="B33" s="3231"/>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2873</v>
      </c>
      <c r="B2" s="2551">
        <f ca="1">TODAY()</f>
        <v>44531</v>
      </c>
      <c r="C2" s="2552" t="s">
        <v>2874</v>
      </c>
      <c r="D2" s="2552"/>
      <c r="E2" s="2552"/>
      <c r="F2" s="2548"/>
      <c r="G2" s="2548"/>
      <c r="H2" s="2548"/>
    </row>
    <row r="3" spans="1:8" ht="24" customHeight="1">
      <c r="A3" s="2553" t="s">
        <v>2875</v>
      </c>
      <c r="B3" s="2554" t="s">
        <v>2876</v>
      </c>
      <c r="C3" s="2554" t="s">
        <v>2877</v>
      </c>
      <c r="D3" s="2555" t="s">
        <v>2878</v>
      </c>
      <c r="E3" s="2556" t="s">
        <v>2879</v>
      </c>
      <c r="F3" s="1463" t="s">
        <v>2880</v>
      </c>
      <c r="G3" s="2554" t="s">
        <v>2877</v>
      </c>
      <c r="H3" s="2555" t="s">
        <v>2881</v>
      </c>
    </row>
    <row r="4" spans="1:8" ht="24" customHeight="1">
      <c r="A4" s="1463" t="s">
        <v>2882</v>
      </c>
      <c r="B4" s="1463">
        <f ca="1">IF(C4&lt;B2,"已过期",1119970066)</f>
        <v>1119970066</v>
      </c>
      <c r="C4" s="2557">
        <v>44876</v>
      </c>
      <c r="D4" s="2558" t="str">
        <f ca="1">A4&amp;"（注册号："&amp;B4&amp;"）"</f>
        <v>梁津（注册号：1119970066）</v>
      </c>
      <c r="E4" s="2559" t="s">
        <v>2882</v>
      </c>
      <c r="F4" s="1463">
        <f ca="1">IF(G4&lt;B2,"已过期",96010014)</f>
        <v>96010014</v>
      </c>
      <c r="G4" s="2560">
        <v>47118</v>
      </c>
      <c r="H4" s="2561" t="str">
        <f ca="1">E4&amp;"（注册号："&amp;F4&amp;"）"</f>
        <v>梁津（注册号：96010014）</v>
      </c>
    </row>
    <row r="5" spans="1:8" ht="24" customHeight="1">
      <c r="A5" s="1463" t="s">
        <v>2883</v>
      </c>
      <c r="B5" s="1463">
        <f ca="1">IF(C5&lt;B2,"已过期",1119970111)</f>
        <v>1119970111</v>
      </c>
      <c r="C5" s="2557">
        <v>44876</v>
      </c>
      <c r="D5" s="2558" t="str">
        <f t="shared" ref="D5:D15" ca="1" si="0">A5&amp;"（注册号："&amp;B5&amp;"）"</f>
        <v>叶凌（注册号：1119970111）</v>
      </c>
      <c r="E5" s="2559" t="s">
        <v>2883</v>
      </c>
      <c r="F5" s="1463">
        <f ca="1">IF(G5&lt;B2,"已过期",94010078)</f>
        <v>94010078</v>
      </c>
      <c r="G5" s="2560">
        <v>46387</v>
      </c>
      <c r="H5" s="2561" t="str">
        <f t="shared" ref="H5:H16" ca="1" si="1">E5&amp;"（注册号："&amp;F5&amp;"）"</f>
        <v>叶凌（注册号：94010078）</v>
      </c>
    </row>
    <row r="6" spans="1:8" ht="24" customHeight="1">
      <c r="A6" s="1463" t="s">
        <v>2884</v>
      </c>
      <c r="B6" s="1463" t="str">
        <f ca="1">IF(C6&lt;B2,"已过期",1120050019)</f>
        <v>已过期</v>
      </c>
      <c r="C6" s="2557">
        <v>44395</v>
      </c>
      <c r="D6" s="2558" t="str">
        <f t="shared" ca="1" si="0"/>
        <v>王鹏（注册号：已过期）</v>
      </c>
      <c r="E6" s="2559" t="s">
        <v>2884</v>
      </c>
      <c r="F6" s="1463">
        <f ca="1">IF(G6&lt;B2,"已过期",2002110030)</f>
        <v>2002110030</v>
      </c>
      <c r="G6" s="2560">
        <v>46387</v>
      </c>
      <c r="H6" s="2561" t="str">
        <f t="shared" ca="1" si="1"/>
        <v>王鹏（注册号：2002110030）</v>
      </c>
    </row>
    <row r="7" spans="1:8" ht="24" customHeight="1">
      <c r="A7" s="1463" t="s">
        <v>2885</v>
      </c>
      <c r="B7" s="1463">
        <f ca="1">IF(C7&lt;B2,"已过期",1120000080)</f>
        <v>1120000080</v>
      </c>
      <c r="C7" s="2557">
        <v>44876</v>
      </c>
      <c r="D7" s="2558" t="str">
        <f t="shared" ca="1" si="0"/>
        <v>欧红伟（注册号：1120000080）</v>
      </c>
      <c r="E7" s="2559" t="s">
        <v>2885</v>
      </c>
      <c r="F7" s="1463">
        <f ca="1">IF(G7&lt;B2,"已过期",2000110082)</f>
        <v>2000110082</v>
      </c>
      <c r="G7" s="2560">
        <v>46387</v>
      </c>
      <c r="H7" s="2561" t="str">
        <f t="shared" ca="1" si="1"/>
        <v>欧红伟（注册号：2000110082）</v>
      </c>
    </row>
    <row r="8" spans="1:8" ht="24" customHeight="1">
      <c r="A8" s="1463" t="s">
        <v>2886</v>
      </c>
      <c r="B8" s="1463">
        <f ca="1">IF(C8&lt;B2,"已过期",1419970001)</f>
        <v>1419970001</v>
      </c>
      <c r="C8" s="2557">
        <v>44899</v>
      </c>
      <c r="D8" s="2558" t="str">
        <f t="shared" ca="1" si="0"/>
        <v>吴薇（注册号：1419970001）</v>
      </c>
      <c r="E8" s="2559" t="s">
        <v>2886</v>
      </c>
      <c r="F8" s="1463">
        <f ca="1">IF(G8&lt;B2,"已过期",2002110125)</f>
        <v>2002110125</v>
      </c>
      <c r="G8" s="2560">
        <v>47118</v>
      </c>
      <c r="H8" s="2561" t="str">
        <f t="shared" ca="1" si="1"/>
        <v>吴薇（注册号：2002110125）</v>
      </c>
    </row>
    <row r="9" spans="1:8" ht="24" customHeight="1">
      <c r="A9" s="1463" t="s">
        <v>2887</v>
      </c>
      <c r="B9" s="1463">
        <f ca="1">IF(C9&lt;B2,"已过期",1120060040)</f>
        <v>1120060040</v>
      </c>
      <c r="C9" s="2562">
        <v>44554</v>
      </c>
      <c r="D9" s="2558" t="str">
        <f t="shared" ca="1" si="0"/>
        <v>陈颖（注册号：1120060040）</v>
      </c>
      <c r="E9" s="2559" t="s">
        <v>2887</v>
      </c>
      <c r="F9" s="1463">
        <f ca="1">IF(G9&lt;B2,"已过期",2004110096)</f>
        <v>2004110096</v>
      </c>
      <c r="G9" s="2560">
        <v>47118</v>
      </c>
      <c r="H9" s="2561" t="str">
        <f t="shared" ca="1" si="1"/>
        <v>陈颖（注册号：2004110096）</v>
      </c>
    </row>
    <row r="10" spans="1:8" ht="24" customHeight="1">
      <c r="A10" s="1463" t="s">
        <v>2888</v>
      </c>
      <c r="B10" s="1463">
        <f ca="1">IF(C10&lt;B2,"已过期",1120100036)</f>
        <v>1120100036</v>
      </c>
      <c r="C10" s="2562">
        <v>44675</v>
      </c>
      <c r="D10" s="2558" t="str">
        <f t="shared" ca="1" si="0"/>
        <v>崔锴（注册号：1120100036）</v>
      </c>
      <c r="E10" s="2559" t="s">
        <v>2888</v>
      </c>
      <c r="F10" s="1463">
        <f ca="1">IF(G10&lt;B2,"已过期",2010110070)</f>
        <v>2010110070</v>
      </c>
      <c r="G10" s="2560">
        <v>47907</v>
      </c>
      <c r="H10" s="2561" t="str">
        <f t="shared" ca="1" si="1"/>
        <v>崔锴（注册号：2010110070）</v>
      </c>
    </row>
    <row r="11" spans="1:8" ht="24" customHeight="1">
      <c r="A11" s="1463" t="s">
        <v>2889</v>
      </c>
      <c r="B11" s="1463">
        <f ca="1">IF(C11&lt;B2,"已过期",1120070131)</f>
        <v>1120070131</v>
      </c>
      <c r="C11" s="2557">
        <v>44849</v>
      </c>
      <c r="D11" s="2558" t="str">
        <f t="shared" ca="1" si="0"/>
        <v>郑燚（注册号：1120070131）</v>
      </c>
      <c r="E11" s="2559" t="s">
        <v>2889</v>
      </c>
      <c r="F11" s="1463">
        <f ca="1">IF(G11&lt;B2,"已过期",2014110011)</f>
        <v>2014110011</v>
      </c>
      <c r="G11" s="2560">
        <v>49302</v>
      </c>
      <c r="H11" s="2561" t="str">
        <f t="shared" ca="1" si="1"/>
        <v>郑燚（注册号：2014110011）</v>
      </c>
    </row>
    <row r="12" spans="1:8" ht="24" customHeight="1">
      <c r="A12" s="1463" t="s">
        <v>2890</v>
      </c>
      <c r="B12" s="1463">
        <f ca="1">IF(C12&lt;B2,"已过期",1120040230)</f>
        <v>1120040230</v>
      </c>
      <c r="C12" s="2562">
        <v>44864</v>
      </c>
      <c r="D12" s="2558" t="str">
        <f t="shared" ca="1" si="0"/>
        <v>苏海（注册号：1120040230）</v>
      </c>
      <c r="E12" s="2559" t="s">
        <v>2890</v>
      </c>
      <c r="F12" s="1463">
        <f ca="1">IF(G12&lt;B2,"已过期",98030020)</f>
        <v>98030020</v>
      </c>
      <c r="G12" s="2560">
        <v>47118</v>
      </c>
      <c r="H12" s="2561" t="str">
        <f t="shared" ca="1" si="1"/>
        <v>苏海（注册号：98030020）</v>
      </c>
    </row>
    <row r="13" spans="1:8" ht="24" customHeight="1">
      <c r="A13" s="1463" t="s">
        <v>2891</v>
      </c>
      <c r="B13" s="1463" t="str">
        <f ca="1">IF(C13&lt;B2,"已过期",1120020033)</f>
        <v>已过期</v>
      </c>
      <c r="C13" s="2557">
        <v>44339</v>
      </c>
      <c r="D13" s="2558" t="str">
        <f t="shared" ca="1" si="0"/>
        <v>刘敬东（注册号：已过期）</v>
      </c>
      <c r="E13" s="2559" t="s">
        <v>2891</v>
      </c>
      <c r="F13" s="1463">
        <f ca="1">IF(G13&lt;B2,"已过期",2000110137)</f>
        <v>2000110137</v>
      </c>
      <c r="G13" s="2560">
        <v>46387</v>
      </c>
      <c r="H13" s="2561" t="str">
        <f t="shared" ca="1" si="1"/>
        <v>刘敬东（注册号：2000110137）</v>
      </c>
    </row>
    <row r="14" spans="1:8" ht="24" customHeight="1">
      <c r="A14" s="1463" t="s">
        <v>2892</v>
      </c>
      <c r="B14" s="1463">
        <f ca="1">IF(C14&lt;B2,"已过期",1119980106)</f>
        <v>1119980106</v>
      </c>
      <c r="C14" s="2562">
        <v>44969</v>
      </c>
      <c r="D14" s="2558" t="str">
        <f t="shared" ca="1" si="0"/>
        <v>刘俊财（注册号：1119980106）</v>
      </c>
      <c r="E14" s="2559" t="s">
        <v>2892</v>
      </c>
      <c r="F14" s="1463">
        <f ca="1">IF(G14&lt;B2,"已过期",96010063)</f>
        <v>96010063</v>
      </c>
      <c r="G14" s="2560">
        <v>47483</v>
      </c>
      <c r="H14" s="2561" t="str">
        <f t="shared" ca="1" si="1"/>
        <v>刘俊财（注册号：96010063）</v>
      </c>
    </row>
    <row r="15" spans="1:8" ht="24" customHeight="1">
      <c r="A15" s="1463"/>
      <c r="B15" s="1463"/>
      <c r="C15" s="2562"/>
      <c r="D15" s="2558" t="str">
        <f t="shared" si="0"/>
        <v>（注册号：）</v>
      </c>
      <c r="E15" s="2559" t="s">
        <v>2893</v>
      </c>
      <c r="F15" s="1463">
        <f ca="1">IF(G15&lt;B2,"已过期",2011110090)</f>
        <v>2011110090</v>
      </c>
      <c r="G15" s="2560">
        <v>48302</v>
      </c>
      <c r="H15" s="2561" t="str">
        <f t="shared" ca="1" si="1"/>
        <v>赵雯（注册号：2011110090）</v>
      </c>
    </row>
    <row r="16" spans="1:8" s="2564" customFormat="1" ht="24" customHeight="1">
      <c r="A16" s="1463"/>
      <c r="B16" s="1463"/>
      <c r="C16" s="1463"/>
      <c r="D16" s="2558" t="str">
        <f>A16&amp;"（注册号："&amp;B16&amp;"）"</f>
        <v>（注册号：）</v>
      </c>
      <c r="E16" s="2559"/>
      <c r="F16" s="1463"/>
      <c r="G16" s="1463"/>
      <c r="H16" s="2563" t="str">
        <f t="shared" si="1"/>
        <v>（注册号：）</v>
      </c>
    </row>
    <row r="17" spans="1:8" ht="24" customHeight="1">
      <c r="A17" s="3236" t="s">
        <v>2894</v>
      </c>
      <c r="B17" s="3236"/>
      <c r="C17" s="3236"/>
      <c r="D17" s="3236"/>
      <c r="E17" s="3236"/>
      <c r="F17" s="3236"/>
      <c r="G17" s="3236"/>
      <c r="H17" s="3236"/>
    </row>
    <row r="18" spans="1:8" ht="24" customHeight="1">
      <c r="A18" s="3237" t="s">
        <v>2895</v>
      </c>
      <c r="B18" s="3237"/>
      <c r="C18" s="3237"/>
      <c r="D18" s="2555"/>
      <c r="E18" s="3238" t="s">
        <v>2896</v>
      </c>
      <c r="F18" s="3237"/>
      <c r="G18" s="3237"/>
    </row>
    <row r="19" spans="1:8" s="2566" customFormat="1" ht="24" customHeight="1">
      <c r="A19" s="2565" t="s">
        <v>2897</v>
      </c>
      <c r="B19" s="2554" t="s">
        <v>2898</v>
      </c>
      <c r="C19" s="2554" t="s">
        <v>2877</v>
      </c>
      <c r="D19" s="2555"/>
      <c r="E19" s="2559" t="s">
        <v>2897</v>
      </c>
      <c r="F19" s="2554" t="s">
        <v>2898</v>
      </c>
      <c r="G19" s="2554" t="s">
        <v>2877</v>
      </c>
    </row>
    <row r="20" spans="1:8" s="2566" customFormat="1" ht="24" customHeight="1">
      <c r="A20" s="2567" t="s">
        <v>2899</v>
      </c>
      <c r="B20" s="2567" t="s">
        <v>2900</v>
      </c>
      <c r="C20" s="2560">
        <v>44820</v>
      </c>
      <c r="D20" s="2568"/>
      <c r="E20" s="2569" t="s">
        <v>2901</v>
      </c>
      <c r="F20" s="2567" t="s">
        <v>2902</v>
      </c>
      <c r="G20" s="2570">
        <v>44377</v>
      </c>
    </row>
    <row r="21" spans="1:8" s="2566" customFormat="1" ht="24" customHeight="1">
      <c r="A21" s="2567"/>
      <c r="B21" s="2567"/>
      <c r="C21" s="2571"/>
      <c r="D21" s="2572"/>
      <c r="E21" s="2569" t="s">
        <v>2903</v>
      </c>
      <c r="F21" s="2573" t="s">
        <v>2904</v>
      </c>
      <c r="G21" s="2574">
        <v>44012</v>
      </c>
    </row>
    <row r="22" spans="1:8" ht="24" customHeight="1">
      <c r="C22" s="2575"/>
      <c r="D22" s="2575"/>
      <c r="E22" s="2576"/>
      <c r="F22" s="2577"/>
      <c r="G22" s="2578"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比较法-商业</vt:lpstr>
      <vt:lpstr>典型户型修正</vt:lpstr>
      <vt:lpstr>收益法（汇总）</vt:lpstr>
      <vt:lpstr>收益法-有租约</vt:lpstr>
      <vt:lpstr>收益法-商业</vt:lpstr>
      <vt:lpstr>收益法 (元)</vt:lpstr>
      <vt:lpstr>收益法-酒店</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收益法-8（102）</vt:lpstr>
      <vt:lpstr>收益法-1（101）</vt:lpstr>
      <vt:lpstr>收益法-1（102）</vt:lpstr>
      <vt:lpstr>收益法-1（201）</vt:lpstr>
      <vt:lpstr>收益法-无租约</vt:lpstr>
      <vt:lpstr>面积指标</vt:lpstr>
      <vt:lpstr>土地案例</vt:lpstr>
      <vt:lpstr>租赁台账</vt:lpstr>
      <vt:lpstr>年期修正系数</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'收益法-1（101）'!Print_Area</vt:lpstr>
      <vt:lpstr>'收益法-1（102）'!Print_Area</vt:lpstr>
      <vt:lpstr>'收益法-1（201）'!Print_Area</vt:lpstr>
      <vt:lpstr>'收益法-8（102）'!Print_Area</vt:lpstr>
      <vt:lpstr>'收益法-酒店'!Print_Area</vt:lpstr>
      <vt:lpstr>'收益法-商业'!Print_Area</vt:lpstr>
      <vt:lpstr>'收益法-无租约'!Print_Area</vt:lpstr>
      <vt:lpstr>'收益法-有租约'!Print_Area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2021-11-23T02:04:14Z</cp:lastPrinted>
  <dcterms:created xsi:type="dcterms:W3CDTF">2015-07-13T07:17:23Z</dcterms:created>
  <dcterms:modified xsi:type="dcterms:W3CDTF">2021-12-01T01:10:42Z</dcterms:modified>
</cp:coreProperties>
</file>