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天溪园\"/>
    </mc:Choice>
  </mc:AlternateContent>
  <xr:revisionPtr revIDLastSave="0" documentId="13_ncr:1_{72DD8ED3-AB78-43DF-9CA3-FFD11F3226F8}" xr6:coauthVersionLast="47" xr6:coauthVersionMax="47" xr10:uidLastSave="{00000000-0000-0000-0000-000000000000}"/>
  <bookViews>
    <workbookView xWindow="120" yWindow="120" windowWidth="13776" windowHeight="11988"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比较法-租金" sheetId="82" state="hidden" r:id="rId19"/>
    <sheet name="结果表" sheetId="9" r:id="rId20"/>
    <sheet name="成本法" sheetId="68" state="hidden" r:id="rId21"/>
    <sheet name="比较法-商业" sheetId="33" r:id="rId22"/>
    <sheet name="收益法 (元)" sheetId="67" r:id="rId23"/>
    <sheet name="结果表40" sheetId="83" r:id="rId24"/>
    <sheet name="比较法-商业40" sheetId="84" r:id="rId25"/>
    <sheet name="收益法40" sheetId="85" r:id="rId26"/>
    <sheet name="比较法-租金 40" sheetId="86" state="hidden" r:id="rId27"/>
    <sheet name="结果表43" sheetId="87" r:id="rId28"/>
    <sheet name="比较法-商业43" sheetId="88" r:id="rId29"/>
    <sheet name="收益法43" sheetId="89" r:id="rId30"/>
    <sheet name="比较法-租金 43" sheetId="90" state="hidden"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1"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18"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1">'比较法-商业'!$A$1:$K$54,'比较法-商业'!$A$57:$M$131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18">'比较法-租金'!$A$1:$K$54,'比较法-租金'!$A$57:$M$131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20">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9">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8">'比较法-租金'!$B$116:$M$116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18">'比较法-租金'!$B$109:$M$109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18">'比较法-租金'!$B$107:$M$107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18">'比较法-租金'!$B$112:$M$112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18">'比较法-租金'!$B$105:$M$105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18">'比较法-租金'!$A$61:$M$61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18">'比较法-租金'!$B$120:$M$120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18">'比较法-租金'!$B$100:$M$100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18">'比较法-租金'!$B$86:$M$86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18">'比较法-租金'!$B$92:$M$92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18">'比较法-租金'!$B$122:$M$122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18">'比较法-租金'!$B$90:$M$90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18">'比较法-租金'!$B$114:$M$114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18">'比较法-租金'!$B$63:$M$63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1" i="1" l="1"/>
  <c r="N6" i="1" s="1"/>
  <c r="E51" i="84"/>
  <c r="D104" i="88"/>
  <c r="E104" i="88" s="1"/>
  <c r="F104" i="88" s="1"/>
  <c r="G104" i="88" s="1"/>
  <c r="D104" i="84"/>
  <c r="E104" i="84" s="1"/>
  <c r="E104" i="33"/>
  <c r="F104" i="33" s="1"/>
  <c r="G104" i="33" s="1"/>
  <c r="D104" i="33"/>
  <c r="D40" i="81"/>
  <c r="G40" i="81"/>
  <c r="G39" i="81"/>
  <c r="B14" i="74"/>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H44" i="88" s="1"/>
  <c r="AB44" i="88" s="1"/>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Q44" i="88"/>
  <c r="Z44" i="88" s="1"/>
  <c r="J44" i="88"/>
  <c r="AC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Q26" i="88"/>
  <c r="Z26" i="88" s="1"/>
  <c r="J26" i="88"/>
  <c r="AC26" i="88" s="1"/>
  <c r="H26" i="88"/>
  <c r="U26" i="88" s="1"/>
  <c r="F26" i="88"/>
  <c r="AA26" i="88" s="1"/>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L4" i="87"/>
  <c r="K4" i="87"/>
  <c r="A2" i="87"/>
  <c r="H1" i="87"/>
  <c r="E47" i="86"/>
  <c r="W8" i="1"/>
  <c r="V8" i="1"/>
  <c r="Q8" i="1"/>
  <c r="Q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Q26" i="84"/>
  <c r="Z26" i="84" s="1"/>
  <c r="J26" i="84"/>
  <c r="W26" i="84" s="1"/>
  <c r="H26" i="84"/>
  <c r="AB26" i="84" s="1"/>
  <c r="F26" i="84"/>
  <c r="AA26" i="84" s="1"/>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7" i="83"/>
  <c r="L4" i="83"/>
  <c r="K4" i="83"/>
  <c r="A2" i="83"/>
  <c r="H1" i="83"/>
  <c r="F40" i="85"/>
  <c r="L47" i="85"/>
  <c r="M9" i="89"/>
  <c r="M22" i="89"/>
  <c r="F36" i="85"/>
  <c r="M6" i="85"/>
  <c r="D2" i="84"/>
  <c r="F8" i="85"/>
  <c r="F37" i="85"/>
  <c r="D2" i="88"/>
  <c r="M23" i="89"/>
  <c r="M27" i="89"/>
  <c r="M23" i="85"/>
  <c r="F9" i="85"/>
  <c r="F38" i="85"/>
  <c r="L48" i="85"/>
  <c r="M24" i="85"/>
  <c r="D2" i="86"/>
  <c r="D2" i="90"/>
  <c r="M28" i="85"/>
  <c r="F7" i="89"/>
  <c r="F26" i="89"/>
  <c r="M28" i="89"/>
  <c r="C76" i="85"/>
  <c r="M22" i="85"/>
  <c r="J15" i="89"/>
  <c r="M8" i="85"/>
  <c r="F6" i="85"/>
  <c r="M9" i="85"/>
  <c r="J15" i="85"/>
  <c r="F26" i="85"/>
  <c r="F6" i="89"/>
  <c r="M27" i="85"/>
  <c r="F16" i="85"/>
  <c r="F37" i="89"/>
  <c r="C76" i="89"/>
  <c r="M26" i="85"/>
  <c r="F9" i="89"/>
  <c r="F42" i="89"/>
  <c r="F42" i="85"/>
  <c r="N8" i="1" l="1"/>
  <c r="N7" i="1"/>
  <c r="AB26" i="88"/>
  <c r="AA25" i="88"/>
  <c r="U25" i="84"/>
  <c r="H33" i="88"/>
  <c r="U33" i="88" s="1"/>
  <c r="F104" i="84"/>
  <c r="G104" i="84" s="1"/>
  <c r="J33" i="84"/>
  <c r="F33" i="84"/>
  <c r="AA33" i="84" s="1"/>
  <c r="AC26" i="84"/>
  <c r="C18" i="83"/>
  <c r="D18" i="83" s="1"/>
  <c r="C18" i="87"/>
  <c r="D18" i="87" s="1"/>
  <c r="F44" i="88"/>
  <c r="AA44" i="88" s="1"/>
  <c r="W44" i="88"/>
  <c r="W8" i="88"/>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L48" i="89"/>
  <c r="M8" i="89"/>
  <c r="M24" i="89"/>
  <c r="F43" i="89"/>
  <c r="M6" i="89"/>
  <c r="F38" i="89"/>
  <c r="F40" i="89"/>
  <c r="F8" i="89"/>
  <c r="L47" i="89"/>
  <c r="M29" i="89"/>
  <c r="M26" i="89"/>
  <c r="F16" i="89"/>
  <c r="F36" i="89"/>
  <c r="S44" i="88" l="1"/>
  <c r="AC27" i="90"/>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7" i="89"/>
  <c r="C16" i="89"/>
  <c r="C14" i="89"/>
  <c r="R49" i="90" l="1"/>
  <c r="E48" i="90"/>
  <c r="I53" i="90" s="1"/>
  <c r="J53" i="90" s="1"/>
  <c r="I52" i="90"/>
  <c r="J52" i="90" s="1"/>
  <c r="G53" i="90"/>
  <c r="H53" i="90" s="1"/>
  <c r="G52" i="90"/>
  <c r="H52" i="90" s="1"/>
  <c r="C15" i="89"/>
  <c r="C18" i="89"/>
  <c r="G52" i="88"/>
  <c r="H52" i="88" s="1"/>
  <c r="AC27" i="88"/>
  <c r="V48" i="88" s="1"/>
  <c r="I48" i="88" s="1"/>
  <c r="G53" i="88" s="1"/>
  <c r="H53" i="88" s="1"/>
  <c r="W27" i="88"/>
  <c r="J18" i="89"/>
  <c r="J19" i="89"/>
  <c r="F1" i="89"/>
  <c r="Q52" i="89"/>
  <c r="Q57" i="89"/>
  <c r="Q66" i="89"/>
  <c r="Q61" i="89"/>
  <c r="Q74" i="89"/>
  <c r="C32" i="89"/>
  <c r="C33" i="89"/>
  <c r="C61" i="89"/>
  <c r="AA27" i="88"/>
  <c r="R48" i="88" s="1"/>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J44" i="33" s="1"/>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F44" i="33"/>
  <c r="AA44" i="33" s="1"/>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D7" i="74"/>
  <c r="B7" i="74"/>
  <c r="B3" i="74"/>
  <c r="B2" i="74"/>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Y7" i="1" s="1"/>
  <c r="Y8" i="1" s="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F13" i="89"/>
  <c r="D7" i="73"/>
  <c r="E10" i="76"/>
  <c r="D3" i="73"/>
  <c r="D2" i="33"/>
  <c r="B9" i="76"/>
  <c r="AO10" i="1"/>
  <c r="E11" i="76"/>
  <c r="F43" i="85"/>
  <c r="AO12" i="1"/>
  <c r="F13" i="85"/>
  <c r="D6" i="73"/>
  <c r="AO11" i="1"/>
  <c r="D2" i="34"/>
  <c r="E2" i="68"/>
  <c r="E7" i="76"/>
  <c r="B8" i="76"/>
  <c r="E13" i="76"/>
  <c r="B7" i="76"/>
  <c r="D2" i="35"/>
  <c r="E2" i="69"/>
  <c r="D2" i="37"/>
  <c r="B10" i="76"/>
  <c r="M29" i="85"/>
  <c r="F7" i="85"/>
  <c r="D2" i="21"/>
  <c r="F20" i="31"/>
  <c r="D2" i="82"/>
  <c r="D4" i="73"/>
  <c r="B13" i="76"/>
  <c r="AE8" i="1"/>
  <c r="AO13" i="1"/>
  <c r="B11" i="76"/>
  <c r="D2" i="36"/>
  <c r="E9" i="76"/>
  <c r="AO9" i="1"/>
  <c r="E8" i="76"/>
  <c r="B12" i="76"/>
  <c r="AE7" i="1"/>
  <c r="E12" i="76"/>
  <c r="D5" i="73"/>
  <c r="AC44" i="82" l="1"/>
  <c r="AC44" i="33"/>
  <c r="W44" i="33"/>
  <c r="S44" i="33"/>
  <c r="H44" i="33"/>
  <c r="U8" i="33"/>
  <c r="AC8" i="33"/>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M6" i="67"/>
  <c r="M28" i="15"/>
  <c r="C16" i="85"/>
  <c r="F4" i="73"/>
  <c r="F9" i="67"/>
  <c r="M24" i="67"/>
  <c r="M9" i="15"/>
  <c r="M23" i="67"/>
  <c r="F6" i="15"/>
  <c r="M8" i="15"/>
  <c r="F6" i="73"/>
  <c r="M8" i="67"/>
  <c r="F42" i="67"/>
  <c r="F7" i="73"/>
  <c r="F16" i="67"/>
  <c r="F26" i="67"/>
  <c r="J15" i="67"/>
  <c r="M28" i="67"/>
  <c r="F9" i="15"/>
  <c r="M23" i="15"/>
  <c r="M24" i="15"/>
  <c r="L47" i="67"/>
  <c r="C36" i="69"/>
  <c r="M21" i="15"/>
  <c r="F36" i="15"/>
  <c r="F42" i="15"/>
  <c r="M26" i="15"/>
  <c r="F37" i="67"/>
  <c r="F41" i="15"/>
  <c r="F43" i="15"/>
  <c r="F7" i="15"/>
  <c r="F37" i="15"/>
  <c r="F5" i="73"/>
  <c r="F41" i="89"/>
  <c r="D9" i="69"/>
  <c r="M22" i="67"/>
  <c r="F16" i="15"/>
  <c r="F8" i="15"/>
  <c r="F40" i="15"/>
  <c r="F40" i="67"/>
  <c r="M27" i="67"/>
  <c r="M29" i="67"/>
  <c r="M26" i="67"/>
  <c r="F8" i="67"/>
  <c r="C76" i="67"/>
  <c r="L48" i="15"/>
  <c r="L48" i="67"/>
  <c r="F36" i="67"/>
  <c r="M29" i="15"/>
  <c r="M9" i="67"/>
  <c r="F38" i="67"/>
  <c r="L47" i="15"/>
  <c r="F13" i="15"/>
  <c r="F7" i="67"/>
  <c r="C76" i="15"/>
  <c r="J15" i="15"/>
  <c r="F38" i="15"/>
  <c r="F35" i="15"/>
  <c r="M27" i="15"/>
  <c r="F26" i="15"/>
  <c r="F43" i="67"/>
  <c r="F13" i="67"/>
  <c r="C14" i="15"/>
  <c r="F3" i="73"/>
  <c r="F27" i="69"/>
  <c r="M6" i="15"/>
  <c r="M22" i="15"/>
  <c r="S33" i="33" l="1"/>
  <c r="AB44" i="33"/>
  <c r="U44" i="33"/>
  <c r="F69" i="89"/>
  <c r="F24" i="85"/>
  <c r="C24" i="85" s="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D18" i="53"/>
  <c r="B35" i="72" s="1"/>
  <c r="C7" i="74"/>
  <c r="D11" i="49"/>
  <c r="E4" i="4"/>
  <c r="B5" i="62" s="1"/>
  <c r="B73" i="72" s="1"/>
  <c r="C4" i="4"/>
  <c r="D8" i="49"/>
  <c r="F22" i="69"/>
  <c r="F22" i="11"/>
  <c r="L36" i="43"/>
  <c r="F22" i="68"/>
  <c r="F24" i="15"/>
  <c r="C24" i="15" s="1"/>
  <c r="F25" i="12"/>
  <c r="C26" i="12" s="1"/>
  <c r="D25" i="12" s="1"/>
  <c r="F24" i="67"/>
  <c r="C24" i="67" s="1"/>
  <c r="C17" i="15"/>
  <c r="C16" i="15"/>
  <c r="D10" i="69"/>
  <c r="C16" i="67"/>
  <c r="C34" i="69"/>
  <c r="J18" i="15" l="1"/>
  <c r="J17" i="15" s="1"/>
  <c r="T48" i="82"/>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AE6" i="1"/>
  <c r="F41" i="67" s="1"/>
  <c r="C29" i="89" l="1"/>
  <c r="Q49"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C53" i="85"/>
  <c r="C48" i="85" s="1"/>
  <c r="C10" i="85"/>
  <c r="C5" i="85" s="1"/>
  <c r="J26" i="85"/>
  <c r="J24" i="85"/>
  <c r="R49" i="82"/>
  <c r="E48" i="82"/>
  <c r="F69" i="67"/>
  <c r="J24" i="15"/>
  <c r="E6" i="3"/>
  <c r="J26" i="67"/>
  <c r="J29" i="67" s="1"/>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F41" i="85"/>
  <c r="C14" i="67"/>
  <c r="C17" i="67"/>
  <c r="C17" i="85"/>
  <c r="C14" i="85"/>
  <c r="J59" i="89" l="1"/>
  <c r="J60" i="89" s="1"/>
  <c r="L46" i="89" s="1"/>
  <c r="F69" i="85"/>
  <c r="J29" i="85"/>
  <c r="C57" i="89"/>
  <c r="C64" i="89" s="1"/>
  <c r="C13" i="89"/>
  <c r="C75" i="89" s="1"/>
  <c r="J14" i="89"/>
  <c r="J13" i="89" s="1"/>
  <c r="J23" i="89" s="1"/>
  <c r="C36" i="89"/>
  <c r="C60" i="15"/>
  <c r="C59" i="15" s="1"/>
  <c r="C38" i="89"/>
  <c r="C66" i="89"/>
  <c r="C60"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F6" i="67"/>
  <c r="B6" i="76"/>
  <c r="E6" i="76"/>
  <c r="F35" i="89"/>
  <c r="M21" i="89"/>
  <c r="Q48" i="89" l="1"/>
  <c r="C49" i="33"/>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19" i="9"/>
  <c r="L51" i="15"/>
  <c r="C20" i="9"/>
  <c r="C30" i="89" l="1"/>
  <c r="C39" i="89" s="1"/>
  <c r="C40" i="89" s="1"/>
  <c r="C58" i="89"/>
  <c r="C67" i="89" s="1"/>
  <c r="C68" i="89" s="1"/>
  <c r="C71" i="89" s="1"/>
  <c r="J16" i="89"/>
  <c r="J25"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9" i="89" l="1"/>
  <c r="Q68" i="89" s="1"/>
  <c r="C80" i="89"/>
  <c r="C79" i="89" s="1"/>
  <c r="Q67" i="89"/>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F35" i="85"/>
  <c r="F35" i="67"/>
  <c r="B3" i="69"/>
  <c r="M21" i="67"/>
  <c r="M21" i="85"/>
  <c r="B2" i="89" l="1"/>
  <c r="B3" i="89"/>
  <c r="L46" i="67"/>
  <c r="Q70" i="67"/>
  <c r="C37" i="67"/>
  <c r="C75" i="67"/>
  <c r="J20" i="85"/>
  <c r="J17" i="85" s="1"/>
  <c r="F63" i="85"/>
  <c r="C62" i="85" s="1"/>
  <c r="C59" i="85" s="1"/>
  <c r="C34" i="85"/>
  <c r="C31" i="85" s="1"/>
  <c r="C34" i="67"/>
  <c r="C31"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D35" i="87"/>
  <c r="D35" i="9"/>
  <c r="AO8" i="1"/>
  <c r="D35" i="83"/>
  <c r="C30" i="67" l="1"/>
  <c r="C39" i="67" s="1"/>
  <c r="C80" i="67" s="1"/>
  <c r="C79" i="67" s="1"/>
  <c r="B8" i="70"/>
  <c r="C30" i="85"/>
  <c r="C39" i="85" s="1"/>
  <c r="C58" i="85"/>
  <c r="C67" i="85" s="1"/>
  <c r="C68" i="85" s="1"/>
  <c r="C71" i="85" s="1"/>
  <c r="J16" i="85"/>
  <c r="J25" i="85" s="1"/>
  <c r="C52" i="68"/>
  <c r="B2" i="68" s="1"/>
  <c r="B3" i="68" s="1"/>
  <c r="C56" i="69"/>
  <c r="K65" i="40"/>
  <c r="L63" i="40"/>
  <c r="K69" i="39"/>
  <c r="L67" i="39"/>
  <c r="D34" i="83"/>
  <c r="D34" i="87"/>
  <c r="D34" i="9"/>
  <c r="L51" i="85"/>
  <c r="Q69" i="67" l="1"/>
  <c r="Q68" i="67" s="1"/>
  <c r="C40" i="67"/>
  <c r="Q67" i="85"/>
  <c r="Q69" i="85"/>
  <c r="Q68" i="85" s="1"/>
  <c r="C40" i="85"/>
  <c r="C80" i="85"/>
  <c r="C79" i="85" s="1"/>
  <c r="C57" i="68"/>
  <c r="C56" i="68" s="1"/>
  <c r="L65" i="40"/>
  <c r="M63" i="40"/>
  <c r="L69" i="39"/>
  <c r="M67" i="39"/>
  <c r="L51" i="67"/>
  <c r="Q67" i="67" l="1"/>
  <c r="C45" i="67"/>
  <c r="C46" i="67" s="1"/>
  <c r="Q56" i="67"/>
  <c r="Q62" i="67" s="1"/>
  <c r="C43" i="67"/>
  <c r="Q65" i="67"/>
  <c r="Q75" i="67" s="1"/>
  <c r="C83" i="67"/>
  <c r="C82" i="67" s="1"/>
  <c r="D2" i="67"/>
  <c r="Q47" i="67"/>
  <c r="Q53" i="67" s="1"/>
  <c r="C45" i="85"/>
  <c r="C46" i="85" s="1"/>
  <c r="Q65" i="85"/>
  <c r="Q75" i="85" s="1"/>
  <c r="D2" i="85"/>
  <c r="Q47" i="85"/>
  <c r="Q53" i="85" s="1"/>
  <c r="C83" i="85"/>
  <c r="C82" i="85" s="1"/>
  <c r="C43" i="85"/>
  <c r="Q56" i="85"/>
  <c r="Q62" i="85" s="1"/>
  <c r="M69" i="39"/>
  <c r="N67" i="39"/>
  <c r="N63" i="40"/>
  <c r="M65" i="40"/>
  <c r="B3" i="67" l="1"/>
  <c r="B2" i="67"/>
  <c r="B3" i="85"/>
  <c r="B2" i="85"/>
  <c r="N65" i="40"/>
  <c r="O63" i="40"/>
  <c r="O65" i="40" s="1"/>
  <c r="N69" i="39"/>
  <c r="O67" i="39"/>
  <c r="O69" i="39" s="1"/>
  <c r="D20" i="9"/>
  <c r="AO7" i="1"/>
  <c r="D20" i="87"/>
  <c r="D19" i="87"/>
  <c r="AO6" i="1"/>
  <c r="D20" i="83"/>
  <c r="D19" i="83"/>
  <c r="D19" i="9"/>
  <c r="B6" i="70" l="1"/>
  <c r="G19" i="9"/>
  <c r="G21" i="9" s="1"/>
  <c r="D22" i="9"/>
  <c r="D21" i="9"/>
  <c r="D102" i="9"/>
  <c r="G20" i="9"/>
  <c r="D103" i="9"/>
  <c r="D102" i="87"/>
  <c r="D21" i="87"/>
  <c r="D103" i="87"/>
  <c r="D102" i="83"/>
  <c r="D21" i="83"/>
  <c r="D103" i="83"/>
  <c r="B7" i="70"/>
  <c r="H7" i="40"/>
  <c r="J7" i="40"/>
  <c r="F7" i="40"/>
  <c r="F7" i="39"/>
  <c r="J7" i="39"/>
  <c r="H7" i="39"/>
  <c r="B2" i="70" l="1"/>
  <c r="B3" i="70" s="1"/>
  <c r="C32" i="9"/>
  <c r="P3" i="81"/>
  <c r="Q3" i="81" s="1"/>
  <c r="E14" i="74"/>
  <c r="U7" i="39"/>
  <c r="AB7" i="39"/>
  <c r="T47" i="39" s="1"/>
  <c r="G47" i="39" s="1"/>
  <c r="U7" i="40"/>
  <c r="AB7" i="40"/>
  <c r="T42" i="40" s="1"/>
  <c r="G42" i="40" s="1"/>
  <c r="AC7" i="40"/>
  <c r="V42" i="40" s="1"/>
  <c r="I42" i="40" s="1"/>
  <c r="W7" i="40"/>
  <c r="S7" i="39"/>
  <c r="AA7" i="39"/>
  <c r="R47" i="39" s="1"/>
  <c r="W7" i="39"/>
  <c r="AC7" i="39"/>
  <c r="V47" i="39" s="1"/>
  <c r="I47" i="39" s="1"/>
  <c r="S7" i="40"/>
  <c r="AA7" i="40"/>
  <c r="R42" i="40" s="1"/>
  <c r="I118" i="9" l="1"/>
  <c r="C35" i="9"/>
  <c r="I51" i="39"/>
  <c r="J51" i="39" s="1"/>
  <c r="G51" i="39"/>
  <c r="H51" i="39" s="1"/>
  <c r="G52" i="39"/>
  <c r="H52" i="39" s="1"/>
  <c r="G46" i="40"/>
  <c r="H46" i="40" s="1"/>
  <c r="G47" i="40"/>
  <c r="H47" i="40" s="1"/>
  <c r="R43" i="40"/>
  <c r="E42" i="40"/>
  <c r="R48" i="39"/>
  <c r="E47" i="39"/>
  <c r="I46" i="40"/>
  <c r="J46" i="40" s="1"/>
  <c r="G118" i="9" l="1"/>
  <c r="E118" i="9" s="1"/>
  <c r="C34" i="9"/>
  <c r="H118" i="9"/>
  <c r="D14" i="74" s="1"/>
  <c r="C105" i="9"/>
  <c r="I4" i="52"/>
  <c r="H102" i="9"/>
  <c r="D7" i="53" s="1"/>
  <c r="B21" i="72" s="1"/>
  <c r="C43" i="40"/>
  <c r="C42" i="40"/>
  <c r="E52" i="39"/>
  <c r="F52" i="39" s="1"/>
  <c r="E51" i="39"/>
  <c r="F51" i="39" s="1"/>
  <c r="E47" i="40"/>
  <c r="F47" i="40" s="1"/>
  <c r="E46" i="40"/>
  <c r="F46" i="40" s="1"/>
  <c r="I47" i="40"/>
  <c r="J47" i="40" s="1"/>
  <c r="C48" i="39"/>
  <c r="C47" i="39"/>
  <c r="I52" i="39"/>
  <c r="J52" i="39" s="1"/>
  <c r="E4" i="52" l="1"/>
  <c r="B48" i="72" s="1"/>
  <c r="D118" i="9"/>
  <c r="H119" i="9"/>
  <c r="H5" i="52" s="1"/>
  <c r="C104" i="9"/>
  <c r="H4" i="52"/>
  <c r="H101" i="9"/>
  <c r="F118" i="9"/>
  <c r="G4" i="52"/>
  <c r="B52" i="72" s="1"/>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B54" i="40"/>
  <c r="F54" i="40" s="1"/>
  <c r="F61" i="40"/>
  <c r="B2" i="40" s="1"/>
  <c r="B3" i="40" s="1"/>
  <c r="F4" i="52" l="1"/>
  <c r="B51" i="72" s="1"/>
  <c r="F119" i="9"/>
  <c r="F5" i="52" s="1"/>
  <c r="B53" i="72" s="1"/>
  <c r="D119" i="9"/>
  <c r="D5" i="52" s="1"/>
  <c r="B49" i="72" s="1"/>
  <c r="D4" i="52"/>
  <c r="B47" i="72" s="1"/>
  <c r="H107" i="9"/>
  <c r="D45" i="9"/>
  <c r="M48" i="9"/>
  <c r="D5" i="53"/>
  <c r="G14" i="74"/>
  <c r="F14" i="74"/>
  <c r="B20" i="72" l="1"/>
  <c r="D6" i="53"/>
  <c r="B22" i="72" s="1"/>
  <c r="C93" i="9"/>
  <c r="C86" i="9" s="1"/>
  <c r="D55" i="9"/>
  <c r="M53" i="9" s="1"/>
  <c r="D53" i="9"/>
  <c r="D52" i="9"/>
  <c r="C85" i="9"/>
  <c r="C64" i="9"/>
  <c r="C63" i="9" s="1"/>
  <c r="C67" i="9" s="1"/>
  <c r="C68" i="9" s="1"/>
  <c r="D54" i="9" s="1"/>
  <c r="D48" i="9" s="1"/>
  <c r="M52" i="9" s="1"/>
  <c r="C72" i="9"/>
  <c r="C78" i="9"/>
  <c r="C73" i="9" s="1"/>
  <c r="D122" i="9"/>
  <c r="H108" i="9"/>
  <c r="D15" i="53" s="1"/>
  <c r="B31" i="72" s="1"/>
  <c r="D13" i="53"/>
  <c r="M49" i="9"/>
  <c r="C95" i="9" l="1"/>
  <c r="C96" i="9" s="1"/>
  <c r="E96" i="9" s="1"/>
  <c r="E97" i="9" s="1"/>
  <c r="D8" i="52"/>
  <c r="D123" i="9"/>
  <c r="D9" i="52" s="1"/>
  <c r="L65" i="9"/>
  <c r="M65" i="9" s="1"/>
  <c r="L66" i="9"/>
  <c r="M66" i="9" s="1"/>
  <c r="L68" i="9"/>
  <c r="M68" i="9" s="1"/>
  <c r="L64" i="9"/>
  <c r="M64" i="9" s="1"/>
  <c r="L67" i="9"/>
  <c r="M67" i="9" s="1"/>
  <c r="L63" i="9"/>
  <c r="M63" i="9" s="1"/>
  <c r="B30" i="72"/>
  <c r="D14" i="53"/>
  <c r="B32" i="72" s="1"/>
  <c r="C79" i="9"/>
  <c r="C80" i="9" s="1"/>
  <c r="E80" i="9" s="1"/>
  <c r="E81" i="9" s="1"/>
  <c r="C97" i="9"/>
  <c r="C81" i="9" l="1"/>
  <c r="D58" i="9" s="1"/>
  <c r="D56" i="9" s="1"/>
  <c r="M54" i="9" s="1"/>
  <c r="N57" i="9" s="1"/>
  <c r="P57" i="9" s="1"/>
  <c r="M69" i="9"/>
  <c r="N69" i="9" s="1"/>
  <c r="N59" i="9" l="1"/>
  <c r="N60" i="9" s="1"/>
  <c r="N58" i="9"/>
  <c r="B8" i="74"/>
  <c r="C8" i="74" s="1"/>
  <c r="E47" i="84"/>
  <c r="I54" i="84" s="1"/>
  <c r="J54" i="84" s="1"/>
  <c r="E54" i="84" l="1"/>
  <c r="F54" i="84" s="1"/>
  <c r="R47" i="84"/>
  <c r="R48" i="84" s="1"/>
  <c r="E48" i="84" s="1"/>
  <c r="N61" i="9"/>
  <c r="D8" i="74"/>
  <c r="R49" i="84" l="1"/>
  <c r="C49" i="84" s="1"/>
  <c r="E52" i="84"/>
  <c r="F52" i="84" s="1"/>
  <c r="E53" i="84"/>
  <c r="F53" i="84" s="1"/>
  <c r="I53" i="84"/>
  <c r="J53" i="84" s="1"/>
  <c r="C48" i="84" l="1"/>
  <c r="B2" i="84"/>
  <c r="B3" i="84"/>
  <c r="C20" i="83"/>
  <c r="C20" i="87"/>
  <c r="C19" i="87"/>
  <c r="C19" i="83"/>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C34" i="87"/>
  <c r="C35" i="83"/>
  <c r="G118" i="83" s="1"/>
  <c r="F118" i="83" s="1"/>
  <c r="F119" i="83" s="1"/>
  <c r="Q26" i="81"/>
  <c r="Q24" i="81"/>
  <c r="H102" i="83"/>
  <c r="H118" i="83"/>
  <c r="C105" i="83"/>
  <c r="F16" i="74" l="1"/>
  <c r="B6" i="74"/>
  <c r="E6" i="74" s="1"/>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6" i="83" s="1"/>
  <c r="E96" i="83" s="1"/>
  <c r="E97" i="83" s="1"/>
  <c r="C95" i="87"/>
  <c r="C96" i="87" s="1"/>
  <c r="C79" i="87"/>
  <c r="L68" i="87"/>
  <c r="M68" i="87" s="1"/>
  <c r="L64" i="87"/>
  <c r="M64" i="87" s="1"/>
  <c r="L65" i="87"/>
  <c r="M65" i="87" s="1"/>
  <c r="L67" i="87"/>
  <c r="M67" i="87" s="1"/>
  <c r="L66" i="87"/>
  <c r="M66" i="87" s="1"/>
  <c r="L63" i="87"/>
  <c r="M63" i="87"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60" i="87" s="1"/>
  <c r="N58" i="87"/>
  <c r="N59" i="83"/>
  <c r="N61" i="83" s="1"/>
  <c r="P57" i="83"/>
  <c r="N61" i="87"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<sst xmlns="http://schemas.openxmlformats.org/spreadsheetml/2006/main" count="11477" uniqueCount="2920">
  <si>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</si>
  <si>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</si>
  <si>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</si>
  <si>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</si>
  <si>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</si>
  <si>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</si>
  <si>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</si>
  <si>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</si>
  <si>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</si>
  <si>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</si>
  <si>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</si>
  <si>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</si>
  <si>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</si>
  <si>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</si>
  <si>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</si>
  <si>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</si>
  <si>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</si>
  <si>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</si>
  <si>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</si>
  <si>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</si>
  <si>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</si>
  <si>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</si>
  <si>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</si>
  <si>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</si>
  <si>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</si>
  <si>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</si>
  <si>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</si>
  <si>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</si>
  <si>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</si>
  <si>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</si>
  <si>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</si>
  <si>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</si>
  <si>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</si>
  <si>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</si>
  <si>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</si>
  <si>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</si>
  <si>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</si>
  <si>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</si>
  <si>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</si>
  <si>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</si>
  <si>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</si>
  <si>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</si>
  <si>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</si>
  <si>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</si>
  <si>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</si>
  <si>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</si>
  <si>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</si>
  <si>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</si>
  <si>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</si>
  <si>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</si>
  <si>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</si>
  <si>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</si>
  <si>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</si>
  <si>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</si>
  <si>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</si>
  <si>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</si>
  <si>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</si>
  <si>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</si>
  <si>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</si>
  <si>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</si>
  <si>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</si>
  <si>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</si>
  <si>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</si>
  <si>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</si>
  <si>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</si>
  <si>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</si>
  <si>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</si>
  <si>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</si>
  <si>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</si>
  <si>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</si>
  <si>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</si>
  <si>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</si>
  <si>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</si>
  <si>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</si>
  <si>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</si>
  <si>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</si>
  <si>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</si>
  <si>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</si>
  <si>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</si>
  <si>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</si>
  <si>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</si>
  <si>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</si>
  <si>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</si>
  <si>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</si>
  <si>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</si>
  <si>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</si>
  <si>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</si>
  <si>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</si>
  <si>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</si>
  <si>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</si>
  <si>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</si>
  <si>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</si>
  <si>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</si>
  <si>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</si>
  <si>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</si>
  <si>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</si>
  <si>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</si>
  <si>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</si>
  <si>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</si>
  <si>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</si>
  <si>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</si>
  <si>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</si>
  <si>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</si>
  <si>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</si>
  <si>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</si>
  <si>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</si>
  <si>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</si>
  <si>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</si>
  <si>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</si>
  <si>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</si>
  <si>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</si>
  <si>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</si>
  <si>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</si>
  <si>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</si>
  <si>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</si>
  <si>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</si>
  <si>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</si>
  <si>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</si>
  <si>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</si>
  <si>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</si>
  <si>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</si>
  <si>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</si>
  <si>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</si>
  <si>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</si>
  <si>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</si>
  <si>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</si>
  <si>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</si>
  <si>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</si>
  <si>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</si>
  <si>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</si>
  <si>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</si>
  <si>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</si>
  <si>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</si>
  <si>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</si>
  <si>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</si>
  <si>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</si>
  <si>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</si>
  <si>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</si>
  <si>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</si>
  <si>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</si>
  <si>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</si>
  <si>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</si>
  <si>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</si>
  <si>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</si>
  <si>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</si>
  <si>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</si>
  <si>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</si>
  <si>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</si>
  <si>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</si>
  <si>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</si>
  <si>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</si>
  <si>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</si>
  <si>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</si>
  <si>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</si>
  <si>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</si>
  <si>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</si>
  <si>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</si>
  <si>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</si>
  <si>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</si>
  <si>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</si>
  <si>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</si>
  <si>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</si>
  <si>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</si>
  <si>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</si>
  <si>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</si>
  <si>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</si>
  <si>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</si>
  <si>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</si>
  <si>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</si>
  <si>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</si>
  <si>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</si>
  <si>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</si>
  <si>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</si>
  <si>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</si>
  <si>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</si>
  <si>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</si>
  <si>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</si>
  <si>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</si>
  <si>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</si>
  <si>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</si>
  <si>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</si>
  <si>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</si>
  <si>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</si>
  <si>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</si>
  <si>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</si>
  <si>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</si>
  <si>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</si>
  <si>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</si>
  <si>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</si>
  <si>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</si>
  <si>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</si>
  <si>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</si>
  <si>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</si>
  <si>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</si>
  <si>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</si>
  <si>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</si>
  <si>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</si>
  <si>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</si>
  <si>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</si>
  <si>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</si>
  <si>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</si>
  <si>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</si>
  <si>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</si>
  <si>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</si>
  <si>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</si>
  <si>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</si>
  <si>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</si>
  <si>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</si>
  <si>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</si>
  <si>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</si>
  <si>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</si>
  <si>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</si>
  <si>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</si>
  <si>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</si>
  <si>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</si>
  <si>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</si>
  <si>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</si>
  <si>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</si>
  <si>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</si>
  <si>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</si>
  <si>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</si>
  <si>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</si>
  <si>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</si>
  <si>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</si>
  <si>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</si>
  <si>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</si>
  <si>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</si>
  <si>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</si>
  <si>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</si>
  <si>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</si>
  <si>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</si>
  <si>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</si>
  <si>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</si>
  <si>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</si>
  <si>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</si>
  <si>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</si>
  <si>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</si>
  <si>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</si>
  <si>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</si>
  <si>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</si>
  <si>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</si>
  <si>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</si>
  <si>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</si>
  <si>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</si>
  <si>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</si>
  <si>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</si>
  <si>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</si>
  <si>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</si>
  <si>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</si>
  <si>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</si>
  <si>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</si>
  <si>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</si>
  <si>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</si>
  <si>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</si>
  <si>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</si>
  <si>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</si>
  <si>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</si>
  <si>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</si>
  <si>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</si>
  <si>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</si>
  <si>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</si>
  <si>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</si>
  <si>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</si>
  <si>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</si>
  <si>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</si>
  <si>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</si>
  <si>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</si>
  <si>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</si>
  <si>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</si>
  <si>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</si>
  <si>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</si>
  <si>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</si>
  <si>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</si>
  <si>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</si>
  <si>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</si>
  <si>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</si>
  <si>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</si>
  <si>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</si>
  <si>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</si>
  <si>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</si>
  <si>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</si>
  <si>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</si>
  <si>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</si>
  <si>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</si>
  <si>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</si>
  <si>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</si>
  <si>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</si>
  <si>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</si>
  <si>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</si>
  <si>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</si>
  <si>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</si>
  <si>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</si>
  <si>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</si>
  <si>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</si>
  <si>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</si>
  <si>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</si>
  <si>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</si>
  <si>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</si>
  <si>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</si>
  <si>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</si>
  <si>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</si>
  <si>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</si>
  <si>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</si>
  <si>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</si>
  <si>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</si>
  <si>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</si>
  <si>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</si>
  <si>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</si>
  <si>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</si>
  <si>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</si>
  <si>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</si>
  <si>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</si>
  <si>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</si>
  <si>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</si>
  <si>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</si>
  <si>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</si>
  <si>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</si>
  <si>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</si>
  <si>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</si>
  <si>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</si>
  <si>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</si>
  <si>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</si>
  <si>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</si>
  <si>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</si>
  <si>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</si>
  <si>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</si>
  <si>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</si>
  <si>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</si>
  <si>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</si>
  <si>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</si>
  <si>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</si>
  <si>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</si>
  <si>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</si>
  <si>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</si>
  <si>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</si>
  <si>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</si>
  <si>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</si>
  <si>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</si>
  <si>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</si>
  <si>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</si>
  <si>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</si>
  <si>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</si>
  <si>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</si>
  <si>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</si>
  <si>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</si>
  <si>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</si>
  <si>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</si>
  <si>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</si>
  <si>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</si>
  <si>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</si>
  <si>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</si>
  <si>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</si>
  <si>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</si>
  <si>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</si>
  <si>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</si>
  <si>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</si>
  <si>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</si>
  <si>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</si>
  <si>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</si>
  <si>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</si>
  <si>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</si>
  <si>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</si>
  <si>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</si>
  <si>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</si>
  <si>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</si>
  <si>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</si>
  <si>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</si>
  <si>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</si>
  <si>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</si>
  <si>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</si>
  <si>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</si>
  <si>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</si>
  <si>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</si>
  <si>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</si>
  <si>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</si>
  <si>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</si>
  <si>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</si>
  <si>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</si>
  <si>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</si>
  <si>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</si>
  <si>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</si>
  <si>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</si>
  <si>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</si>
  <si>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</si>
  <si>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</si>
  <si>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</si>
  <si>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</si>
  <si>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</si>
  <si>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</si>
  <si>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</si>
  <si>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</si>
  <si>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</si>
  <si>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</si>
  <si>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</si>
  <si>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</si>
  <si>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</si>
  <si>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</si>
  <si>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</si>
  <si>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</si>
  <si>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</si>
  <si>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</si>
  <si>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</si>
  <si>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</si>
  <si>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</si>
  <si>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</si>
  <si>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</si>
  <si>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</si>
  <si>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</si>
  <si>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</si>
  <si>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</si>
  <si>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</si>
  <si>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</si>
  <si>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</si>
  <si>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</si>
  <si>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</si>
  <si>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</si>
  <si>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</si>
  <si>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</si>
  <si>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</si>
  <si>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</si>
  <si>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</si>
  <si>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</si>
  <si>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</si>
  <si>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</si>
  <si>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</si>
  <si>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</si>
  <si>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</si>
  <si>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</si>
  <si>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</si>
  <si>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</si>
  <si>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</si>
  <si>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</si>
  <si>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</si>
  <si>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</si>
  <si>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</si>
  <si>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</si>
  <si>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</si>
  <si>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</si>
  <si>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</si>
  <si>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</si>
  <si>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</si>
  <si>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</si>
  <si>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</si>
  <si>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</si>
  <si>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</si>
  <si>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</si>
  <si>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</si>
  <si>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</si>
  <si>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</si>
  <si>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</si>
  <si>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</si>
  <si>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</si>
  <si>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</si>
  <si>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</si>
  <si>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</si>
  <si>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</si>
  <si>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</si>
  <si>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</si>
  <si>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</si>
  <si>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</si>
  <si>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</si>
  <si>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</si>
  <si>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</si>
  <si>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</si>
  <si>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</si>
  <si>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</si>
  <si>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</si>
  <si>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</si>
  <si>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</si>
  <si>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</si>
  <si>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</si>
  <si>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</si>
  <si>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</si>
  <si>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</si>
  <si>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</si>
  <si>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</si>
  <si>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</si>
  <si>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</si>
  <si>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</si>
  <si>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</si>
  <si>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</si>
  <si>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</si>
  <si>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</si>
  <si>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</si>
  <si>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</si>
  <si>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</si>
  <si>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</si>
  <si>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</si>
  <si>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</si>
  <si>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</si>
  <si>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</si>
  <si>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</si>
  <si>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</si>
  <si>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</si>
  <si>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</si>
  <si>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</si>
  <si>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</si>
  <si>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</si>
  <si>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</si>
  <si>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</si>
  <si>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</si>
  <si>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</si>
  <si>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</si>
  <si>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</si>
  <si>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</si>
  <si>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</si>
  <si>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</si>
  <si>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</si>
  <si>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</si>
  <si>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</si>
  <si>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</si>
  <si>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</si>
  <si>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</si>
  <si>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</si>
  <si>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</si>
  <si>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</si>
  <si>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</si>
  <si>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</si>
  <si>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</si>
  <si>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</si>
  <si>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</si>
  <si>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</si>
  <si>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</si>
  <si>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</si>
  <si>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</si>
  <si>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</si>
  <si>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</si>
  <si>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</si>
  <si>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</si>
  <si>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</si>
  <si>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</si>
  <si>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</si>
  <si>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</si>
  <si>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</si>
  <si>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</si>
  <si>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</si>
  <si>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</si>
  <si>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</si>
  <si>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</si>
  <si>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</si>
  <si>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</si>
  <si>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</si>
  <si>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</si>
  <si>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</si>
  <si>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</si>
  <si>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</si>
  <si>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</si>
  <si>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</si>
  <si>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</si>
  <si>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</si>
  <si>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</si>
  <si>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</si>
  <si>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</si>
  <si>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</si>
  <si>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</si>
  <si>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</si>
  <si>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</si>
  <si>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</si>
  <si>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</si>
  <si>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</si>
  <si>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</si>
  <si>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</si>
  <si>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</si>
  <si>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</si>
  <si>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</si>
  <si>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</si>
  <si>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</si>
  <si>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</si>
  <si>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</si>
  <si>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</si>
  <si>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</si>
  <si>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</si>
  <si>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</si>
  <si>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</si>
  <si>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</si>
  <si>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</si>
  <si>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</si>
  <si>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</si>
  <si>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</si>
  <si>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</si>
  <si>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</si>
  <si>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</si>
  <si>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</si>
  <si>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</si>
  <si>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</si>
  <si>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</si>
  <si>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</si>
  <si>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</si>
  <si>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</si>
  <si>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</si>
  <si>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</si>
  <si>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</si>
  <si>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</si>
  <si>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</si>
  <si>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</si>
  <si>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</si>
  <si>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</si>
  <si>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</si>
  <si>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</si>
  <si>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</si>
  <si>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</si>
  <si>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</si>
  <si>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</si>
  <si>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</si>
  <si>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</si>
  <si>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</si>
  <si>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</si>
  <si>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</si>
  <si>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</si>
  <si>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</si>
  <si>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</si>
  <si>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</si>
  <si>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</si>
  <si>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</si>
  <si>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</si>
  <si>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</si>
  <si>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</si>
  <si>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</si>
  <si>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</si>
  <si>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</si>
  <si>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</si>
  <si>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</si>
  <si>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</si>
  <si>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</si>
  <si>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</si>
  <si>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</si>
  <si>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</si>
  <si>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</si>
  <si>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</si>
  <si>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</si>
  <si>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</si>
  <si>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</si>
  <si>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</si>
  <si>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</si>
  <si>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</si>
  <si>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</si>
  <si>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</si>
  <si>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</si>
  <si>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</si>
  <si>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</si>
  <si>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</si>
  <si>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</si>
  <si>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</si>
  <si>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</si>
  <si>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</si>
  <si>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</si>
  <si>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</si>
  <si>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</si>
  <si>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</si>
  <si>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</si>
  <si>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</si>
  <si>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</si>
  <si>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</si>
  <si>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</si>
  <si>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</si>
  <si>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</si>
  <si>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</si>
  <si>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</si>
  <si>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</si>
  <si>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</si>
  <si>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</si>
  <si>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</si>
  <si>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</si>
  <si>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</si>
  <si>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</si>
  <si>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</si>
  <si>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</si>
  <si>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</si>
  <si>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</si>
  <si>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</si>
  <si>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</si>
  <si>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</si>
  <si>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</si>
  <si>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</si>
  <si>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</si>
  <si>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</si>
  <si>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</si>
  <si>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</si>
  <si>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</si>
  <si>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</si>
  <si>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</si>
  <si>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</si>
  <si>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</si>
  <si>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</si>
  <si>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</si>
  <si>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</si>
  <si>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</si>
  <si>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</si>
  <si>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</si>
  <si>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</si>
  <si>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</si>
  <si>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</si>
  <si>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</si>
  <si>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</si>
  <si>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</si>
  <si>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</si>
  <si>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</si>
  <si>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</si>
  <si>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</si>
  <si>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</si>
  <si>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</si>
  <si>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</si>
  <si>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</si>
  <si>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</si>
  <si>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</si>
  <si>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</si>
  <si>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</si>
  <si>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</si>
  <si>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</si>
  <si>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</si>
  <si>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</si>
  <si>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</si>
  <si>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</si>
  <si>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</si>
  <si>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</si>
  <si>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</si>
  <si>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</si>
  <si>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</si>
  <si>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</si>
  <si>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</si>
  <si>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</si>
  <si>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</si>
  <si>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</si>
  <si>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</si>
  <si>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</si>
  <si>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</si>
  <si>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</si>
  <si>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</si>
  <si>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</si>
  <si>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</si>
  <si>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</si>
  <si>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</si>
  <si>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</si>
  <si>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</si>
  <si>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</si>
  <si>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</si>
  <si>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</si>
  <si>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</si>
  <si>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</si>
  <si>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</si>
  <si>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</si>
  <si>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</si>
  <si>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</si>
  <si>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</si>
  <si>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</si>
  <si>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</si>
  <si>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</si>
  <si>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</si>
  <si>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</si>
  <si>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</si>
  <si>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</si>
  <si>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</si>
  <si>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</si>
  <si>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</si>
  <si>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</si>
  <si>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</si>
  <si>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</si>
  <si>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</si>
  <si>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</si>
  <si>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</si>
  <si>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</si>
  <si>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</si>
  <si>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</si>
  <si>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</si>
  <si>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</si>
  <si>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</si>
  <si>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</si>
  <si>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</si>
  <si>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</si>
  <si>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</si>
  <si>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</si>
  <si>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</si>
  <si>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</si>
  <si>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</si>
  <si>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</si>
  <si>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</si>
  <si>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</si>
  <si>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</si>
  <si>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</si>
  <si>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</si>
  <si>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</si>
  <si>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</si>
  <si>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</si>
  <si>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</si>
  <si>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</si>
  <si>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</si>
  <si>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</si>
  <si>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</si>
  <si>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</si>
  <si>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</si>
  <si>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</si>
  <si>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</si>
  <si>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</si>
  <si>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</si>
  <si>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</si>
  <si>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</si>
  <si>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</si>
  <si>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</si>
  <si>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</si>
  <si>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</si>
  <si>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</si>
  <si>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</si>
  <si>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</si>
  <si>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</si>
  <si>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</si>
  <si>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</si>
  <si>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</si>
  <si>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</si>
  <si>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</si>
  <si>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</si>
  <si>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</si>
  <si>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</si>
  <si>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</si>
  <si>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</si>
  <si>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</si>
  <si>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</si>
  <si>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</si>
  <si>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</si>
  <si>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</si>
  <si>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</si>
  <si>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</si>
  <si>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</si>
  <si>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</si>
  <si>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</si>
  <si>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</si>
  <si>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</si>
  <si>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</si>
  <si>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</si>
  <si>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</si>
  <si>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</si>
  <si>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</si>
  <si>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</si>
  <si>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</si>
  <si>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</si>
  <si>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</si>
  <si>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</si>
  <si>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</si>
  <si>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</si>
  <si>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</si>
  <si>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</si>
  <si>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</si>
  <si>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</si>
  <si>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</si>
  <si>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</si>
  <si>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</si>
  <si>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</si>
  <si>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</si>
  <si>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</si>
  <si>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</si>
  <si>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</si>
  <si>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</si>
  <si>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</si>
  <si>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</si>
  <si>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</si>
  <si>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</si>
  <si>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</si>
  <si>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</si>
  <si>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</si>
  <si>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</si>
  <si>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</si>
  <si>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</si>
  <si>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</si>
  <si>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</si>
  <si>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</si>
  <si>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</si>
  <si>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</si>
  <si>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</si>
  <si>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</si>
  <si>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</si>
  <si>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</si>
  <si>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</si>
  <si>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</si>
  <si>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</si>
  <si>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</si>
  <si>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</si>
  <si>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</si>
  <si>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</si>
  <si>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</si>
  <si>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</si>
  <si>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</si>
  <si>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</si>
  <si>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</si>
  <si>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</si>
  <si>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</si>
  <si>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</si>
  <si>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</si>
  <si>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</si>
  <si>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</si>
  <si>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</si>
  <si>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</si>
  <si>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</si>
  <si>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</si>
  <si>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</si>
  <si>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</si>
  <si>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</si>
  <si>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</si>
  <si>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</si>
  <si>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</si>
  <si>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</si>
  <si>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</si>
  <si>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</si>
  <si>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</si>
  <si>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</si>
  <si>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</si>
  <si>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</si>
  <si>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</si>
  <si>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</si>
  <si>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</si>
  <si>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</si>
  <si>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</si>
  <si>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</si>
  <si>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</si>
  <si>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</si>
  <si>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</si>
  <si>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</si>
  <si>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</si>
  <si>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</si>
  <si>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</si>
  <si>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</si>
  <si>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</si>
  <si>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</si>
  <si>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</si>
  <si>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</si>
  <si>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</si>
  <si>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</si>
  <si>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</si>
  <si>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</si>
  <si>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</si>
  <si>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</si>
  <si>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</si>
  <si>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</si>
  <si>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</si>
  <si>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</si>
  <si>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</si>
  <si>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</si>
  <si>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</si>
  <si>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</si>
  <si>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</si>
  <si>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</si>
  <si>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</si>
  <si>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</si>
  <si>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</si>
  <si>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</si>
  <si>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</si>
  <si>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</si>
  <si>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</si>
  <si>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</si>
  <si>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</si>
  <si>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</si>
  <si>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</si>
  <si>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</si>
  <si>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</si>
  <si>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</si>
  <si>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</si>
  <si>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</si>
  <si>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</si>
  <si>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</si>
  <si>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</si>
  <si>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</si>
  <si>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</si>
  <si>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</si>
  <si>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</si>
  <si>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</si>
  <si>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</si>
  <si>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</si>
  <si>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</si>
  <si>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</si>
  <si>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</si>
  <si>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</si>
  <si>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</si>
  <si>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</si>
  <si>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</si>
  <si>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</si>
  <si>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</si>
  <si>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</si>
  <si>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</si>
  <si>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</si>
  <si>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</si>
  <si>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</si>
  <si>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</si>
  <si>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</si>
  <si>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</si>
  <si>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</si>
  <si>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</si>
  <si>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</si>
  <si>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</si>
  <si>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</si>
  <si>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</si>
  <si>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</si>
  <si>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</si>
  <si>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</si>
  <si>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</si>
  <si>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</si>
  <si>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</si>
  <si>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</si>
  <si>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</si>
  <si>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</si>
  <si>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</si>
  <si>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</si>
  <si>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</si>
  <si>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</si>
  <si>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</si>
  <si>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</si>
  <si>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</si>
  <si>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</si>
  <si>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</si>
  <si>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</si>
  <si>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</si>
  <si>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</si>
  <si>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</si>
  <si>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</si>
  <si>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</si>
  <si>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</si>
  <si>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</si>
  <si>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</si>
  <si>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</si>
  <si>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</si>
  <si>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</si>
  <si>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</si>
  <si>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</si>
  <si>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</si>
  <si>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</si>
  <si>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</si>
  <si>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</si>
  <si>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</si>
  <si>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</si>
  <si>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</si>
  <si>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</si>
  <si>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</si>
  <si>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</si>
  <si>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</si>
  <si>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</si>
  <si>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</si>
  <si>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</si>
  <si>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</si>
  <si>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</si>
  <si>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</si>
  <si>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</si>
  <si>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</si>
  <si>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</si>
  <si>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</si>
  <si>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</si>
  <si>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</si>
  <si>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</si>
  <si>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</si>
  <si>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</si>
  <si>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</si>
  <si>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</si>
  <si>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</si>
  <si>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</si>
  <si>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</si>
  <si>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</si>
  <si>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</si>
  <si>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</si>
  <si>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</si>
  <si>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</si>
  <si>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</si>
  <si>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</si>
  <si>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</si>
  <si>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</si>
  <si>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</si>
  <si>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</si>
  <si>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</si>
  <si>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</si>
  <si>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</si>
  <si>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</si>
  <si>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</si>
  <si>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</si>
  <si>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</si>
  <si>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</si>
  <si>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</si>
  <si>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</si>
  <si>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</si>
  <si>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</si>
  <si>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</si>
  <si>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</si>
  <si>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</si>
  <si>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</si>
  <si>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</si>
  <si>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</si>
  <si>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</si>
  <si>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</si>
  <si>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</si>
  <si>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</si>
  <si>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</si>
  <si>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</si>
  <si>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</si>
  <si>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</si>
  <si>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</si>
  <si>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</si>
  <si>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</si>
  <si>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</si>
  <si>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</si>
  <si>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</si>
  <si>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</si>
  <si>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</si>
  <si>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</si>
  <si>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</si>
  <si>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</si>
  <si>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</si>
  <si>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</si>
  <si>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</si>
  <si>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</si>
  <si>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</si>
  <si>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</si>
  <si>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</si>
  <si>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</si>
  <si>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</si>
  <si>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</si>
  <si>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</si>
  <si>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</si>
  <si>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</si>
  <si>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</si>
  <si>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</si>
  <si>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</si>
  <si>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</si>
  <si>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</si>
  <si>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</si>
  <si>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</si>
  <si>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</si>
  <si>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</si>
  <si>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</si>
  <si>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</si>
  <si>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</si>
  <si>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</si>
  <si>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</si>
  <si>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</si>
  <si>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</si>
  <si>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</si>
  <si>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</si>
  <si>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</si>
  <si>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</si>
  <si>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</si>
  <si>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</si>
  <si>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</si>
  <si>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</si>
  <si>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</si>
  <si>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</si>
  <si>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</si>
  <si>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</si>
  <si>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</si>
  <si>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</si>
  <si>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</si>
  <si>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</si>
  <si>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</si>
  <si>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</si>
  <si>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</si>
  <si>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</si>
  <si>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</si>
  <si>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</si>
  <si>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</si>
  <si>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</si>
  <si>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</si>
  <si>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</si>
  <si>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</si>
  <si>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</si>
  <si>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</si>
  <si>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</si>
  <si>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</si>
  <si>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</si>
  <si>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</si>
  <si>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</si>
  <si>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</si>
  <si>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</si>
  <si>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</si>
  <si>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</si>
  <si>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</si>
  <si>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</si>
  <si>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</si>
  <si>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</si>
  <si>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</si>
  <si>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</si>
  <si>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</si>
  <si>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</si>
  <si>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</si>
  <si>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</si>
  <si>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</si>
  <si>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</si>
  <si>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</si>
  <si>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</si>
  <si>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</si>
  <si>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</si>
  <si>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</si>
  <si>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</si>
  <si>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</si>
  <si>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</si>
  <si>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</si>
  <si>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</si>
  <si>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</si>
  <si>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</si>
  <si>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</si>
  <si>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</si>
  <si>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</si>
  <si>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</si>
  <si>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</si>
  <si>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</si>
  <si>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</si>
  <si>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</si>
  <si>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</si>
  <si>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</si>
  <si>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</si>
  <si>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</si>
  <si>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</si>
  <si>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</si>
  <si>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</si>
  <si>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</si>
  <si>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</si>
  <si>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</si>
  <si>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</si>
  <si>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</si>
  <si>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</si>
  <si>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</si>
  <si>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</si>
  <si>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</si>
  <si>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</si>
  <si>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</si>
  <si>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</si>
  <si>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</si>
  <si>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</si>
  <si>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</si>
  <si>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</si>
  <si>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</si>
  <si>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</si>
  <si>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</si>
  <si>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</si>
  <si>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</si>
  <si>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</si>
  <si>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</si>
  <si>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</si>
  <si>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</si>
  <si>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</si>
  <si>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</si>
  <si>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</si>
  <si>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</si>
  <si>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</si>
  <si>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</si>
  <si>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</si>
  <si>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</si>
  <si>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</si>
  <si>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</si>
  <si>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</si>
  <si>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</si>
  <si>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</si>
  <si>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</si>
  <si>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</si>
  <si>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</si>
  <si>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</si>
  <si>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</si>
  <si>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</si>
  <si>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</si>
  <si>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</si>
  <si>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</si>
  <si>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</si>
  <si>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</si>
  <si>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</si>
  <si>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</si>
  <si>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</si>
  <si>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</si>
  <si>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</si>
  <si>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</si>
  <si>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</si>
  <si>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</si>
  <si>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</si>
  <si>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</si>
  <si>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</si>
  <si>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</si>
  <si>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</si>
  <si>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</si>
  <si>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</si>
  <si>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</si>
  <si>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</si>
  <si>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</si>
  <si>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</si>
  <si>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</si>
  <si>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</si>
  <si>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</si>
  <si>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</si>
  <si>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</si>
  <si>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</si>
  <si>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</si>
  <si>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</si>
  <si>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</si>
  <si>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</si>
  <si>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</si>
  <si>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</si>
  <si>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</si>
  <si>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</si>
  <si>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</si>
  <si>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</si>
  <si>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</si>
  <si>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</si>
  <si>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</si>
  <si>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</si>
  <si>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</si>
  <si>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</si>
  <si>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</si>
  <si>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</si>
  <si>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</si>
  <si>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</si>
  <si>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</si>
  <si>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</si>
  <si>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</si>
  <si>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</si>
  <si>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</si>
  <si>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</si>
  <si>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</si>
  <si>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</si>
  <si>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</si>
  <si>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</si>
  <si>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</si>
  <si>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</si>
  <si>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</si>
  <si>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</si>
  <si>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</si>
  <si>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</si>
  <si>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</si>
  <si>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</si>
  <si>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</si>
  <si>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</si>
  <si>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</si>
  <si>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</si>
  <si>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</si>
  <si>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</si>
  <si>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</si>
  <si>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</si>
  <si>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</si>
  <si>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</si>
  <si>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</si>
  <si>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</si>
  <si>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</si>
  <si>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</si>
  <si>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</si>
  <si>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</si>
  <si>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</si>
  <si>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</si>
  <si>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</si>
  <si>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</si>
  <si>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</si>
  <si>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</si>
  <si>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</si>
  <si>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</si>
  <si>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</si>
  <si>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</si>
  <si>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</si>
  <si>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</si>
  <si>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</si>
  <si>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</si>
  <si>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</si>
  <si>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</si>
  <si>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</si>
  <si>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</si>
  <si>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</si>
  <si>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</si>
  <si>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</si>
  <si>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</si>
  <si>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</si>
  <si>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</si>
  <si>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</si>
  <si>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</si>
  <si>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</si>
  <si>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</si>
  <si>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</si>
  <si>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</si>
  <si>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</si>
  <si>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</si>
  <si>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</si>
  <si>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</si>
  <si>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</si>
  <si>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</si>
  <si>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</si>
  <si>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</si>
  <si>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</si>
  <si>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</si>
  <si>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</si>
  <si>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</si>
  <si>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</si>
  <si>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</si>
  <si>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</si>
  <si>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</si>
  <si>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</si>
  <si>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</si>
  <si>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</si>
  <si>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</si>
  <si>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</si>
  <si>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</si>
  <si>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</si>
  <si>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</si>
  <si>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</si>
  <si>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</si>
  <si>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</si>
  <si>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</si>
  <si>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</si>
  <si>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</si>
  <si>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</si>
  <si>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</si>
  <si>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</si>
  <si>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</si>
  <si>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</si>
  <si>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</si>
  <si>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</si>
  <si>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</si>
  <si>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</si>
  <si>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</si>
  <si>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</si>
  <si>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</si>
  <si>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</si>
  <si>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</si>
  <si>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</si>
  <si>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</si>
  <si>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</si>
  <si>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</si>
  <si>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</si>
  <si>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</si>
  <si>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</si>
  <si>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</si>
  <si>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</si>
  <si>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</si>
  <si>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</si>
  <si>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</si>
  <si>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</si>
  <si>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</si>
  <si>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</si>
  <si>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</si>
  <si>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</si>
  <si>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</si>
  <si>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</si>
  <si>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</si>
  <si>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</si>
  <si>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</si>
  <si>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</si>
  <si>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</si>
  <si>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</si>
  <si>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</si>
  <si>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</si>
  <si>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</si>
  <si>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</si>
  <si>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</si>
  <si>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</si>
  <si>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</si>
  <si>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</si>
  <si>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</si>
  <si>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</si>
  <si>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</si>
  <si>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</si>
  <si>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</si>
  <si>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</si>
  <si>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</si>
  <si>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</si>
  <si>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</si>
  <si>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</si>
  <si>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</si>
  <si>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</si>
  <si>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</si>
  <si>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</si>
  <si>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</si>
  <si>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</si>
  <si>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</si>
  <si>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</si>
  <si>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</si>
  <si>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</si>
  <si>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</si>
  <si>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</si>
  <si>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</si>
  <si>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</si>
  <si>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</si>
  <si>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</si>
  <si>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</si>
  <si>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</si>
  <si>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</si>
  <si>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</si>
  <si>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</si>
  <si>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</si>
  <si>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</si>
  <si>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</si>
  <si>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</si>
  <si>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</si>
  <si>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</si>
  <si>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</si>
  <si>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</si>
  <si>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</si>
  <si>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</si>
  <si>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</si>
  <si>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</si>
  <si>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</si>
  <si>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</si>
  <si>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</si>
  <si>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</si>
  <si>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</si>
  <si>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</si>
  <si>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</si>
  <si>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</si>
  <si>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</si>
  <si>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</si>
  <si>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</si>
  <si>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</si>
  <si>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</si>
  <si>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</si>
  <si>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</si>
  <si>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</si>
  <si>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</si>
  <si>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</si>
  <si>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</si>
  <si>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</si>
  <si>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</si>
  <si>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</si>
  <si>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</si>
  <si>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</si>
  <si>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</si>
  <si>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</si>
  <si>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</si>
  <si>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</si>
  <si>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</si>
  <si>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</si>
  <si>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</si>
  <si>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</si>
  <si>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</si>
  <si>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</si>
  <si>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</si>
  <si>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</si>
  <si>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</si>
  <si>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</si>
  <si>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</si>
  <si>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</si>
  <si>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</si>
  <si>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</si>
  <si>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</si>
  <si>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</si>
  <si>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</si>
  <si>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</si>
  <si>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</si>
  <si>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</si>
  <si>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</si>
  <si>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</si>
  <si>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</si>
  <si>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</si>
  <si>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</si>
  <si>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</si>
  <si>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</si>
  <si>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</si>
  <si>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</si>
  <si>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</si>
  <si>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</si>
  <si>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</si>
  <si>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</si>
  <si>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</si>
  <si>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</si>
  <si>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</si>
  <si>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</si>
  <si>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</si>
  <si>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</si>
  <si>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</si>
  <si>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</si>
  <si>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</si>
  <si>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</si>
  <si>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</si>
  <si>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</si>
  <si>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</si>
  <si>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</si>
  <si>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</si>
  <si>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</si>
  <si>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</si>
  <si>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</si>
  <si>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</si>
  <si>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</si>
  <si>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</si>
  <si>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</si>
  <si>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</si>
  <si>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</si>
  <si>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</si>
  <si>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</si>
  <si>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</si>
  <si>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</si>
  <si>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</si>
  <si>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</si>
  <si>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</si>
  <si>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</si>
  <si>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</si>
  <si>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</si>
  <si>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</si>
  <si>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</si>
  <si>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</si>
  <si>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</si>
  <si>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</si>
  <si>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</si>
  <si>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</si>
  <si>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</si>
  <si>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</si>
  <si>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</si>
  <si>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</si>
  <si>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</si>
  <si>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</si>
  <si>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</si>
  <si>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</si>
  <si>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</si>
  <si>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</si>
  <si>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</si>
  <si>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</si>
  <si>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</si>
  <si>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</si>
  <si>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</si>
  <si>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</si>
  <si>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</si>
  <si>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</si>
  <si>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</si>
  <si>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</si>
  <si>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</si>
  <si>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</si>
  <si>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</si>
  <si>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</si>
  <si>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</si>
  <si>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</si>
  <si>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</si>
  <si>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</si>
  <si>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</si>
  <si>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</si>
  <si>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</si>
  <si>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</si>
  <si>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</si>
  <si>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</si>
  <si>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</si>
  <si>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</si>
  <si>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</si>
  <si>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</si>
  <si>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</si>
  <si>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</si>
  <si>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</si>
  <si>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</si>
  <si>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</si>
  <si>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</si>
  <si>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</si>
  <si>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</si>
  <si>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</si>
  <si>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</si>
  <si>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</si>
  <si>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</si>
  <si>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</si>
  <si>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</si>
  <si>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</si>
  <si>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</si>
  <si>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</si>
  <si>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</si>
  <si>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</si>
  <si>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</si>
  <si>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</si>
  <si>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</si>
  <si>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</si>
  <si>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</si>
  <si>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</si>
  <si>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</si>
  <si>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</si>
  <si>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</si>
  <si>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</si>
  <si>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</si>
  <si>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</si>
  <si>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</si>
  <si>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</si>
  <si>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</si>
  <si>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</si>
  <si>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</si>
  <si>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</si>
  <si>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</si>
  <si>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</si>
  <si>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</si>
  <si>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</si>
  <si>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</si>
  <si>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</si>
  <si>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</si>
  <si>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</si>
  <si>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</si>
  <si>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</si>
  <si>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</si>
  <si>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</si>
  <si>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</si>
  <si>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</si>
  <si>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</si>
  <si>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</si>
  <si>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</si>
  <si>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</si>
  <si>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</si>
  <si>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</si>
  <si>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</si>
  <si>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</si>
  <si>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</si>
  <si>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</si>
  <si>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</si>
  <si>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</si>
  <si>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</si>
  <si>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</si>
  <si>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</si>
  <si>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</si>
  <si>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</si>
  <si>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</si>
  <si>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</si>
  <si>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</si>
  <si>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</si>
  <si>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</si>
  <si>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</si>
  <si>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</si>
  <si>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</si>
  <si>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</si>
  <si>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</si>
  <si>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</si>
  <si>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</si>
  <si>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</si>
  <si>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</si>
  <si>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</si>
  <si>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</si>
  <si>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</si>
  <si>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</si>
  <si>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</si>
  <si>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</si>
  <si>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</si>
  <si>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</si>
  <si>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</si>
  <si>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</si>
  <si>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</si>
  <si>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</si>
  <si>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</si>
  <si>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</si>
  <si>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</si>
  <si>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</si>
  <si>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</si>
  <si>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</si>
  <si>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</si>
  <si>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</si>
  <si>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</si>
  <si>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</si>
  <si>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</si>
  <si>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</si>
  <si>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</si>
  <si>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</si>
  <si>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</si>
  <si>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</si>
  <si>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</si>
  <si>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</si>
  <si>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</si>
  <si>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</si>
  <si>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</si>
  <si>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</si>
  <si>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</si>
  <si>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</si>
  <si>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</si>
  <si>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</si>
  <si>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</si>
  <si>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</si>
  <si>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</si>
  <si>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</si>
  <si>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</si>
  <si>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</si>
  <si>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</si>
  <si>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</si>
  <si>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</si>
  <si>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</si>
  <si>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</si>
  <si>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</si>
  <si>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</si>
  <si>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</si>
  <si>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</si>
  <si>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</si>
  <si>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</si>
  <si>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</si>
  <si>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</si>
  <si>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</si>
  <si>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</si>
  <si>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</si>
  <si>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</si>
  <si>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</si>
  <si>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</si>
  <si>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</si>
  <si>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</si>
  <si>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</si>
  <si>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</si>
  <si>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</si>
  <si>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</si>
  <si>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</si>
  <si>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</si>
  <si>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</si>
  <si>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</si>
  <si>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</si>
  <si>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</si>
  <si>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</si>
  <si>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</si>
  <si>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</si>
  <si>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</si>
  <si>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</si>
  <si>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</si>
  <si>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</si>
  <si>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</si>
  <si>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</si>
  <si>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</si>
  <si>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</si>
  <si>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</si>
  <si>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</si>
  <si>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</si>
  <si>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</si>
  <si>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</si>
  <si>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</si>
  <si>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</si>
  <si>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</si>
  <si>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</si>
  <si>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</si>
  <si>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</si>
  <si>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</si>
  <si>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</si>
  <si>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</si>
  <si>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</si>
  <si>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</si>
  <si>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</si>
  <si>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</si>
  <si>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</si>
  <si>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</si>
  <si>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</si>
  <si>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</si>
  <si>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</si>
  <si>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</si>
  <si>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</si>
  <si>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</si>
  <si>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</si>
  <si>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</si>
  <si>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</si>
  <si>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</si>
  <si>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</si>
  <si>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</si>
  <si>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</si>
  <si>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</si>
  <si>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</si>
  <si>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</si>
  <si>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</si>
  <si>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</si>
  <si>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</si>
  <si>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</si>
  <si>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</si>
  <si>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</si>
  <si>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</si>
  <si>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</si>
  <si>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</si>
  <si>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</si>
  <si>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</si>
  <si>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</si>
  <si>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</si>
  <si>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</si>
  <si>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</si>
  <si>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</si>
  <si>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</si>
  <si>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</si>
  <si>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</si>
  <si>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</si>
  <si>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</si>
  <si>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</si>
  <si>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</si>
  <si>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</si>
  <si>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</si>
  <si>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</si>
  <si>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</si>
  <si>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</si>
  <si>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</si>
  <si>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</si>
  <si>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</si>
  <si>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</si>
  <si>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</si>
  <si>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</si>
  <si>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</si>
  <si>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</si>
  <si>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</si>
  <si>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</si>
  <si>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</si>
  <si>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</si>
  <si>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</si>
  <si>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</si>
  <si>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</si>
  <si>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</si>
  <si>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</si>
  <si>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</si>
  <si>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</si>
  <si>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</si>
  <si>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</si>
  <si>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</si>
  <si>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</si>
  <si>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</si>
  <si>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</si>
  <si>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</si>
  <si>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</si>
  <si>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</si>
  <si>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</si>
  <si>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</si>
  <si>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</si>
  <si>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</si>
  <si>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</si>
  <si>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</si>
  <si>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</si>
  <si>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</si>
  <si>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</si>
  <si>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</si>
  <si>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</si>
  <si>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</si>
  <si>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</si>
  <si>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</si>
  <si>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</si>
  <si>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</si>
  <si>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</si>
  <si>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</si>
  <si>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</si>
  <si>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</si>
  <si>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</si>
  <si>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</si>
  <si>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</si>
  <si>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</si>
  <si>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</si>
  <si>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</si>
  <si>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</si>
  <si>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</si>
  <si>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</si>
  <si>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</si>
  <si>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</si>
  <si>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</si>
  <si>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</si>
  <si>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</si>
  <si>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</si>
  <si>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</si>
  <si>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</si>
  <si>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</si>
  <si>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</si>
  <si>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</si>
  <si>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</si>
  <si>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</si>
  <si>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</si>
  <si>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</si>
  <si>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</si>
  <si>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</si>
  <si>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</si>
  <si>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</si>
  <si>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</si>
  <si>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</si>
  <si>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</si>
  <si>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</si>
  <si>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</si>
  <si>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</si>
  <si>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</si>
  <si>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</si>
  <si>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</si>
  <si>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</si>
  <si>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</si>
  <si>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</si>
  <si>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</si>
  <si>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</si>
  <si>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</si>
  <si>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</si>
  <si>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</si>
  <si>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</si>
  <si>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</si>
  <si>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</si>
  <si>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</si>
  <si>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</si>
  <si>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</si>
  <si>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</si>
  <si>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</si>
  <si>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</si>
  <si>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</si>
  <si>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</si>
  <si>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</si>
  <si>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</si>
  <si>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</si>
  <si>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</si>
  <si>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</si>
  <si>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</si>
  <si>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</si>
  <si>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</si>
  <si>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</si>
  <si>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</si>
  <si>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</si>
  <si>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</si>
  <si>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</si>
  <si>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</si>
  <si>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</si>
  <si>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</si>
  <si>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</si>
  <si>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</si>
  <si>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</si>
  <si>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</si>
  <si>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</si>
  <si>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</si>
  <si>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</si>
  <si>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</si>
  <si>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</si>
  <si>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</si>
  <si>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</si>
  <si>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</si>
  <si>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</si>
  <si>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</si>
  <si>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</si>
  <si>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</si>
  <si>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</si>
  <si>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</si>
  <si>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</si>
  <si>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</si>
  <si>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</si>
  <si>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</si>
  <si>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</si>
  <si>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</si>
  <si>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</si>
  <si>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</si>
  <si>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</si>
  <si>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</si>
  <si>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</si>
  <si>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</si>
  <si>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</si>
  <si>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</si>
  <si>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</si>
  <si>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</si>
  <si>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</si>
  <si>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</si>
  <si>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</si>
  <si>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</si>
  <si>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</si>
  <si>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</si>
  <si>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</si>
  <si>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</si>
  <si>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</si>
  <si>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</si>
  <si>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</si>
  <si>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</si>
  <si>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</si>
  <si>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</si>
  <si>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</si>
  <si>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</si>
  <si>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</si>
  <si>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</si>
  <si>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</si>
  <si>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</si>
  <si>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</si>
  <si>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</si>
  <si>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</si>
  <si>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</si>
  <si>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</si>
  <si>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</si>
  <si>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</si>
  <si>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</si>
  <si>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</si>
  <si>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</si>
  <si>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</si>
  <si>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</si>
  <si>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</si>
  <si>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</si>
  <si>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</si>
  <si>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</si>
  <si>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</si>
  <si>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</si>
  <si>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</si>
  <si>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</si>
  <si>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</si>
  <si>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</si>
  <si>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</si>
  <si>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</si>
  <si>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</si>
  <si>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</si>
  <si>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</si>
  <si>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</si>
  <si>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</si>
  <si>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</si>
  <si>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</si>
  <si>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</si>
  <si>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</si>
  <si>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</si>
  <si>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</si>
  <si>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</si>
  <si>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</si>
  <si>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</si>
  <si>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</si>
  <si>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</si>
  <si>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</si>
  <si>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</si>
  <si>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</si>
  <si>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</si>
  <si>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</si>
  <si>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</si>
  <si>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</si>
  <si>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</si>
  <si>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</si>
  <si>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</si>
  <si>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</si>
  <si>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</si>
  <si>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</si>
  <si>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</si>
  <si>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</si>
  <si>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</si>
  <si>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</si>
  <si>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</si>
  <si>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</si>
  <si>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</si>
  <si>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</si>
  <si>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</si>
  <si>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</si>
  <si>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</si>
  <si>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</si>
  <si>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</si>
  <si>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</si>
  <si>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</si>
  <si>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</si>
  <si>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</si>
  <si>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</si>
  <si>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</si>
  <si>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</si>
  <si>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</si>
  <si>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</si>
  <si>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</si>
  <si>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</si>
  <si>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</si>
  <si>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</si>
  <si>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</si>
  <si>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</si>
  <si>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</si>
  <si>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</si>
  <si>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</si>
  <si>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</si>
  <si>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</si>
  <si>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</si>
  <si>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</si>
  <si>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</si>
  <si>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</si>
  <si>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</si>
  <si>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</si>
  <si>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</si>
  <si>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</si>
  <si>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</si>
  <si>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</si>
  <si>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</si>
  <si>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</si>
  <si>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</si>
  <si>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</si>
  <si>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</si>
  <si>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</si>
  <si>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</si>
  <si>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</si>
  <si>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</si>
  <si>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</si>
  <si>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</si>
  <si>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</si>
  <si>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</si>
  <si>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</si>
  <si>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</si>
  <si>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</si>
  <si>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</si>
  <si>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</si>
  <si>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</si>
  <si>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</si>
  <si>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</si>
  <si>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</si>
  <si>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</si>
  <si>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</si>
  <si>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</si>
  <si>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</si>
  <si>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</si>
  <si>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</si>
  <si>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</si>
  <si>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</si>
  <si>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</si>
  <si>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</si>
  <si>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</si>
  <si>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</si>
  <si>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</si>
  <si>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</si>
  <si>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</si>
  <si>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</si>
  <si>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</si>
  <si>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</si>
  <si>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</si>
  <si>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</si>
  <si>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</si>
  <si>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</si>
  <si>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</si>
  <si>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</si>
  <si>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</si>
  <si>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</si>
  <si>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</si>
  <si>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</si>
  <si>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</si>
  <si>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</si>
  <si>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</si>
  <si>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</si>
  <si>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</si>
  <si>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</si>
  <si>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</si>
  <si>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</si>
  <si>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</si>
  <si>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</si>
  <si>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</si>
  <si>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</si>
  <si>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</si>
  <si>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</si>
  <si>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</si>
  <si>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</si>
  <si>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</si>
  <si>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</si>
  <si>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</si>
  <si>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</si>
  <si>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</si>
  <si>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</si>
  <si>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</si>
  <si>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</si>
  <si>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</si>
  <si>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</si>
  <si>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</si>
  <si>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</si>
  <si>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</si>
  <si>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</si>
  <si>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</si>
  <si>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</si>
  <si>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</si>
  <si>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</si>
  <si>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</si>
  <si>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</si>
  <si>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</si>
  <si>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</si>
  <si>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</si>
  <si>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</si>
  <si>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</si>
  <si>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</si>
  <si>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</si>
  <si>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</si>
  <si>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</si>
  <si>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</si>
  <si>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</si>
  <si>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</si>
  <si>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</si>
  <si>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</si>
  <si>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</si>
  <si>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</si>
  <si>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</si>
  <si>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</si>
  <si>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</si>
  <si>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</si>
  <si>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</si>
  <si>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</si>
  <si>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</si>
  <si>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</si>
  <si>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</si>
  <si>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</si>
  <si>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</si>
  <si>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</si>
  <si>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</si>
  <si>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</si>
  <si>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</si>
  <si>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</si>
  <si>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</si>
  <si>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</si>
  <si>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</si>
  <si>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</si>
  <si>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</si>
  <si>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</si>
  <si>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</si>
  <si>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</si>
  <si>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</si>
  <si>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</si>
  <si>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</si>
  <si>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</si>
  <si>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</si>
  <si>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</si>
  <si>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</si>
  <si>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</si>
  <si>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</si>
  <si>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</si>
  <si>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</si>
  <si>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</si>
  <si>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</si>
  <si>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</si>
  <si>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</si>
  <si>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</si>
  <si>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</si>
  <si>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</si>
  <si>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</si>
  <si>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</si>
  <si>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</si>
  <si>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</si>
  <si>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</si>
  <si>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</si>
  <si>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</si>
  <si>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</si>
  <si>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</si>
  <si>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</si>
  <si>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</si>
  <si>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</si>
  <si>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</si>
  <si>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</si>
  <si>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</si>
  <si>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</si>
  <si>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</si>
  <si>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</si>
  <si>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</si>
  <si>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</si>
  <si>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</si>
  <si>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</si>
  <si>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</si>
  <si>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</si>
  <si>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</si>
  <si>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</si>
  <si>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</si>
  <si>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</si>
  <si>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</si>
  <si>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</si>
  <si>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</si>
  <si>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</si>
  <si>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</si>
  <si>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</si>
  <si>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</si>
  <si>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</si>
  <si>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</si>
  <si>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</si>
  <si>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</si>
  <si>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</si>
  <si>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</si>
  <si>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</si>
  <si>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</si>
  <si>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</si>
  <si>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</si>
  <si>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</si>
  <si>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</si>
  <si>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</si>
  <si>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</si>
  <si>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</si>
  <si>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</si>
  <si>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</si>
  <si>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</si>
  <si>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</si>
  <si>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</si>
  <si>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</si>
  <si>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</si>
  <si>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</si>
  <si>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</si>
  <si>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</si>
  <si>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</si>
  <si>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</si>
  <si>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</si>
  <si>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</si>
  <si>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</si>
  <si>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</si>
  <si>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</si>
  <si>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</si>
  <si>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</si>
  <si>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</si>
  <si>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</si>
  <si>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</si>
  <si>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</si>
  <si>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</si>
  <si>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</si>
  <si>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</si>
  <si>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</si>
  <si>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</si>
  <si>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</si>
  <si>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</si>
  <si>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</si>
  <si>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</si>
  <si>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</si>
  <si>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</si>
  <si>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</si>
  <si>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</si>
  <si>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</si>
  <si>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</si>
  <si>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</si>
  <si>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</si>
  <si>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</si>
  <si>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</si>
  <si>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</si>
  <si>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</si>
  <si>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</si>
  <si>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</si>
  <si>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</si>
  <si>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</si>
  <si>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</si>
  <si>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</si>
  <si>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</si>
  <si>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</si>
  <si>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</si>
  <si>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</si>
  <si>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</si>
  <si>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</si>
  <si>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</si>
  <si>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</si>
  <si>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</si>
  <si>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</si>
  <si>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</si>
  <si>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</si>
  <si>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</si>
  <si>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</si>
  <si>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</si>
  <si>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</si>
  <si>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</si>
  <si>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</si>
  <si>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</si>
  <si>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</si>
  <si>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</si>
  <si>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</si>
  <si>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</si>
  <si>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</si>
  <si>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</si>
  <si>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</si>
  <si>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</si>
  <si>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</si>
  <si>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</si>
  <si>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</si>
  <si>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</si>
  <si>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</si>
  <si>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</si>
  <si>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</si>
  <si>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</si>
  <si>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</si>
  <si>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</si>
  <si>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</si>
  <si>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</si>
  <si>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</si>
  <si>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</si>
  <si>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</si>
  <si>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</si>
  <si>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</si>
  <si>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</si>
  <si>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</si>
  <si>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</si>
  <si>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</si>
  <si>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</si>
  <si>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</si>
  <si>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</si>
  <si>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</si>
  <si>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</si>
  <si>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</si>
  <si>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</si>
  <si>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</si>
  <si>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</si>
  <si>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</si>
  <si>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</si>
  <si>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</si>
  <si>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</si>
  <si>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</si>
  <si>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</si>
  <si>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</si>
  <si>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</si>
  <si>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</si>
  <si>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</si>
  <si>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</si>
  <si>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</si>
  <si>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</si>
  <si>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</si>
  <si>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</si>
  <si>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</si>
  <si>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</si>
  <si>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</si>
  <si>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</si>
  <si>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</si>
  <si>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</si>
  <si>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</si>
  <si>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</si>
  <si>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</si>
  <si>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</si>
  <si>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</si>
  <si>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</si>
  <si>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</si>
  <si>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</si>
  <si>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</si>
  <si>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</si>
  <si>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</si>
  <si>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</si>
  <si>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</si>
  <si>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</si>
  <si>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</si>
  <si>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</si>
  <si>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</si>
  <si>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</si>
  <si>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</si>
  <si>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</si>
  <si>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</si>
  <si>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</si>
  <si>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</si>
  <si>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</si>
  <si>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</si>
  <si>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</si>
  <si>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</si>
  <si>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</si>
  <si>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</si>
  <si>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</si>
  <si>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</si>
  <si>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</si>
  <si>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</si>
  <si>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</si>
  <si>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</si>
  <si>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</si>
  <si>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</si>
  <si>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</si>
  <si>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</si>
  <si>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</si>
  <si>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</si>
  <si>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</si>
  <si>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</si>
  <si>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</si>
  <si>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</si>
  <si>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</si>
  <si>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</si>
  <si>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</si>
  <si>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</si>
  <si>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</si>
  <si>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</si>
  <si>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</si>
  <si>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</si>
  <si>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</si>
  <si>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</si>
  <si>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</si>
  <si>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</si>
  <si>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</si>
  <si>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</si>
  <si>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</si>
  <si>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</si>
  <si>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</si>
  <si>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</si>
  <si>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</si>
  <si>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</si>
  <si>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</si>
  <si>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</si>
  <si>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</si>
  <si>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</si>
  <si>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</si>
  <si>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</si>
  <si>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</si>
  <si>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</si>
  <si>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</si>
  <si>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</si>
  <si>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</si>
  <si>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</si>
  <si>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</si>
  <si>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</si>
  <si>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</si>
  <si>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</si>
  <si>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</si>
  <si>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</si>
  <si>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</si>
  <si>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</si>
  <si>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</si>
  <si>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</si>
  <si>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</si>
  <si>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</si>
  <si>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</si>
  <si>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</si>
  <si>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</si>
  <si>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</si>
  <si>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</si>
  <si>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</si>
  <si>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</si>
  <si>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</si>
  <si>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</si>
  <si>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</si>
  <si>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</si>
  <si>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</si>
  <si>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</si>
  <si>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</si>
  <si>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</si>
  <si>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</si>
  <si>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</si>
  <si>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</si>
  <si>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</si>
  <si>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</si>
  <si>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</si>
  <si>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</si>
  <si>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</si>
  <si>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</si>
  <si>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</si>
  <si>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</si>
  <si>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</si>
  <si>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</si>
  <si>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</si>
  <si>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</si>
  <si>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</si>
  <si>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</si>
  <si>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</si>
  <si>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</si>
  <si>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</si>
  <si>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</si>
  <si>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</si>
  <si>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</si>
  <si>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</si>
  <si>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</si>
  <si>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</si>
  <si>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</si>
  <si>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</si>
  <si>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</si>
  <si>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</si>
  <si>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</si>
  <si>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</si>
  <si>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</si>
  <si>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</si>
  <si>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</si>
  <si>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</si>
  <si>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</si>
  <si>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</si>
  <si>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</si>
  <si>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</si>
  <si>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</si>
  <si>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</si>
  <si>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</si>
  <si>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</si>
  <si>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</si>
  <si>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</si>
  <si>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</si>
  <si>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</si>
  <si>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</si>
  <si>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</si>
  <si>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</si>
  <si>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</si>
  <si>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</si>
  <si>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</si>
  <si>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</si>
  <si>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</si>
  <si>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</si>
  <si>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</si>
  <si>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</si>
  <si>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</si>
  <si>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</si>
  <si>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</si>
  <si>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</si>
  <si>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</si>
  <si>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</si>
  <si>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</si>
  <si>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</si>
  <si>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</si>
  <si>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</si>
  <si>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</si>
  <si>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</si>
  <si>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</si>
  <si>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</si>
  <si>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</si>
  <si>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</si>
  <si>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</si>
  <si>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</si>
  <si>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</si>
  <si>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</si>
  <si>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</si>
  <si>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</si>
  <si>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</si>
  <si>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</si>
  <si>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</si>
  <si>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</si>
  <si>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</si>
  <si>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</si>
  <si>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</si>
  <si>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</si>
  <si>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</si>
  <si>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</si>
  <si>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</si>
  <si>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</si>
  <si>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</si>
  <si>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</si>
  <si>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</si>
  <si>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</si>
  <si>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</si>
  <si>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</si>
  <si>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</si>
  <si>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</si>
  <si>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</si>
  <si>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</si>
  <si>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</si>
  <si>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</si>
  <si>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</si>
  <si>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</si>
  <si>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</si>
  <si>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</si>
  <si>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</si>
  <si>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</si>
  <si>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</si>
  <si>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</si>
  <si>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</si>
  <si>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</si>
  <si>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</si>
  <si>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</si>
  <si>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</si>
  <si>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</si>
  <si>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</si>
  <si>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</si>
  <si>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</si>
  <si>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</si>
  <si>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</si>
  <si>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</si>
  <si>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</si>
  <si>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</si>
  <si>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</si>
  <si>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</si>
  <si>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</si>
  <si>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</si>
  <si>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</si>
  <si>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</si>
  <si>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</si>
  <si>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</si>
  <si>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</si>
  <si>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</si>
  <si>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</si>
  <si>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</si>
  <si>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</si>
  <si>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</si>
  <si>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</si>
  <si>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</si>
  <si>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</si>
  <si>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</si>
  <si>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</si>
  <si>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</si>
  <si>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</si>
  <si>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</si>
  <si>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</si>
  <si>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</si>
  <si>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</si>
  <si>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</si>
  <si>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</si>
  <si>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</si>
  <si>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</si>
  <si>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</si>
  <si>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</si>
  <si>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</si>
  <si>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</si>
  <si>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</si>
  <si>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</si>
  <si>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</si>
  <si>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</si>
  <si>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</si>
  <si>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</si>
  <si>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</si>
  <si>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</si>
  <si>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</si>
  <si>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</si>
  <si>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</si>
  <si>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</si>
  <si>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</si>
  <si>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</si>
  <si>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</si>
  <si>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</si>
  <si>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</si>
  <si>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</si>
  <si>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</si>
  <si>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</si>
  <si>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</si>
  <si>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</si>
  <si>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</si>
  <si>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</si>
  <si>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</si>
  <si>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</si>
  <si>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</si>
  <si>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</si>
  <si>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</si>
  <si>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</si>
  <si>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</si>
  <si>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</si>
  <si>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</si>
  <si>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</si>
  <si>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</si>
  <si>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</si>
  <si>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</si>
  <si>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</si>
  <si>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</si>
  <si>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</si>
  <si>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</si>
  <si>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</si>
  <si>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</si>
  <si>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</si>
  <si>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</si>
  <si>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</si>
  <si>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</si>
  <si>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</si>
  <si>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</si>
  <si>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</si>
  <si>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</si>
  <si>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</si>
  <si>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</si>
  <si>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</si>
  <si>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</si>
  <si>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</si>
  <si>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</si>
  <si>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</si>
  <si>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</si>
  <si>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</si>
  <si>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</si>
  <si>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</si>
  <si>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</si>
  <si>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</si>
  <si>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</si>
  <si>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</si>
  <si>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</si>
  <si>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</si>
  <si>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</si>
  <si>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</si>
  <si>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</si>
  <si>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</si>
  <si>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</si>
  <si>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</si>
  <si>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</si>
  <si>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</si>
  <si>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</si>
  <si>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</si>
  <si>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</si>
  <si>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</si>
  <si>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</si>
  <si>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</si>
  <si>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</si>
  <si>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</si>
  <si>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</si>
  <si>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</si>
  <si>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</si>
  <si>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</si>
  <si>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</si>
  <si>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</si>
  <si>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</si>
  <si>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</si>
  <si>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</si>
  <si>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</si>
  <si>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</si>
  <si>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</si>
  <si>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</si>
  <si>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</si>
  <si>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</si>
  <si>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</si>
  <si>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</si>
  <si>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</si>
  <si>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</si>
  <si>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</si>
  <si>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</si>
  <si>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</si>
  <si>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</si>
  <si>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</si>
  <si>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</si>
  <si>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</si>
  <si>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</si>
  <si>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</si>
  <si>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</si>
  <si>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</si>
  <si>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</si>
  <si>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</si>
  <si>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</si>
  <si>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</si>
  <si>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</si>
  <si>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</si>
  <si>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</si>
  <si>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</si>
  <si>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</si>
  <si>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</si>
  <si>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</si>
  <si>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</si>
  <si>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</si>
  <si>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</si>
  <si>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</si>
  <si>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</si>
  <si>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</si>
  <si>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</si>
  <si>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</si>
  <si>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</si>
  <si>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</si>
  <si>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</si>
  <si>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</si>
  <si>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</si>
  <si>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</si>
  <si>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</si>
  <si>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</si>
  <si>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</si>
  <si>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</si>
  <si>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</si>
  <si>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</si>
  <si>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</si>
  <si>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</si>
  <si>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</si>
  <si>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</si>
  <si>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</si>
  <si>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</si>
  <si>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</si>
  <si>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</si>
  <si>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</si>
  <si>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</si>
  <si>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</si>
  <si>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</si>
  <si>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</si>
  <si>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</si>
  <si>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</si>
  <si>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</si>
  <si>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</si>
  <si>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</si>
  <si>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</si>
  <si>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</si>
  <si>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</si>
  <si>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</si>
  <si>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</si>
  <si>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</si>
  <si>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</si>
  <si>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</si>
  <si>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</si>
  <si>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</si>
  <si>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</si>
  <si>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</si>
  <si>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</si>
  <si>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</si>
  <si>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</si>
  <si>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</si>
  <si>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</si>
  <si>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</si>
  <si>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</si>
  <si>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</si>
  <si>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</si>
  <si>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</si>
  <si>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</si>
  <si>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</si>
  <si>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</si>
  <si>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</si>
  <si>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</si>
  <si>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</si>
  <si>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</si>
  <si>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</si>
  <si>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</si>
  <si>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</si>
  <si>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</si>
  <si>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</si>
  <si>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</si>
  <si>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</si>
  <si>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</si>
  <si>
    <t>占比</t>
    <phoneticPr fontId="226" type="noConversion"/>
  </si>
  <si>
    <t>60-70</t>
    <phoneticPr fontId="226" type="noConversion"/>
  </si>
  <si>
    <t>50-60</t>
    <phoneticPr fontId="226" type="noConversion"/>
  </si>
  <si>
    <t>单价</t>
    <phoneticPr fontId="93" type="noConversion"/>
  </si>
  <si>
    <t>总价</t>
    <phoneticPr fontId="93" type="noConversion"/>
  </si>
  <si>
    <t>不临街</t>
  </si>
  <si>
    <t>不临街</t>
    <phoneticPr fontId="226" type="noConversion"/>
  </si>
  <si>
    <t>不临街</t>
    <phoneticPr fontId="226" type="noConversion"/>
  </si>
  <si>
    <t>不临街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</si>
</sst>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xf numFmtId="0" fontId="118" fillId="0" borderId="13" xfId="0" applyFont="1" applyBorder="1" applyAlignment="1" applyProtection="1">
      <alignment horizontal="center" vertical="center" wrapText="1"/>
      <protection locked="0"/>
    </xf>
    <xf numFmtId="9" fontId="151" fillId="0" borderId="0" xfId="19" applyNumberFormat="1">
      <alignment vertical="center"/>
    </xf>
    <xf numFmtId="1" fontId="151" fillId="0" borderId="0" xfId="19"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3"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1" fillId="2" borderId="13" xfId="0" applyFont="1" applyFill="1" applyBorder="1" applyAlignment="1" applyProtection="1">
      <alignment horizontal="left" vertical="center" wrapText="1"/>
      <protection locked="0"/>
    </xf>
    <xf numFmtId="0" fontId="71" fillId="2" borderId="15"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估价对象为北京市房地产，为所有。根据《国有土地使用证》[]，估价对象（分摊）出让国有建设用地使用权面积为0平方米，建筑面积为922.16平方米。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估价对象为北京市房地产,属开发建设的，该项目尚在开发建设中。根据《国有土地使用证》[]，估价对象（分摊）出让国有建设用地使用权面积为0平方米，规划建筑面积为922.16平方米。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2025年9月23日</v>
      </c>
    </row>
    <row r="13" spans="1:2">
      <c r="A13" s="3153" t="s">
        <v>13</v>
      </c>
      <c r="B13" s="3154"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820.86159999999995</v>
      </c>
    </row>
    <row r="21" spans="1:2">
      <c r="A21" s="3153" t="s">
        <v>21</v>
      </c>
      <c r="B21" s="3154">
        <f ca="1">'预评函-2'!D7</f>
        <v>31441</v>
      </c>
    </row>
    <row r="22" spans="1:2">
      <c r="A22" s="3153" t="s">
        <v>22</v>
      </c>
      <c r="B22" s="3154" t="str">
        <f ca="1">'预评函-2'!D6</f>
        <v>捌佰贰拾万捌仟陆佰壹拾陆元整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820.86159999999995</v>
      </c>
    </row>
    <row r="31" spans="1:2">
      <c r="A31" s="3153" t="s">
        <v>31</v>
      </c>
      <c r="B31" s="3154">
        <f ca="1">'预评函-2'!D15</f>
        <v>31441</v>
      </c>
    </row>
    <row r="32" spans="1:2">
      <c r="A32" s="3153" t="s">
        <v>32</v>
      </c>
      <c r="B32" s="3154" t="str">
        <f ca="1">'预评函-2'!D14</f>
        <v>捌佰贰拾万捌仟陆佰壹拾陆元整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ht="31.2">
      <c r="A42" s="3153" t="s">
        <v>42</v>
      </c>
      <c r="B42" s="3154" t="str">
        <f>'预评函-3'!B2</f>
        <v>建筑面积</v>
      </c>
    </row>
    <row r="43" spans="1:2">
      <c r="A43" s="3153" t="s">
        <v>43</v>
      </c>
      <c r="B43" s="3154">
        <f>'预评函-3'!B4</f>
        <v>922.16</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t="e">
        <f ca="1">'预评函-3'!D4</f>
        <v>#N/A</v>
      </c>
    </row>
    <row r="48" spans="1:2">
      <c r="A48" s="3153" t="s">
        <v>48</v>
      </c>
      <c r="B48" s="3154" t="e">
        <f ca="1">'预评函-3'!E4</f>
        <v>#N/A</v>
      </c>
    </row>
    <row r="49" spans="1:2">
      <c r="A49" s="3153" t="s">
        <v>49</v>
      </c>
      <c r="B49" s="3154" t="e">
        <f ca="1">'预评函-3'!D5</f>
        <v>#N/A</v>
      </c>
    </row>
    <row r="50" spans="1:2">
      <c r="A50" s="3153" t="s">
        <v>50</v>
      </c>
      <c r="B50" s="3154" t="str">
        <f>'预评函-3'!F2</f>
        <v>在建建筑物价值</v>
      </c>
    </row>
    <row r="51" spans="1:2">
      <c r="A51" s="3153" t="s">
        <v>51</v>
      </c>
      <c r="B51" s="3154" t="e">
        <f ca="1">'预评函-3'!F4</f>
        <v>#N/A</v>
      </c>
    </row>
    <row r="52" spans="1:2">
      <c r="A52" s="3153" t="s">
        <v>52</v>
      </c>
      <c r="B52" s="3154" t="e">
        <f ca="1">'预评函-3'!G4</f>
        <v>#N/A</v>
      </c>
    </row>
    <row r="53" spans="1:2">
      <c r="A53" s="3153" t="s">
        <v>53</v>
      </c>
      <c r="B53" s="3154" t="e">
        <f ca="1">'预评函-3'!F5</f>
        <v>#N/A</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183" t="s">
        <v>2894</v>
      </c>
      <c r="C19" s="3047"/>
    </row>
    <row r="20" spans="1:3">
      <c r="A20" s="3001" t="s">
        <v>354</v>
      </c>
      <c r="B20" s="3183" t="s">
        <v>2895</v>
      </c>
      <c r="C20" s="3047"/>
    </row>
    <row r="21" spans="1:3">
      <c r="A21" s="3001" t="s">
        <v>276</v>
      </c>
      <c r="B21" s="3048" t="s">
        <v>2897</v>
      </c>
      <c r="C21" s="3047"/>
    </row>
    <row r="22" spans="1:3">
      <c r="A22" s="3001" t="s">
        <v>355</v>
      </c>
      <c r="B22" s="3048" t="s">
        <v>2899</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30"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296" t="s">
        <v>368</v>
      </c>
      <c r="C54" s="3041" t="s">
        <v>369</v>
      </c>
    </row>
    <row r="55" spans="1:4">
      <c r="A55" s="3230"/>
      <c r="B55" s="296" t="s">
        <v>370</v>
      </c>
      <c r="C55" s="3041" t="s">
        <v>371</v>
      </c>
    </row>
    <row r="56" spans="1:4">
      <c r="A56" s="3230"/>
      <c r="B56" s="296" t="s">
        <v>372</v>
      </c>
      <c r="C56" s="3041" t="s">
        <v>373</v>
      </c>
    </row>
    <row r="57" spans="1:4">
      <c r="A57" s="3230"/>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31" t="s">
        <v>378</v>
      </c>
      <c r="J2" s="3231"/>
      <c r="K2" s="3231"/>
      <c r="L2" s="3231"/>
      <c r="M2" s="3231"/>
      <c r="N2" s="3231"/>
      <c r="O2" s="3231"/>
      <c r="P2" s="3231"/>
      <c r="Q2" s="3231"/>
      <c r="R2" s="3231"/>
    </row>
    <row r="3" spans="1:18">
      <c r="A3" s="444" t="s">
        <v>379</v>
      </c>
      <c r="B3" s="2997">
        <f>项目基本情况!D3</f>
        <v>45923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1.23</v>
      </c>
      <c r="D5" s="2999">
        <f>IF(ISERROR(ROUND(POWER(1+E5,A5-C5)*(POWER(1+E5,C5)-1)/(POWER(1+E5,A5)-1),3)),0,ROUND(POWER(1+E5,A5-C5)*(POWER(1+E5,C5)-1)/(POWER(1+E5,A5)-1),4))</f>
        <v>5.9499999999999997E-2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11.24</v>
      </c>
      <c r="D6" s="2999">
        <f>IF(ISERROR(ROUND(POWER(1+E6,A6-C6)*(POWER(1+E6,C6)-1)/(POWER(1+E6,A6)-1),3)),0,ROUND(POWER(1+E6,A6-C6)*(POWER(1+E6,C6)-1)/(POWER(1+E6,A6)-1),4))</f>
        <v>0.41489999999999999</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31.26</v>
      </c>
      <c r="D7" s="2999">
        <f>IF(ISERROR(ROUND(POWER(1+E7,A7-C7)*(POWER(1+E7,C7)-1)/(POWER(1+E7,A7)-1),3)),0,ROUND(POWER(1+E7,A7-C7)*(POWER(1+E7,C7)-1)/(POWER(1+E7,A7)-1),4))</f>
        <v>0.755</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5.3</v>
      </c>
      <c r="L25" s="2990" t="s">
        <v>423</v>
      </c>
      <c r="N25" s="3038">
        <v>8</v>
      </c>
    </row>
    <row r="26" spans="1:14">
      <c r="A26" s="72"/>
      <c r="B26" s="73"/>
      <c r="C26" s="73"/>
      <c r="D26" s="73"/>
      <c r="E26" s="73"/>
      <c r="F26" s="73"/>
      <c r="G26" s="3014"/>
      <c r="I26" s="2990">
        <v>30</v>
      </c>
      <c r="J26" s="2990">
        <v>90.5</v>
      </c>
      <c r="K26" s="2990">
        <f t="shared" si="2"/>
        <v>4.2</v>
      </c>
      <c r="L26" s="2990" t="s">
        <v>424</v>
      </c>
      <c r="N26" s="3038">
        <v>5</v>
      </c>
    </row>
    <row r="27" spans="1:14">
      <c r="A27" s="72" t="s">
        <v>425</v>
      </c>
      <c r="B27" s="73"/>
      <c r="C27" s="73"/>
      <c r="D27" s="73"/>
      <c r="E27" s="73"/>
      <c r="F27" s="73"/>
      <c r="G27" s="3014"/>
      <c r="I27" s="2990">
        <v>35</v>
      </c>
      <c r="J27" s="2990">
        <v>93.8</v>
      </c>
      <c r="K27" s="2990">
        <f t="shared" si="2"/>
        <v>3.3</v>
      </c>
      <c r="L27" s="2990" t="s">
        <v>426</v>
      </c>
      <c r="N27" s="3038">
        <v>3</v>
      </c>
    </row>
    <row r="28" spans="1:14">
      <c r="A28" s="72" t="s">
        <v>427</v>
      </c>
      <c r="B28" s="73"/>
      <c r="C28" s="73"/>
      <c r="D28" s="73"/>
      <c r="E28" s="73"/>
      <c r="F28" s="73"/>
      <c r="G28" s="3014"/>
      <c r="I28" s="2990">
        <v>40</v>
      </c>
      <c r="J28" s="2990">
        <v>96.4</v>
      </c>
      <c r="K28" s="2990">
        <f t="shared" si="2"/>
        <v>2.6000000000000099</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1.5999999999999901</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11.9</v>
      </c>
    </row>
    <row r="36" spans="1:14">
      <c r="A36" s="72" t="s">
        <v>438</v>
      </c>
      <c r="B36" s="73"/>
      <c r="C36" s="73"/>
      <c r="D36" s="73"/>
      <c r="E36" s="73"/>
      <c r="F36" s="73"/>
      <c r="G36" s="3014"/>
      <c r="I36" s="2990">
        <v>15</v>
      </c>
      <c r="J36" s="2990">
        <v>76.3</v>
      </c>
      <c r="K36" s="2990">
        <f t="shared" ref="K36:K41" si="3">J36-J35</f>
        <v>9.3000000000000007</v>
      </c>
      <c r="L36" s="2990" t="s">
        <v>418</v>
      </c>
      <c r="N36" s="3038" t="s">
        <v>419</v>
      </c>
    </row>
    <row r="37" spans="1:14">
      <c r="A37" s="72" t="s">
        <v>439</v>
      </c>
      <c r="B37" s="73"/>
      <c r="C37" s="73"/>
      <c r="D37" s="73"/>
      <c r="E37" s="73"/>
      <c r="F37" s="73"/>
      <c r="G37" s="3014"/>
      <c r="I37" s="2990">
        <v>20</v>
      </c>
      <c r="J37" s="2990">
        <v>83.6</v>
      </c>
      <c r="K37" s="2990">
        <f t="shared" si="3"/>
        <v>7.3</v>
      </c>
      <c r="L37" s="2990" t="s">
        <v>421</v>
      </c>
      <c r="N37" s="3038">
        <v>10</v>
      </c>
    </row>
    <row r="38" spans="1:14">
      <c r="A38" s="72" t="s">
        <v>440</v>
      </c>
      <c r="B38" s="73"/>
      <c r="C38" s="73"/>
      <c r="D38" s="73"/>
      <c r="E38" s="73"/>
      <c r="F38" s="73"/>
      <c r="G38" s="3014"/>
      <c r="I38" s="2990">
        <v>25</v>
      </c>
      <c r="J38" s="2990">
        <v>89.3</v>
      </c>
      <c r="K38" s="2990">
        <f t="shared" si="3"/>
        <v>5.7</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3.4000000000000101</v>
      </c>
      <c r="L40" s="2990" t="s">
        <v>426</v>
      </c>
      <c r="N40" s="3038">
        <v>3</v>
      </c>
    </row>
    <row r="41" spans="1:14">
      <c r="A41" s="3018" t="s">
        <v>442</v>
      </c>
      <c r="B41" s="3019" t="s">
        <v>443</v>
      </c>
      <c r="C41" s="3020" t="s">
        <v>444</v>
      </c>
      <c r="D41" s="3020" t="s">
        <v>445</v>
      </c>
      <c r="E41" s="3021"/>
      <c r="F41" s="3022"/>
      <c r="G41" s="3023"/>
      <c r="I41" s="2990">
        <v>40</v>
      </c>
      <c r="J41" s="2990">
        <v>100</v>
      </c>
      <c r="K41" s="2990">
        <f t="shared" si="3"/>
        <v>2.8</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03" t="s">
        <v>462</v>
      </c>
      <c r="B50" s="3003" t="s">
        <v>463</v>
      </c>
      <c r="C50" s="3003" t="s">
        <v>464</v>
      </c>
      <c r="D50" s="3003" t="s">
        <v>465</v>
      </c>
    </row>
    <row r="51" spans="1:4">
      <c r="A51" s="3003" t="s">
        <v>466</v>
      </c>
      <c r="B51" s="3003">
        <f>B52+B53</f>
        <v>15000</v>
      </c>
      <c r="C51" s="3030">
        <f>D51/B51</f>
        <v>2666.6666666666702</v>
      </c>
      <c r="D51" s="3003">
        <f>D52+D53</f>
        <v>40000000</v>
      </c>
    </row>
    <row r="52" spans="1:4">
      <c r="A52" s="3031" t="s">
        <v>467</v>
      </c>
      <c r="B52" s="3032">
        <v>10000</v>
      </c>
      <c r="C52" s="3032">
        <v>1500</v>
      </c>
      <c r="D52" s="3031">
        <f>C52*B52</f>
        <v>15000000</v>
      </c>
    </row>
    <row r="53" spans="1:4">
      <c r="A53" s="3031" t="s">
        <v>468</v>
      </c>
      <c r="B53" s="3032">
        <v>5000</v>
      </c>
      <c r="C53" s="3032">
        <v>5000</v>
      </c>
      <c r="D53" s="3031">
        <f>C53*B53</f>
        <v>25000000</v>
      </c>
    </row>
    <row r="54" spans="1:4">
      <c r="A54" s="3003" t="s">
        <v>469</v>
      </c>
      <c r="B54" s="3003">
        <f>B51</f>
        <v>15000</v>
      </c>
      <c r="C54" s="3001">
        <v>700</v>
      </c>
      <c r="D54" s="3003">
        <f t="shared" ref="D54:D55" si="5">C54*B54</f>
        <v>10500000</v>
      </c>
    </row>
    <row r="55" spans="1:4">
      <c r="A55" s="3003" t="s">
        <v>470</v>
      </c>
      <c r="B55" s="3003">
        <f>B51</f>
        <v>15000</v>
      </c>
      <c r="C55" s="3001">
        <v>1500</v>
      </c>
      <c r="D55" s="3003">
        <f t="shared" si="5"/>
        <v>22500000</v>
      </c>
    </row>
    <row r="56" spans="1:4">
      <c r="A56" s="3003" t="s">
        <v>471</v>
      </c>
      <c r="B56" s="3003">
        <f>B51</f>
        <v>15000</v>
      </c>
      <c r="C56" s="3033">
        <f>C51+C54+C55</f>
        <v>4866.6666666666697</v>
      </c>
      <c r="D56" s="3003">
        <f>D51+D54+D55</f>
        <v>73000000</v>
      </c>
    </row>
    <row r="58" spans="1:4">
      <c r="A58" s="3003" t="s">
        <v>472</v>
      </c>
      <c r="B58" s="3034">
        <v>0.05</v>
      </c>
      <c r="C58" s="3003">
        <f>C56*(1+B58)</f>
        <v>5110</v>
      </c>
      <c r="D58" s="3003">
        <f>D56*B58</f>
        <v>3650000</v>
      </c>
    </row>
    <row r="60" spans="1:4">
      <c r="A60" s="3003" t="s">
        <v>473</v>
      </c>
      <c r="B60" s="3001">
        <v>3500</v>
      </c>
      <c r="C60" s="3001">
        <f>C53</f>
        <v>5000</v>
      </c>
      <c r="D60" s="3003">
        <f>C60*B60</f>
        <v>17500000</v>
      </c>
    </row>
    <row r="62" spans="1:4">
      <c r="A62" s="3003" t="s">
        <v>388</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5" customWidth="1"/>
    <col min="16" max="17" width="10" style="2728"/>
    <col min="18" max="18" width="10" style="2728" customWidth="1"/>
    <col min="19" max="30" width="10" style="2728"/>
    <col min="31" max="16384" width="10" style="2556"/>
  </cols>
  <sheetData>
    <row r="1" spans="1:30">
      <c r="A1" s="2875" t="s">
        <v>474</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517"/>
      <c r="K1" s="2956"/>
      <c r="L1" s="2965"/>
      <c r="M1" s="2965"/>
      <c r="N1" s="2876"/>
      <c r="O1" s="2341"/>
      <c r="P1" s="2876"/>
      <c r="Q1" s="2876"/>
      <c r="R1" s="2876"/>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6" t="s">
        <v>475</v>
      </c>
      <c r="B2" s="897"/>
      <c r="D2" s="2877"/>
      <c r="E2" s="2878"/>
      <c r="F2" s="2878"/>
      <c r="G2" s="2655"/>
      <c r="H2" s="2655"/>
      <c r="I2" s="2655"/>
      <c r="J2" s="2517"/>
      <c r="K2" s="2956"/>
      <c r="L2" s="2965"/>
      <c r="M2" s="2965"/>
      <c r="N2" s="2876"/>
      <c r="O2" s="2341"/>
      <c r="P2" s="2876"/>
      <c r="Q2" s="2876"/>
      <c r="R2" s="2876"/>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79"/>
      <c r="C3" s="2880" t="s">
        <v>477</v>
      </c>
      <c r="D3" s="2879">
        <v>45923</v>
      </c>
      <c r="E3" s="2655"/>
      <c r="F3" s="2655"/>
      <c r="G3" s="2655"/>
      <c r="H3" s="2655"/>
      <c r="I3" s="2655"/>
      <c r="J3" s="2517"/>
      <c r="K3" s="2956"/>
      <c r="L3" s="2965"/>
      <c r="M3" s="2965"/>
      <c r="N3" s="2876"/>
      <c r="O3" s="2341"/>
      <c r="P3" s="2876"/>
      <c r="Q3" s="2876"/>
      <c r="R3" s="2876"/>
      <c r="S3" s="2219"/>
      <c r="T3" s="2556"/>
      <c r="U3" s="2556"/>
      <c r="V3" s="2556"/>
      <c r="W3" s="2556"/>
      <c r="X3" s="2556"/>
      <c r="Y3" s="2556"/>
      <c r="Z3" s="2556"/>
      <c r="AA3" s="2556"/>
      <c r="AB3" s="2556"/>
    </row>
    <row r="4" spans="1:30">
      <c r="A4" s="1852" t="s">
        <v>478</v>
      </c>
      <c r="B4" s="2881" t="s">
        <v>188</v>
      </c>
      <c r="C4" s="2882">
        <f ca="1">SUMIF(注册房地产估价师,B4,估价师及机构信息!B3:B24)</f>
        <v>1419970001</v>
      </c>
      <c r="D4" s="2881" t="s">
        <v>191</v>
      </c>
      <c r="E4" s="2882">
        <f ca="1">SUMIF(注册房地产估价师,D4,估价师及机构信息!B3:B24)</f>
        <v>1120070131</v>
      </c>
      <c r="F4" s="2881"/>
      <c r="G4" s="2882">
        <f>SUMIF(注册房地产估价师,F4,估价师及机构信息!B3:B24)</f>
        <v>0</v>
      </c>
      <c r="H4" s="2881"/>
      <c r="I4" s="2882">
        <f>SUMIF(注册房地产估价师,H4,估价师及机构信息!B3:B24)</f>
        <v>0</v>
      </c>
      <c r="J4" s="2517"/>
      <c r="K4" s="2325" t="str">
        <f ca="1">CONCATENATE(B4,"（注册号：",C4,")、",D4,"（注册号：",E4,")")</f>
        <v>吴薇（注册号：1419970001)、郑燚（注册号：1120070131)</v>
      </c>
      <c r="L4" s="2965"/>
      <c r="M4" s="2965"/>
      <c r="N4" s="2876"/>
      <c r="O4" s="2341"/>
      <c r="P4" s="2876"/>
      <c r="Q4" s="2876"/>
      <c r="R4" s="2876"/>
      <c r="S4" s="2219"/>
      <c r="T4" s="2556"/>
      <c r="U4" s="2556"/>
      <c r="V4" s="2556"/>
      <c r="W4" s="2556"/>
      <c r="X4" s="2556"/>
      <c r="Y4" s="2556"/>
      <c r="Z4" s="2556"/>
      <c r="AA4" s="2556"/>
      <c r="AB4" s="2556"/>
    </row>
    <row r="5" spans="1:30">
      <c r="A5" s="2883" t="s">
        <v>479</v>
      </c>
      <c r="B5" s="2884"/>
      <c r="C5" s="2885"/>
      <c r="D5" s="2886"/>
      <c r="E5" s="2655"/>
      <c r="F5" s="2655"/>
      <c r="G5" s="2655"/>
      <c r="H5" s="2655"/>
      <c r="I5" s="2655"/>
      <c r="J5" s="2517"/>
      <c r="K5" s="2325" t="str">
        <f>IF(F4="——","",IF(H4="——",F4&amp;"（注册号："&amp;G4&amp;")",CONCATENATE(F4,"（注册号：",G4,")、",H4,"（注册号：",I4,")")))</f>
        <v>（注册号：0)、（注册号：0)</v>
      </c>
      <c r="L5" s="2965"/>
      <c r="M5" s="2965"/>
      <c r="N5" s="2876"/>
      <c r="O5" s="2341"/>
      <c r="P5" s="2876"/>
      <c r="Q5" s="2876"/>
      <c r="R5" s="2876"/>
      <c r="S5" s="2556"/>
      <c r="T5" s="2556"/>
      <c r="U5" s="2556"/>
      <c r="V5" s="2556"/>
      <c r="W5" s="2556"/>
      <c r="X5" s="2556"/>
      <c r="Y5" s="2556"/>
      <c r="Z5" s="2556"/>
      <c r="AA5" s="2556"/>
      <c r="AB5" s="2556"/>
    </row>
    <row r="6" spans="1:30">
      <c r="A6" s="2887" t="s">
        <v>480</v>
      </c>
      <c r="B6" s="2888"/>
      <c r="C6" s="2889"/>
      <c r="D6" s="2890"/>
      <c r="E6" s="2878"/>
      <c r="F6" s="2655"/>
      <c r="G6" s="2655"/>
      <c r="H6" s="2655"/>
      <c r="I6" s="2655"/>
      <c r="J6" s="2517"/>
      <c r="K6" s="2966" t="str">
        <f>IF(COUNTIF(B6,"*上海银行*"),"上海银行","")</f>
        <v/>
      </c>
      <c r="L6" s="2967"/>
      <c r="M6" s="2967"/>
      <c r="N6" s="2517"/>
      <c r="O6" s="2342"/>
      <c r="P6" s="2517"/>
      <c r="Q6" s="2517"/>
      <c r="R6" s="2517"/>
    </row>
    <row r="7" spans="1:30">
      <c r="A7" s="2887" t="s">
        <v>481</v>
      </c>
      <c r="B7" s="2891"/>
      <c r="C7" s="2889"/>
      <c r="D7" s="2890"/>
      <c r="E7" s="2878"/>
      <c r="F7" s="2655"/>
      <c r="G7" s="2655"/>
      <c r="H7" s="2655"/>
      <c r="I7" s="2655"/>
      <c r="J7" s="2517"/>
      <c r="K7" s="2968"/>
      <c r="L7" s="2967"/>
      <c r="M7" s="2967"/>
      <c r="N7" s="2517"/>
      <c r="O7" s="2342"/>
      <c r="P7" s="2517"/>
      <c r="Q7" s="2517"/>
      <c r="R7" s="2517"/>
    </row>
    <row r="8" spans="1:30">
      <c r="A8" s="2892" t="s">
        <v>482</v>
      </c>
      <c r="B8" s="2893" t="s">
        <v>363</v>
      </c>
      <c r="C8" s="2894"/>
      <c r="D8" s="3251" t="s">
        <v>483</v>
      </c>
      <c r="E8" s="2895" t="s">
        <v>368</v>
      </c>
      <c r="F8" s="2896"/>
      <c r="G8" s="2655"/>
      <c r="H8" s="2655"/>
      <c r="I8" s="2655"/>
      <c r="J8" s="2517"/>
      <c r="K8" s="2969"/>
      <c r="L8" s="2967"/>
      <c r="M8" s="2967"/>
      <c r="N8" s="2517"/>
      <c r="O8" s="2342"/>
      <c r="P8" s="2517"/>
      <c r="Q8" s="2517"/>
      <c r="R8" s="2517"/>
    </row>
    <row r="9" spans="1:30">
      <c r="A9" s="2897" t="s">
        <v>484</v>
      </c>
      <c r="B9" s="2898" t="s">
        <v>368</v>
      </c>
      <c r="C9" s="2899"/>
      <c r="D9" s="3252"/>
      <c r="E9" s="2898"/>
      <c r="F9" s="2900"/>
      <c r="G9" s="2901"/>
      <c r="H9" s="2901"/>
      <c r="I9" s="2901"/>
      <c r="J9" s="2517"/>
      <c r="K9" s="2968"/>
      <c r="L9" s="2967"/>
      <c r="M9" s="2967"/>
      <c r="N9" s="2517"/>
      <c r="O9" s="2342"/>
      <c r="P9" s="2517"/>
      <c r="Q9" s="2517"/>
      <c r="R9" s="2517"/>
    </row>
    <row r="10" spans="1:30">
      <c r="A10" s="2902" t="s">
        <v>485</v>
      </c>
      <c r="B10" s="2903" t="s">
        <v>486</v>
      </c>
      <c r="C10" s="2904"/>
      <c r="D10" s="2886"/>
      <c r="E10" s="2905" t="s">
        <v>487</v>
      </c>
      <c r="F10" s="2906"/>
      <c r="G10" s="2907"/>
      <c r="H10" s="2908"/>
      <c r="I10" s="2970"/>
      <c r="J10" s="2517"/>
      <c r="K10" s="2968"/>
      <c r="L10" s="2967"/>
      <c r="M10" s="2967"/>
      <c r="N10" s="2517"/>
      <c r="O10" s="2342"/>
      <c r="P10" s="2517"/>
      <c r="Q10" s="2517"/>
      <c r="R10" s="2517"/>
    </row>
    <row r="11" spans="1:30">
      <c r="A11" s="2909" t="s">
        <v>488</v>
      </c>
      <c r="B11" s="2910" t="s">
        <v>489</v>
      </c>
      <c r="C11" s="2911"/>
      <c r="D11" s="2912"/>
      <c r="E11" s="2876"/>
      <c r="F11" s="2876"/>
      <c r="G11" s="2876"/>
      <c r="H11" s="2876"/>
      <c r="I11" s="2876"/>
      <c r="J11" s="2971"/>
      <c r="K11" s="2967"/>
      <c r="L11" s="2967"/>
      <c r="M11" s="2967"/>
      <c r="N11" s="2517"/>
      <c r="O11" s="2342"/>
      <c r="P11" s="2517"/>
      <c r="Q11" s="2517"/>
      <c r="R11" s="2517"/>
    </row>
    <row r="12" spans="1:30">
      <c r="A12" s="2913" t="s">
        <v>490</v>
      </c>
      <c r="B12" s="1871" t="s">
        <v>491</v>
      </c>
      <c r="C12" s="2914" t="s">
        <v>492</v>
      </c>
      <c r="D12" s="2914" t="s">
        <v>493</v>
      </c>
      <c r="E12" s="2914" t="s">
        <v>494</v>
      </c>
      <c r="F12" s="2914" t="s">
        <v>495</v>
      </c>
      <c r="G12" s="2914" t="s">
        <v>496</v>
      </c>
      <c r="H12" s="2914" t="s">
        <v>497</v>
      </c>
      <c r="I12" s="2957" t="s">
        <v>231</v>
      </c>
      <c r="J12" s="2972"/>
      <c r="K12" s="2967"/>
      <c r="L12" s="2967"/>
      <c r="M12" s="2517"/>
      <c r="N12" s="2342"/>
      <c r="O12" s="2517"/>
      <c r="P12" s="2517"/>
      <c r="Q12" s="2517"/>
      <c r="AD12" s="2556"/>
    </row>
    <row r="13" spans="1:30">
      <c r="A13" s="2915" t="s">
        <v>498</v>
      </c>
      <c r="B13" s="2916" t="s">
        <v>499</v>
      </c>
      <c r="C13" s="2917"/>
      <c r="D13" s="2917">
        <v>55951</v>
      </c>
      <c r="E13" s="2917"/>
      <c r="F13" s="2917"/>
      <c r="G13" s="2917"/>
      <c r="H13" s="2917"/>
      <c r="I13" s="2917"/>
      <c r="J13" s="2972"/>
      <c r="K13" s="2967"/>
      <c r="L13" s="2967"/>
      <c r="M13" s="2517"/>
      <c r="N13" s="2342"/>
      <c r="O13" s="2517"/>
      <c r="P13" s="2517"/>
      <c r="Q13" s="2517"/>
      <c r="AD13" s="2556"/>
    </row>
    <row r="14" spans="1:30">
      <c r="A14" s="1857"/>
      <c r="B14" s="2916" t="s">
        <v>500</v>
      </c>
      <c r="C14" s="2918"/>
      <c r="D14" s="2918">
        <v>40</v>
      </c>
      <c r="E14" s="2918"/>
      <c r="F14" s="2918"/>
      <c r="G14" s="2918"/>
      <c r="H14" s="2918"/>
      <c r="I14" s="2918"/>
      <c r="J14" s="2973"/>
      <c r="K14" s="2967"/>
      <c r="L14" s="2967"/>
      <c r="M14" s="2517"/>
      <c r="N14" s="2342"/>
      <c r="O14" s="2517"/>
      <c r="P14" s="2517"/>
      <c r="Q14" s="2517"/>
      <c r="AD14" s="2556"/>
    </row>
    <row r="15" spans="1:30">
      <c r="A15" s="1864"/>
      <c r="B15" s="2919" t="s">
        <v>501</v>
      </c>
      <c r="C15" s="2920" t="str">
        <f>IF(A13="出让",IF(C13="","",ROUNDDOWN(MIN((C13-$D$3)/365,C14),2)),C14)</f>
        <v/>
      </c>
      <c r="D15" s="2920">
        <f>IF(A13="出让",IF(D13="","",ROUNDDOWN(MIN((D13-$D$3)/365,D14),2)),D14)</f>
        <v>27.47</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42"/>
      <c r="L15" s="2342"/>
      <c r="M15" s="2517"/>
      <c r="N15" s="2342"/>
      <c r="O15" s="2517"/>
      <c r="P15" s="2517"/>
      <c r="Q15" s="2517"/>
      <c r="AD15" s="2556"/>
    </row>
    <row r="16" spans="1:30">
      <c r="A16" s="2905" t="s">
        <v>502</v>
      </c>
      <c r="B16" s="3239"/>
      <c r="C16" s="3240"/>
      <c r="D16" s="3241"/>
      <c r="E16" s="2921" t="s">
        <v>503</v>
      </c>
      <c r="F16" s="3242"/>
      <c r="G16" s="3243"/>
      <c r="H16" s="3243"/>
      <c r="I16" s="3244"/>
      <c r="J16" s="2517"/>
      <c r="K16" s="2975"/>
      <c r="L16" s="2342"/>
      <c r="M16" s="2342"/>
      <c r="N16" s="2517"/>
      <c r="O16" s="2342"/>
      <c r="P16" s="2517"/>
      <c r="Q16" s="2517"/>
      <c r="R16" s="2517"/>
    </row>
    <row r="17" spans="1:28">
      <c r="A17" s="1840" t="s">
        <v>504</v>
      </c>
      <c r="B17" s="1829" t="s">
        <v>505</v>
      </c>
      <c r="C17" s="953">
        <f>'数据-汇总表'!E3</f>
        <v>922.16</v>
      </c>
      <c r="D17" s="1883" t="s">
        <v>506</v>
      </c>
      <c r="E17" s="3245" t="s">
        <v>507</v>
      </c>
      <c r="F17" s="3246"/>
      <c r="G17" s="3246"/>
      <c r="H17" s="3246"/>
      <c r="I17" s="3247"/>
      <c r="J17" s="2517"/>
      <c r="K17" s="2976"/>
      <c r="L17" s="2342"/>
      <c r="M17" s="2342"/>
      <c r="N17" s="2517"/>
      <c r="O17" s="2342"/>
      <c r="P17" s="2517"/>
      <c r="Q17" s="2517"/>
      <c r="R17" s="2517"/>
      <c r="S17" s="2517"/>
      <c r="T17" s="2517"/>
      <c r="U17" s="2517"/>
      <c r="V17" s="2517"/>
    </row>
    <row r="18" spans="1:28" ht="24">
      <c r="A18" s="2922" t="s">
        <v>508</v>
      </c>
      <c r="B18" s="1852" t="s">
        <v>509</v>
      </c>
      <c r="C18" s="2923">
        <f>'数据-汇总表'!D3</f>
        <v>0</v>
      </c>
      <c r="D18" s="1876" t="s">
        <v>506</v>
      </c>
      <c r="E18" s="3248" t="s">
        <v>510</v>
      </c>
      <c r="F18" s="3249"/>
      <c r="G18" s="3249"/>
      <c r="H18" s="3249"/>
      <c r="I18" s="3250"/>
      <c r="J18" s="2517"/>
      <c r="K18" s="2976"/>
      <c r="L18" s="2342"/>
      <c r="M18" s="2342"/>
      <c r="N18" s="2517"/>
      <c r="O18" s="2342"/>
      <c r="P18" s="2517"/>
      <c r="Q18" s="2517"/>
      <c r="R18" s="2517"/>
      <c r="S18" s="2517"/>
      <c r="T18" s="2517"/>
      <c r="U18" s="2517"/>
      <c r="V18" s="2517"/>
    </row>
    <row r="19" spans="1:28" ht="36">
      <c r="A19" s="1893" t="s">
        <v>511</v>
      </c>
      <c r="B19" s="1833" t="s">
        <v>512</v>
      </c>
      <c r="C19" s="2924"/>
      <c r="D19" s="2925" t="s">
        <v>513</v>
      </c>
      <c r="E19" s="2926"/>
      <c r="F19" s="2927" t="str">
        <f>IF(AND(C19="是",E19="否"),"是否提供他项权证或相关说明","")</f>
        <v/>
      </c>
      <c r="G19" s="2928"/>
      <c r="H19" s="2655"/>
      <c r="I19" s="2655"/>
      <c r="J19" s="2517"/>
      <c r="K19" s="2968"/>
      <c r="L19" s="2967"/>
      <c r="M19" s="2967"/>
      <c r="N19" s="2517"/>
      <c r="O19" s="2342"/>
      <c r="P19" s="2517"/>
      <c r="Q19" s="2517"/>
      <c r="R19" s="2517"/>
      <c r="S19" s="2517"/>
      <c r="T19" s="2517"/>
      <c r="U19" s="2517"/>
      <c r="V19" s="2517"/>
    </row>
    <row r="20" spans="1:28">
      <c r="A20" s="2929" t="s">
        <v>514</v>
      </c>
      <c r="B20" s="3255" t="s">
        <v>515</v>
      </c>
      <c r="C20" s="3256"/>
      <c r="D20" s="3257" t="s">
        <v>516</v>
      </c>
      <c r="E20" s="3258"/>
      <c r="F20" s="2930" t="s">
        <v>517</v>
      </c>
      <c r="G20" s="2655"/>
      <c r="H20" s="2655"/>
      <c r="I20" s="2655"/>
      <c r="J20" s="2517"/>
      <c r="K20" s="3253"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41"/>
      <c r="P20" s="2876"/>
      <c r="Q20" s="2876"/>
      <c r="R20" s="2876"/>
      <c r="S20" s="2876"/>
      <c r="T20" s="2876"/>
      <c r="U20" s="2876"/>
      <c r="V20" s="2876"/>
      <c r="W20" s="2556"/>
      <c r="X20" s="2556"/>
      <c r="Y20" s="2556"/>
      <c r="Z20" s="2556"/>
      <c r="AA20" s="2556"/>
      <c r="AB20" s="2556"/>
    </row>
    <row r="21" spans="1:28" ht="36">
      <c r="A21" s="2929"/>
      <c r="B21" s="2931" t="s">
        <v>519</v>
      </c>
      <c r="C21" s="2543" t="s">
        <v>520</v>
      </c>
      <c r="D21" s="2932" t="s">
        <v>521</v>
      </c>
      <c r="E21" s="2933" t="s">
        <v>520</v>
      </c>
      <c r="F21" s="2934"/>
      <c r="G21" s="2655"/>
      <c r="H21" s="2655"/>
      <c r="I21" s="2655"/>
      <c r="J21" s="2517"/>
      <c r="K21" s="3253"/>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41"/>
      <c r="P21" s="2876"/>
      <c r="Q21" s="2876"/>
      <c r="R21" s="2876"/>
      <c r="S21" s="2876"/>
      <c r="T21" s="2876"/>
      <c r="U21" s="2876"/>
      <c r="V21" s="2876"/>
      <c r="W21" s="2556"/>
      <c r="X21" s="2556"/>
      <c r="Y21" s="2556"/>
      <c r="Z21" s="2556"/>
      <c r="AA21" s="2556"/>
      <c r="AB21" s="2556"/>
    </row>
    <row r="22" spans="1:28" ht="36">
      <c r="A22" s="2929"/>
      <c r="B22" s="2935" t="s">
        <v>522</v>
      </c>
      <c r="C22" s="2543" t="s">
        <v>523</v>
      </c>
      <c r="D22" s="2655"/>
      <c r="E22" s="2655"/>
      <c r="F22" s="2655"/>
      <c r="G22" s="2655"/>
      <c r="H22" s="2655"/>
      <c r="I22" s="2655"/>
      <c r="J22" s="2517"/>
      <c r="K22" s="3253"/>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41"/>
      <c r="P22" s="2876"/>
      <c r="Q22" s="2876"/>
      <c r="R22" s="2876"/>
      <c r="S22" s="2876"/>
      <c r="T22" s="2876"/>
      <c r="U22" s="2876"/>
      <c r="V22" s="2876"/>
      <c r="W22" s="2556"/>
      <c r="X22" s="2556"/>
      <c r="Y22" s="2556"/>
      <c r="Z22" s="2556"/>
      <c r="AA22" s="2556"/>
      <c r="AB22" s="2556"/>
    </row>
    <row r="23" spans="1:28">
      <c r="A23" s="2936" t="s">
        <v>524</v>
      </c>
      <c r="B23" s="2540" t="s">
        <v>525</v>
      </c>
      <c r="C23" s="2937"/>
      <c r="D23" s="2938" t="s">
        <v>525</v>
      </c>
      <c r="E23" s="2939"/>
      <c r="F23" s="2655"/>
      <c r="G23" s="2655"/>
      <c r="H23" s="2655"/>
      <c r="I23" s="2655"/>
      <c r="J23" s="2517"/>
      <c r="K23" s="2966"/>
      <c r="L23" s="939"/>
      <c r="M23" s="2967"/>
      <c r="N23" s="2517"/>
      <c r="O23" s="2342"/>
      <c r="P23" s="2517"/>
      <c r="Q23" s="2517"/>
      <c r="R23" s="2517"/>
      <c r="S23" s="2517"/>
      <c r="T23" s="2517"/>
      <c r="U23" s="2517"/>
      <c r="V23" s="2517"/>
    </row>
    <row r="24" spans="1:28">
      <c r="A24" s="2936"/>
      <c r="B24" s="2540" t="s">
        <v>526</v>
      </c>
      <c r="C24" s="2516"/>
      <c r="D24" s="2936" t="s">
        <v>526</v>
      </c>
      <c r="E24" s="2940"/>
      <c r="F24" s="2655"/>
      <c r="G24" s="2655"/>
      <c r="H24" s="2655"/>
      <c r="I24" s="2655"/>
      <c r="J24" s="2517"/>
      <c r="K24" s="2966"/>
      <c r="L24" s="939"/>
      <c r="M24" s="2967"/>
      <c r="N24" s="2517"/>
      <c r="O24" s="2342"/>
      <c r="P24" s="2517"/>
      <c r="Q24" s="2517"/>
      <c r="R24" s="2517"/>
      <c r="S24" s="2517"/>
      <c r="T24" s="2517"/>
      <c r="U24" s="2517"/>
      <c r="V24" s="2517"/>
    </row>
    <row r="25" spans="1:28">
      <c r="A25" s="2936"/>
      <c r="B25" s="2540" t="s">
        <v>527</v>
      </c>
      <c r="C25" s="2516"/>
      <c r="D25" s="2936" t="s">
        <v>527</v>
      </c>
      <c r="E25" s="2940"/>
      <c r="F25" s="2655"/>
      <c r="G25" s="2655"/>
      <c r="H25" s="2655"/>
      <c r="I25" s="2655"/>
      <c r="J25" s="2517"/>
      <c r="K25" s="2968"/>
      <c r="L25" s="2967"/>
      <c r="M25" s="2967"/>
      <c r="N25" s="2517"/>
      <c r="O25" s="2342"/>
      <c r="P25" s="2517"/>
      <c r="Q25" s="2517"/>
      <c r="R25" s="2517"/>
      <c r="S25" s="2517"/>
      <c r="T25" s="2517"/>
      <c r="U25" s="2517"/>
      <c r="V25" s="2517"/>
    </row>
    <row r="26" spans="1:28">
      <c r="A26" s="2941"/>
      <c r="B26" s="2942" t="s">
        <v>528</v>
      </c>
      <c r="C26" s="2943"/>
      <c r="D26" s="2941" t="s">
        <v>528</v>
      </c>
      <c r="E26" s="2944"/>
      <c r="F26" s="2901"/>
      <c r="G26" s="2901"/>
      <c r="H26" s="2901"/>
      <c r="I26" s="2901"/>
      <c r="J26" s="2517"/>
      <c r="K26" s="2968"/>
      <c r="L26" s="2967"/>
      <c r="M26" s="2967"/>
      <c r="N26" s="2517"/>
      <c r="O26" s="2342"/>
      <c r="P26" s="2517"/>
      <c r="Q26" s="2517"/>
      <c r="R26" s="2517"/>
      <c r="S26" s="2517"/>
      <c r="T26" s="2517"/>
      <c r="U26" s="2517"/>
      <c r="V26" s="2517"/>
    </row>
    <row r="27" spans="1:28">
      <c r="A27" s="3232" t="s">
        <v>529</v>
      </c>
      <c r="B27" s="1864" t="s">
        <v>530</v>
      </c>
      <c r="C27" s="2945"/>
      <c r="D27" s="2946"/>
      <c r="E27" s="2655"/>
      <c r="F27" s="2655"/>
      <c r="G27" s="2655"/>
      <c r="H27" s="2655"/>
      <c r="I27" s="2655"/>
      <c r="J27" s="2517"/>
      <c r="K27" s="2975"/>
      <c r="L27" s="2342"/>
      <c r="M27" s="2342"/>
      <c r="N27" s="2517"/>
      <c r="O27" s="2342"/>
      <c r="P27" s="2517"/>
      <c r="Q27" s="2517"/>
      <c r="R27" s="2517"/>
      <c r="S27" s="2517"/>
      <c r="T27" s="2517"/>
      <c r="U27" s="2517"/>
      <c r="V27" s="2517"/>
    </row>
    <row r="28" spans="1:28">
      <c r="A28" s="3232"/>
      <c r="B28" s="1829" t="s">
        <v>531</v>
      </c>
      <c r="C28" s="2947"/>
      <c r="D28" s="2948"/>
      <c r="E28" s="2655"/>
      <c r="F28" s="2655"/>
      <c r="G28" s="2655"/>
      <c r="H28" s="2655"/>
      <c r="I28" s="2655"/>
      <c r="J28" s="2517"/>
      <c r="K28" s="2968"/>
      <c r="L28" s="2967"/>
      <c r="M28" s="2967"/>
      <c r="N28" s="2517"/>
      <c r="O28" s="2342"/>
      <c r="P28" s="2517"/>
      <c r="Q28" s="2517"/>
      <c r="R28" s="2517"/>
      <c r="S28" s="2517"/>
      <c r="T28" s="2517"/>
      <c r="U28" s="2517"/>
      <c r="V28" s="2517"/>
    </row>
    <row r="29" spans="1:28">
      <c r="A29" s="3232"/>
      <c r="B29" s="1829" t="s">
        <v>532</v>
      </c>
      <c r="C29" s="2949"/>
      <c r="D29" s="2950"/>
      <c r="E29" s="2655"/>
      <c r="F29" s="2655"/>
      <c r="G29" s="2655"/>
      <c r="H29" s="2655"/>
      <c r="I29" s="2655"/>
      <c r="J29" s="2517"/>
      <c r="K29" s="2968"/>
      <c r="L29" s="2967"/>
      <c r="M29" s="2967"/>
      <c r="N29" s="2517"/>
      <c r="O29" s="2342"/>
      <c r="P29" s="2517"/>
      <c r="Q29" s="2517"/>
      <c r="R29" s="2517"/>
      <c r="S29" s="2517"/>
      <c r="T29" s="2517"/>
      <c r="U29" s="2517"/>
      <c r="V29" s="2517"/>
    </row>
    <row r="30" spans="1:28">
      <c r="A30" s="3233"/>
      <c r="B30" s="1829" t="s">
        <v>533</v>
      </c>
      <c r="C30" s="3259"/>
      <c r="D30" s="3260"/>
      <c r="E30" s="2655"/>
      <c r="F30" s="2655"/>
      <c r="G30" s="2655"/>
      <c r="H30" s="2655"/>
      <c r="I30" s="2655"/>
      <c r="J30" s="2517"/>
      <c r="K30" s="2968"/>
      <c r="L30" s="2967"/>
      <c r="M30" s="2967"/>
      <c r="N30" s="2517"/>
      <c r="O30" s="2342"/>
      <c r="P30" s="2517"/>
      <c r="Q30" s="2517"/>
      <c r="R30" s="2517"/>
      <c r="S30" s="2517"/>
      <c r="T30" s="2517"/>
      <c r="U30" s="2517"/>
      <c r="V30" s="2517"/>
    </row>
    <row r="31" spans="1:28">
      <c r="A31" s="3234" t="s">
        <v>534</v>
      </c>
      <c r="B31" s="2951"/>
      <c r="C31" s="1978" t="str">
        <f>IF(B31="现房","成新及维护状况正常否",IF(B31="在建","工程状态是否正常",IF(B31="土地","是否闲置","-")))</f>
        <v>-</v>
      </c>
      <c r="D31" s="1943"/>
      <c r="E31" s="2952"/>
      <c r="F31" s="2655"/>
      <c r="G31" s="2655"/>
      <c r="H31" s="2655"/>
      <c r="I31" s="2655"/>
      <c r="J31" s="2517"/>
      <c r="K31" s="2966"/>
      <c r="L31" s="2967"/>
      <c r="M31" s="2967"/>
      <c r="N31" s="2517"/>
      <c r="O31" s="2342"/>
      <c r="P31" s="2517"/>
      <c r="Q31" s="2517"/>
      <c r="R31" s="2517"/>
      <c r="S31" s="2517"/>
      <c r="T31" s="2517"/>
      <c r="U31" s="2517"/>
      <c r="V31" s="2517"/>
    </row>
    <row r="32" spans="1:28">
      <c r="A32" s="3235"/>
      <c r="B32" s="2951"/>
      <c r="C32" s="1978" t="str">
        <f>IF(B32="现房","成新及维护状况是否正常",IF(B32="在建","工程状态是否正常",IF(B32="土地","是否闲置","-")))</f>
        <v>-</v>
      </c>
      <c r="D32" s="1943"/>
      <c r="E32" s="2952"/>
      <c r="F32" s="2655"/>
      <c r="G32" s="2655"/>
      <c r="H32" s="2655"/>
      <c r="I32" s="2655"/>
      <c r="J32" s="2517"/>
      <c r="K32" s="2968"/>
      <c r="L32" s="2967"/>
      <c r="M32" s="2967"/>
      <c r="N32" s="2517"/>
      <c r="O32" s="2342"/>
      <c r="P32" s="2517"/>
      <c r="Q32" s="2517"/>
      <c r="R32" s="2517"/>
      <c r="S32" s="2517"/>
      <c r="T32" s="2517"/>
      <c r="U32" s="2517"/>
      <c r="V32" s="2517"/>
    </row>
    <row r="33" spans="1:30">
      <c r="A33" s="3235"/>
      <c r="B33" s="2953"/>
      <c r="C33" s="2321" t="str">
        <f>IF(B33="现房","成新及维护状况是否正常",IF(B33="在建","工程状态是否正常",IF(B33="土地","是否闲置","-")))</f>
        <v>-</v>
      </c>
      <c r="D33" s="1838"/>
      <c r="E33" s="2954"/>
      <c r="F33" s="2655"/>
      <c r="G33" s="2655"/>
      <c r="H33" s="2655"/>
      <c r="I33" s="2655"/>
      <c r="J33" s="2517"/>
      <c r="K33" s="2968"/>
      <c r="L33" s="2967"/>
      <c r="M33" s="2967"/>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54" t="s">
        <v>543</v>
      </c>
      <c r="T34" s="1871" t="str">
        <f>NUMBERSTRING(7-K34,1)&amp;"通"</f>
        <v>七通</v>
      </c>
      <c r="U34" s="2517"/>
      <c r="V34" s="2517"/>
    </row>
    <row r="35" spans="1:30">
      <c r="A35" s="2955"/>
      <c r="B35" s="3254" t="s">
        <v>544</v>
      </c>
      <c r="C35" s="3254"/>
      <c r="D35" s="3254"/>
      <c r="E35" s="3254"/>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54"/>
      <c r="T35" s="899" t="str">
        <f>IF(T34="一通",L35,IF(T34="二通",M35,IF(T34="三通",N35,IF(T34="四通",O35,IF(T34="五通",P35,IF(T34="六通",Q35,R35))))))</f>
        <v>、、、、、、</v>
      </c>
      <c r="U35" s="2517"/>
      <c r="V35" s="2517"/>
    </row>
    <row r="36" spans="1:30">
      <c r="A36" s="2956"/>
      <c r="B36" s="953" t="s">
        <v>493</v>
      </c>
      <c r="C36" s="953" t="s">
        <v>494</v>
      </c>
      <c r="D36" s="953" t="s">
        <v>492</v>
      </c>
      <c r="E36" s="953" t="s">
        <v>497</v>
      </c>
      <c r="F36" s="2957" t="s">
        <v>231</v>
      </c>
      <c r="G36" s="2655"/>
      <c r="H36" s="2655"/>
      <c r="I36" s="2655"/>
      <c r="J36" s="2517"/>
      <c r="K36" s="2968"/>
      <c r="L36" s="2967"/>
      <c r="M36" s="2967"/>
      <c r="N36" s="2517"/>
      <c r="O36" s="2342"/>
      <c r="P36" s="2517"/>
      <c r="Q36" s="2517"/>
      <c r="R36" s="2517"/>
      <c r="S36" s="2517"/>
      <c r="T36" s="2517"/>
      <c r="U36" s="2517"/>
      <c r="V36" s="2517"/>
    </row>
    <row r="37" spans="1:30">
      <c r="A37" s="2958" t="s">
        <v>545</v>
      </c>
      <c r="B37" s="2959" t="s">
        <v>275</v>
      </c>
      <c r="C37" s="2959"/>
      <c r="D37" s="2959"/>
      <c r="E37" s="2959"/>
      <c r="F37" s="2959"/>
      <c r="G37" s="2655"/>
      <c r="H37" s="2655"/>
      <c r="I37" s="2655"/>
      <c r="J37" s="2517"/>
      <c r="K37" s="2968"/>
      <c r="L37" s="2967"/>
      <c r="M37" s="2967"/>
      <c r="N37" s="2517"/>
      <c r="O37" s="2342"/>
      <c r="P37" s="2517"/>
      <c r="Q37" s="2517"/>
      <c r="R37" s="2517"/>
      <c r="S37" s="2517"/>
      <c r="T37" s="2517"/>
      <c r="U37" s="2517"/>
      <c r="V37" s="2517"/>
    </row>
    <row r="38" spans="1:30">
      <c r="A38" s="2960" t="s">
        <v>546</v>
      </c>
      <c r="B38" s="2961" t="s">
        <v>547</v>
      </c>
      <c r="C38" s="2961"/>
      <c r="D38" s="2961"/>
      <c r="E38" s="2961"/>
      <c r="F38" s="2961"/>
      <c r="G38" s="2901"/>
      <c r="H38" s="2901"/>
      <c r="I38" s="2901"/>
      <c r="J38" s="2517"/>
      <c r="K38" s="2968"/>
      <c r="L38" s="2967"/>
      <c r="M38" s="2967"/>
      <c r="N38" s="2517"/>
      <c r="O38" s="2342"/>
      <c r="P38" s="2517"/>
      <c r="Q38" s="2517"/>
      <c r="R38" s="2517"/>
      <c r="S38" s="2517"/>
      <c r="T38" s="2517"/>
      <c r="U38" s="2517"/>
      <c r="V38" s="2517"/>
    </row>
    <row r="39" spans="1:30" s="2872" customFormat="1">
      <c r="A39" s="2962" t="s">
        <v>548</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41"/>
      <c r="J40" s="2517"/>
      <c r="K40" s="2966"/>
      <c r="L40" s="2342"/>
      <c r="M40" s="2342"/>
      <c r="N40" s="2517"/>
      <c r="O40" s="2342"/>
      <c r="P40" s="2517"/>
      <c r="Q40" s="2517"/>
      <c r="R40" s="2517"/>
      <c r="S40" s="2517"/>
      <c r="T40" s="2517"/>
      <c r="U40" s="2517"/>
      <c r="V40" s="2517"/>
    </row>
    <row r="41" spans="1:30">
      <c r="A41" s="2964" t="s">
        <v>549</v>
      </c>
      <c r="B41" s="2230"/>
      <c r="C41" s="1943"/>
      <c r="D41" s="2876"/>
      <c r="E41" s="2876"/>
      <c r="F41" s="2876"/>
      <c r="G41" s="2876"/>
      <c r="H41" s="2876"/>
      <c r="I41" s="2341"/>
      <c r="J41" s="2517"/>
      <c r="K41" s="2968"/>
      <c r="L41" s="2967"/>
      <c r="M41" s="2967"/>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0" t="s">
        <v>559</v>
      </c>
      <c r="K42" s="2981" t="s">
        <v>560</v>
      </c>
      <c r="L42" s="2981" t="s">
        <v>561</v>
      </c>
      <c r="M42" s="2981" t="s">
        <v>562</v>
      </c>
      <c r="N42" s="2982" t="s">
        <v>563</v>
      </c>
      <c r="O42" s="2982" t="s">
        <v>564</v>
      </c>
      <c r="P42" s="2982" t="s">
        <v>565</v>
      </c>
      <c r="Q42" s="2987" t="s">
        <v>566</v>
      </c>
      <c r="R42" s="2987" t="s">
        <v>567</v>
      </c>
      <c r="S42" s="2517"/>
      <c r="T42" s="2517"/>
      <c r="U42" s="2517"/>
      <c r="V42" s="2517"/>
    </row>
    <row r="43" spans="1:30" s="2728" customFormat="1">
      <c r="A43" s="2819"/>
      <c r="B43" s="908"/>
      <c r="C43" s="908"/>
      <c r="D43" s="908"/>
      <c r="E43" s="908"/>
      <c r="F43" s="908"/>
      <c r="G43" s="908"/>
      <c r="H43" s="908"/>
      <c r="I43" s="908"/>
      <c r="J43" s="2983"/>
      <c r="K43" s="2984"/>
      <c r="L43" s="2984"/>
      <c r="M43" s="908"/>
      <c r="N43" s="908"/>
      <c r="O43" s="908"/>
      <c r="P43" s="908"/>
      <c r="Q43" s="908"/>
      <c r="R43" s="908"/>
      <c r="S43" s="2517"/>
      <c r="T43" s="2517"/>
      <c r="U43" s="2517"/>
      <c r="V43" s="2517"/>
    </row>
    <row r="44" spans="1:30" s="2728" customFormat="1">
      <c r="A44" s="2819"/>
      <c r="B44" s="2819"/>
      <c r="C44" s="908"/>
      <c r="D44" s="908"/>
      <c r="E44" s="908"/>
      <c r="F44" s="908"/>
      <c r="G44" s="908"/>
      <c r="H44" s="908"/>
      <c r="I44" s="908"/>
      <c r="J44" s="2983"/>
      <c r="K44" s="2984"/>
      <c r="L44" s="2984"/>
      <c r="M44" s="908"/>
      <c r="N44" s="908"/>
      <c r="O44" s="908"/>
      <c r="P44" s="908"/>
      <c r="Q44" s="908"/>
      <c r="R44" s="908"/>
      <c r="S44" s="2517"/>
      <c r="T44" s="2517"/>
      <c r="U44" s="2517"/>
      <c r="V44" s="2517"/>
    </row>
    <row r="45" spans="1:30" s="2728" customFormat="1">
      <c r="A45" s="2819"/>
      <c r="B45" s="2819"/>
      <c r="C45" s="908"/>
      <c r="D45" s="908"/>
      <c r="E45" s="908"/>
      <c r="F45" s="908"/>
      <c r="G45" s="908"/>
      <c r="H45" s="908"/>
      <c r="I45" s="908"/>
      <c r="J45" s="2983"/>
      <c r="K45" s="2984"/>
      <c r="L45" s="2984"/>
      <c r="M45" s="908"/>
      <c r="N45" s="908"/>
      <c r="O45" s="908"/>
      <c r="P45" s="908"/>
      <c r="Q45" s="908"/>
      <c r="R45" s="908"/>
      <c r="S45" s="2517"/>
      <c r="T45" s="2517"/>
      <c r="U45" s="2517"/>
      <c r="V45" s="2517"/>
    </row>
    <row r="46" spans="1:30" s="2728" customFormat="1">
      <c r="A46" s="2819"/>
      <c r="B46" s="2819"/>
      <c r="C46" s="908"/>
      <c r="D46" s="908"/>
      <c r="E46" s="908"/>
      <c r="F46" s="908"/>
      <c r="G46" s="908"/>
      <c r="H46" s="908"/>
      <c r="I46" s="908"/>
      <c r="J46" s="2983"/>
      <c r="K46" s="2984"/>
      <c r="L46" s="2984"/>
      <c r="M46" s="908"/>
      <c r="N46" s="908"/>
      <c r="O46" s="908"/>
      <c r="P46" s="908"/>
      <c r="Q46" s="908"/>
      <c r="R46" s="908"/>
      <c r="S46" s="2517"/>
      <c r="T46" s="2517"/>
      <c r="U46" s="2517"/>
      <c r="V46" s="2517"/>
    </row>
    <row r="47" spans="1:30" s="2728" customFormat="1">
      <c r="A47" s="2819"/>
      <c r="B47" s="2819"/>
      <c r="C47" s="908"/>
      <c r="D47" s="908"/>
      <c r="E47" s="908"/>
      <c r="F47" s="908"/>
      <c r="G47" s="908"/>
      <c r="H47" s="908"/>
      <c r="I47" s="908"/>
      <c r="J47" s="2983"/>
      <c r="K47" s="2984"/>
      <c r="L47" s="2984"/>
      <c r="M47" s="908"/>
      <c r="N47" s="908"/>
      <c r="O47" s="908"/>
      <c r="P47" s="908"/>
      <c r="Q47" s="908"/>
      <c r="R47" s="908"/>
      <c r="S47" s="2517"/>
      <c r="T47" s="2517"/>
      <c r="U47" s="2517"/>
      <c r="V47" s="2517"/>
    </row>
    <row r="48" spans="1:30" s="2728" customFormat="1">
      <c r="A48" s="2819"/>
      <c r="B48" s="2819"/>
      <c r="C48" s="908"/>
      <c r="D48" s="908"/>
      <c r="E48" s="908"/>
      <c r="F48" s="908"/>
      <c r="G48" s="908"/>
      <c r="H48" s="908"/>
      <c r="I48" s="908"/>
      <c r="J48" s="2983"/>
      <c r="K48" s="2984"/>
      <c r="L48" s="2984"/>
      <c r="M48" s="908"/>
      <c r="N48" s="908"/>
      <c r="O48" s="908"/>
      <c r="P48" s="908"/>
      <c r="Q48" s="908"/>
      <c r="R48" s="908"/>
      <c r="S48" s="2517"/>
      <c r="T48" s="2517"/>
      <c r="U48" s="2517"/>
      <c r="V48" s="2517"/>
    </row>
    <row r="49" spans="1:22" s="2728" customFormat="1">
      <c r="A49" s="2819"/>
      <c r="B49" s="2819"/>
      <c r="C49" s="908"/>
      <c r="D49" s="908"/>
      <c r="E49" s="908"/>
      <c r="F49" s="908"/>
      <c r="G49" s="908"/>
      <c r="H49" s="908"/>
      <c r="I49" s="908"/>
      <c r="J49" s="2983"/>
      <c r="K49" s="2984"/>
      <c r="L49" s="2984"/>
      <c r="M49" s="908"/>
      <c r="N49" s="908"/>
      <c r="O49" s="908"/>
      <c r="P49" s="908"/>
      <c r="Q49" s="908"/>
      <c r="R49" s="908"/>
      <c r="S49" s="2517"/>
      <c r="T49" s="2517"/>
      <c r="U49" s="2517"/>
      <c r="V49" s="2517"/>
    </row>
    <row r="50" spans="1:22" s="2728" customFormat="1">
      <c r="A50" s="2819"/>
      <c r="B50" s="2819"/>
      <c r="C50" s="908"/>
      <c r="D50" s="908"/>
      <c r="E50" s="908"/>
      <c r="F50" s="908"/>
      <c r="G50" s="908"/>
      <c r="H50" s="908"/>
      <c r="I50" s="908"/>
      <c r="J50" s="2983"/>
      <c r="K50" s="2984"/>
      <c r="L50" s="2984"/>
      <c r="M50" s="908"/>
      <c r="N50" s="908"/>
      <c r="O50" s="908"/>
      <c r="P50" s="908"/>
      <c r="Q50" s="908"/>
      <c r="R50" s="908"/>
      <c r="S50" s="2517"/>
      <c r="T50" s="2517"/>
      <c r="U50" s="2517"/>
      <c r="V50" s="2517"/>
    </row>
    <row r="51" spans="1:22" s="2728" customFormat="1">
      <c r="A51" s="2819"/>
      <c r="B51" s="2819"/>
      <c r="C51" s="908"/>
      <c r="D51" s="908"/>
      <c r="E51" s="908"/>
      <c r="F51" s="908"/>
      <c r="G51" s="908"/>
      <c r="H51" s="908"/>
      <c r="I51" s="908"/>
      <c r="J51" s="2983"/>
      <c r="K51" s="2984"/>
      <c r="L51" s="2984"/>
      <c r="M51" s="908"/>
      <c r="N51" s="908"/>
      <c r="O51" s="908"/>
      <c r="P51" s="908"/>
      <c r="Q51" s="908"/>
      <c r="R51" s="908"/>
    </row>
    <row r="52" spans="1:22" s="2728" customFormat="1">
      <c r="A52" s="2819"/>
      <c r="B52" s="2819"/>
      <c r="C52" s="2819"/>
      <c r="D52" s="2819"/>
      <c r="E52" s="2819"/>
      <c r="F52" s="908"/>
      <c r="G52" s="2819"/>
      <c r="H52" s="2819"/>
      <c r="I52" s="2819"/>
      <c r="J52" s="2985"/>
      <c r="K52" s="2984"/>
      <c r="L52" s="2984"/>
      <c r="M52" s="2984"/>
      <c r="N52" s="2819"/>
      <c r="O52" s="2819"/>
      <c r="P52" s="2819"/>
      <c r="Q52" s="2819"/>
      <c r="R52" s="2819"/>
    </row>
    <row r="53" spans="1:22" s="2728" customFormat="1">
      <c r="A53" s="2819"/>
      <c r="B53" s="2819"/>
      <c r="C53" s="2819"/>
      <c r="D53" s="2819"/>
      <c r="E53" s="2819"/>
      <c r="F53" s="908"/>
      <c r="G53" s="2819"/>
      <c r="H53" s="2819"/>
      <c r="I53" s="2819"/>
      <c r="J53" s="2985"/>
      <c r="K53" s="2984"/>
      <c r="L53" s="2984"/>
      <c r="M53" s="2984"/>
      <c r="N53" s="2819"/>
      <c r="O53" s="2819"/>
      <c r="P53" s="2819"/>
      <c r="Q53" s="2819"/>
      <c r="R53" s="2819"/>
    </row>
    <row r="54" spans="1:22" s="2728" customFormat="1">
      <c r="A54" s="2819"/>
      <c r="B54" s="2819"/>
      <c r="C54" s="2819"/>
      <c r="D54" s="2819"/>
      <c r="E54" s="2819"/>
      <c r="F54" s="908"/>
      <c r="G54" s="2819"/>
      <c r="H54" s="2819"/>
      <c r="I54" s="2819"/>
      <c r="J54" s="2985"/>
      <c r="K54" s="2984"/>
      <c r="L54" s="2984"/>
      <c r="M54" s="2984"/>
      <c r="N54" s="2819"/>
      <c r="O54" s="2819"/>
      <c r="P54" s="2819"/>
      <c r="Q54" s="2819"/>
      <c r="R54" s="2819"/>
    </row>
    <row r="55" spans="1:22" s="2728" customFormat="1">
      <c r="A55" s="2819"/>
      <c r="B55" s="2819"/>
      <c r="C55" s="2819"/>
      <c r="D55" s="2819"/>
      <c r="E55" s="2819"/>
      <c r="F55" s="908"/>
      <c r="G55" s="2819"/>
      <c r="H55" s="2819"/>
      <c r="I55" s="2819"/>
      <c r="J55" s="2985"/>
      <c r="K55" s="2984"/>
      <c r="L55" s="2984"/>
      <c r="M55" s="2984"/>
      <c r="N55" s="2819"/>
      <c r="O55" s="2819"/>
      <c r="P55" s="2819"/>
      <c r="Q55" s="2819"/>
      <c r="R55" s="2819"/>
    </row>
    <row r="56" spans="1:22" s="2728" customFormat="1">
      <c r="A56" s="2819"/>
      <c r="B56" s="2819"/>
      <c r="C56" s="2819"/>
      <c r="D56" s="2819"/>
      <c r="E56" s="2819"/>
      <c r="F56" s="908"/>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4"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1" t="s">
        <v>571</v>
      </c>
      <c r="AZ2" s="2852"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2" customFormat="1" ht="13.2">
      <c r="A3" s="2797"/>
      <c r="B3" s="2798">
        <f>IF(C3="否",G5-AT5,G5)</f>
        <v>922.16</v>
      </c>
      <c r="C3" s="2799"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3"/>
      <c r="AZ3" s="908"/>
      <c r="BA3" s="2840"/>
      <c r="BB3" s="2341"/>
      <c r="BC3" s="2341"/>
      <c r="BD3" s="2341"/>
      <c r="BE3" s="2341"/>
      <c r="BF3" s="2341"/>
      <c r="BG3" s="2341"/>
      <c r="BH3" s="2341"/>
      <c r="BI3" s="2341"/>
      <c r="BJ3" s="2341"/>
      <c r="BK3" s="2341"/>
      <c r="BL3" s="2341"/>
      <c r="BM3" s="2341"/>
      <c r="BN3" s="2341"/>
      <c r="BO3" s="2341"/>
      <c r="BP3" s="2341"/>
      <c r="BQ3" s="2341"/>
      <c r="BR3" s="2341"/>
      <c r="BS3" s="2341"/>
      <c r="BT3" s="2341"/>
    </row>
    <row r="4" spans="1:72" s="2792" customFormat="1" ht="13.2">
      <c r="A4" s="570"/>
      <c r="B4" s="2800"/>
      <c r="C4" s="280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4"/>
      <c r="BB4" s="2341"/>
      <c r="BC4" s="2341"/>
      <c r="BD4" s="2341"/>
      <c r="BE4" s="2341"/>
      <c r="BF4" s="2341"/>
      <c r="BG4" s="2341"/>
      <c r="BH4" s="2341"/>
      <c r="BI4" s="2341"/>
      <c r="BJ4" s="2341"/>
      <c r="BK4" s="2341"/>
      <c r="BL4" s="2341"/>
      <c r="BM4" s="2341"/>
      <c r="BN4" s="2341"/>
      <c r="BO4" s="2341"/>
      <c r="BP4" s="2341"/>
      <c r="BQ4" s="2341"/>
      <c r="BR4" s="2341"/>
      <c r="BS4" s="2341"/>
      <c r="BT4" s="2341"/>
    </row>
    <row r="5" spans="1:72" s="2792" customFormat="1" ht="13.2">
      <c r="A5" s="1978" t="s">
        <v>575</v>
      </c>
      <c r="B5" s="2228"/>
      <c r="C5" s="2228"/>
      <c r="D5" s="2351"/>
      <c r="E5" s="2802" t="s">
        <v>124</v>
      </c>
      <c r="F5" s="2802">
        <f>SUM(F13:F587)</f>
        <v>0</v>
      </c>
      <c r="G5" s="2802">
        <f>SUM(G13:G587)</f>
        <v>922.16</v>
      </c>
      <c r="H5" s="2802">
        <f t="shared" ref="H5:AT5" si="0">SUM(H13:H656)</f>
        <v>922.16</v>
      </c>
      <c r="I5" s="2802">
        <f t="shared" si="0"/>
        <v>922.16</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7"/>
      <c r="AV5" s="1978" t="s">
        <v>575</v>
      </c>
      <c r="AW5" s="2228"/>
      <c r="AX5" s="2228"/>
      <c r="AY5" s="903" t="s">
        <v>124</v>
      </c>
      <c r="AZ5" s="2855">
        <f t="shared" ref="AZ5:BT5" si="1">SUM(AZ13:AZ656)</f>
        <v>922.16</v>
      </c>
      <c r="BA5" s="2855">
        <f t="shared" si="1"/>
        <v>922.16</v>
      </c>
      <c r="BB5" s="2855">
        <f t="shared" si="1"/>
        <v>922.16</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78"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78" t="s">
        <v>576</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577</v>
      </c>
      <c r="B7" s="2806" t="s">
        <v>578</v>
      </c>
      <c r="C7" s="2806" t="s">
        <v>551</v>
      </c>
      <c r="D7" s="2806" t="s">
        <v>579</v>
      </c>
      <c r="E7" s="2806" t="s">
        <v>576</v>
      </c>
      <c r="F7" s="2806" t="s">
        <v>580</v>
      </c>
      <c r="G7" s="2321"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51"/>
      <c r="AU7" s="2807" t="s">
        <v>582</v>
      </c>
      <c r="AV7" s="2845" t="s">
        <v>577</v>
      </c>
      <c r="AW7" s="2341" t="s">
        <v>578</v>
      </c>
      <c r="AX7" s="2845" t="s">
        <v>551</v>
      </c>
      <c r="AY7" s="2228" t="s">
        <v>583</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8" customFormat="1" ht="24">
      <c r="A8" s="2808"/>
      <c r="B8" s="2808"/>
      <c r="C8" s="2808"/>
      <c r="D8" s="2808"/>
      <c r="E8" s="2808"/>
      <c r="F8" s="2808"/>
      <c r="G8" s="2809" t="s">
        <v>584</v>
      </c>
      <c r="H8" s="2810" t="s">
        <v>585</v>
      </c>
      <c r="I8" s="2825"/>
      <c r="J8" s="952"/>
      <c r="K8" s="952"/>
      <c r="L8" s="952"/>
      <c r="M8" s="952"/>
      <c r="N8" s="952"/>
      <c r="O8" s="952"/>
      <c r="P8" s="952"/>
      <c r="Q8" s="952"/>
      <c r="R8" s="952"/>
      <c r="S8" s="952"/>
      <c r="T8" s="952"/>
      <c r="U8" s="952"/>
      <c r="V8" s="2832"/>
      <c r="W8" s="952"/>
      <c r="X8" s="952"/>
      <c r="Y8" s="952"/>
      <c r="Z8" s="952"/>
      <c r="AA8" s="2832"/>
      <c r="AB8" s="2834"/>
      <c r="AC8" s="2114" t="s">
        <v>586</v>
      </c>
      <c r="AD8" s="2835"/>
      <c r="AE8" s="2836"/>
      <c r="AF8" s="952"/>
      <c r="AG8" s="952"/>
      <c r="AH8" s="952"/>
      <c r="AI8" s="952"/>
      <c r="AJ8" s="952"/>
      <c r="AK8" s="952"/>
      <c r="AL8" s="952"/>
      <c r="AM8" s="952"/>
      <c r="AN8" s="952"/>
      <c r="AO8" s="952"/>
      <c r="AP8" s="952"/>
      <c r="AQ8" s="952"/>
      <c r="AR8" s="952"/>
      <c r="AS8" s="952"/>
      <c r="AT8" s="1822" t="s">
        <v>587</v>
      </c>
      <c r="AU8" s="2808"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8"/>
      <c r="B9" s="2808"/>
      <c r="C9" s="2808"/>
      <c r="D9" s="2808"/>
      <c r="E9" s="2808"/>
      <c r="F9" s="2808"/>
      <c r="G9" s="1822"/>
      <c r="H9" s="2811" t="s">
        <v>589</v>
      </c>
      <c r="I9" s="2826" t="s">
        <v>467</v>
      </c>
      <c r="J9" s="2114"/>
      <c r="K9" s="2826"/>
      <c r="L9" s="2114"/>
      <c r="M9" s="2826"/>
      <c r="N9" s="2114"/>
      <c r="O9" s="2826"/>
      <c r="P9" s="2114"/>
      <c r="Q9" s="2826"/>
      <c r="R9" s="2114"/>
      <c r="S9" s="2826"/>
      <c r="T9" s="2114"/>
      <c r="U9" s="2826"/>
      <c r="V9" s="2114"/>
      <c r="W9" s="2826"/>
      <c r="X9" s="2833"/>
      <c r="Y9" s="2826"/>
      <c r="Z9" s="2114"/>
      <c r="AA9" s="2826"/>
      <c r="AB9" s="2114"/>
      <c r="AC9" s="2809"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6"/>
      <c r="AT9" s="2808"/>
      <c r="AU9" s="2808" t="s">
        <v>592</v>
      </c>
      <c r="AV9" s="1822"/>
      <c r="AW9" s="2302"/>
      <c r="AX9" s="1822"/>
      <c r="AY9" s="2812"/>
      <c r="AZ9" s="2812" t="s">
        <v>584</v>
      </c>
      <c r="BA9" s="2857" t="s">
        <v>593</v>
      </c>
      <c r="BB9" s="2858"/>
      <c r="BC9" s="1880"/>
      <c r="BD9" s="1880"/>
      <c r="BE9" s="1880"/>
      <c r="BF9" s="1880"/>
      <c r="BG9" s="1880"/>
      <c r="BH9" s="1880"/>
      <c r="BI9" s="1880"/>
      <c r="BJ9" s="1880"/>
      <c r="BK9" s="2862"/>
      <c r="BL9" s="1978" t="s">
        <v>594</v>
      </c>
      <c r="BM9" s="952"/>
      <c r="BN9" s="2825"/>
      <c r="BO9" s="952"/>
      <c r="BP9" s="952"/>
      <c r="BQ9" s="952"/>
      <c r="BR9" s="952"/>
      <c r="BS9" s="952"/>
      <c r="BT9" s="1869"/>
    </row>
    <row r="10" spans="1:72" s="2558" customFormat="1" ht="13.2">
      <c r="A10" s="2808"/>
      <c r="B10" s="2808"/>
      <c r="C10" s="2808"/>
      <c r="D10" s="2808"/>
      <c r="E10" s="2808"/>
      <c r="F10" s="2808"/>
      <c r="G10" s="1822"/>
      <c r="H10" s="2812"/>
      <c r="I10" s="2826" t="s">
        <v>229</v>
      </c>
      <c r="J10" s="2114"/>
      <c r="K10" s="2827"/>
      <c r="L10" s="2114"/>
      <c r="M10" s="2827"/>
      <c r="N10" s="2114"/>
      <c r="O10" s="2827"/>
      <c r="P10" s="2114"/>
      <c r="Q10" s="2827"/>
      <c r="R10" s="2114"/>
      <c r="S10" s="2827"/>
      <c r="T10" s="2114"/>
      <c r="U10" s="2827"/>
      <c r="V10" s="2114"/>
      <c r="W10" s="2827"/>
      <c r="X10" s="2114"/>
      <c r="Y10" s="2827"/>
      <c r="Z10" s="2114"/>
      <c r="AA10" s="2827"/>
      <c r="AB10" s="2114"/>
      <c r="AC10" s="1822"/>
      <c r="AD10" s="1978" t="s">
        <v>595</v>
      </c>
      <c r="AE10" s="2837"/>
      <c r="AF10" s="1978" t="s">
        <v>595</v>
      </c>
      <c r="AG10" s="2837"/>
      <c r="AH10" s="1978" t="s">
        <v>596</v>
      </c>
      <c r="AI10" s="2837"/>
      <c r="AJ10" s="1978" t="s">
        <v>596</v>
      </c>
      <c r="AK10" s="2837"/>
      <c r="AL10" s="1978" t="s">
        <v>597</v>
      </c>
      <c r="AM10" s="1834"/>
      <c r="AN10" s="1978" t="s">
        <v>597</v>
      </c>
      <c r="AO10" s="1834"/>
      <c r="AP10" s="1978" t="s">
        <v>598</v>
      </c>
      <c r="AQ10" s="1834"/>
      <c r="AR10" s="1978" t="s">
        <v>598</v>
      </c>
      <c r="AS10" s="1834"/>
      <c r="AT10" s="2808"/>
      <c r="AU10" s="2808"/>
      <c r="AV10" s="1822"/>
      <c r="AW10" s="2302"/>
      <c r="AX10" s="1822"/>
      <c r="AY10" s="2812"/>
      <c r="AZ10" s="2812"/>
      <c r="BA10" s="2813" t="s">
        <v>589</v>
      </c>
      <c r="BB10" s="2859"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6" t="str">
        <f>AR9</f>
        <v>地下</v>
      </c>
    </row>
    <row r="11" spans="1:72" s="2558" customFormat="1" ht="13.2">
      <c r="A11" s="2808"/>
      <c r="B11" s="2808"/>
      <c r="C11" s="2808"/>
      <c r="D11" s="2808"/>
      <c r="E11" s="2808"/>
      <c r="F11" s="2808"/>
      <c r="G11" s="1822"/>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22"/>
      <c r="AD11" s="2838" t="s">
        <v>599</v>
      </c>
      <c r="AE11" s="1003"/>
      <c r="AF11" s="2838" t="s">
        <v>599</v>
      </c>
      <c r="AG11" s="1003"/>
      <c r="AH11" s="2838" t="s">
        <v>600</v>
      </c>
      <c r="AI11" s="2842"/>
      <c r="AJ11" s="2838" t="s">
        <v>600</v>
      </c>
      <c r="AK11" s="1003"/>
      <c r="AL11" s="951"/>
      <c r="AM11" s="1003"/>
      <c r="AN11" s="951"/>
      <c r="AO11" s="1003"/>
      <c r="AP11" s="951"/>
      <c r="AQ11" s="1003"/>
      <c r="AR11" s="951"/>
      <c r="AS11" s="1003"/>
      <c r="AT11" s="2302"/>
      <c r="AU11" s="2808"/>
      <c r="AV11" s="1822"/>
      <c r="AW11" s="2302"/>
      <c r="AX11" s="1822"/>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7" t="str">
        <f>AR10</f>
        <v>未注明</v>
      </c>
    </row>
    <row r="12" spans="1:72" s="2792" customFormat="1" ht="13.2">
      <c r="A12" s="2814"/>
      <c r="B12" s="2814"/>
      <c r="C12" s="2814"/>
      <c r="D12" s="2814"/>
      <c r="E12" s="2814"/>
      <c r="F12" s="2814"/>
      <c r="G12" s="564"/>
      <c r="H12" s="2815"/>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39"/>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4" t="s">
        <v>602</v>
      </c>
      <c r="AT12" s="2847"/>
      <c r="AU12" s="2814"/>
      <c r="AV12" s="2848"/>
      <c r="AW12" s="2341"/>
      <c r="AX12" s="2848"/>
      <c r="AY12" s="2860"/>
      <c r="AZ12" s="2812"/>
      <c r="BA12" s="2813"/>
      <c r="BB12" s="950">
        <f>I11</f>
        <v>0</v>
      </c>
      <c r="BC12" s="2861">
        <f>K11</f>
        <v>0</v>
      </c>
      <c r="BD12" s="2861">
        <f>M11</f>
        <v>0</v>
      </c>
      <c r="BE12" s="2834">
        <f>O11</f>
        <v>0</v>
      </c>
      <c r="BF12" s="2834">
        <f>Q11</f>
        <v>0</v>
      </c>
      <c r="BG12" s="2834">
        <f>S11</f>
        <v>0</v>
      </c>
      <c r="BH12" s="2834">
        <f>U11</f>
        <v>0</v>
      </c>
      <c r="BI12" s="2834">
        <f>W11</f>
        <v>0</v>
      </c>
      <c r="BJ12" s="2834">
        <f>Y11</f>
        <v>0</v>
      </c>
      <c r="BK12" s="2834">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7">
        <f>AR11</f>
        <v>0</v>
      </c>
    </row>
    <row r="13" spans="1:72" s="2792" customFormat="1" ht="13.2">
      <c r="A13" s="908"/>
      <c r="B13" s="908"/>
      <c r="C13" s="3184" t="s">
        <v>2900</v>
      </c>
      <c r="D13" s="2816" t="s">
        <v>603</v>
      </c>
      <c r="E13" s="2802">
        <f>IF($C$3="是",ROUND($A$3*G13/$B$3,2),ROUND($A$3*(G13-AT13)/$B$3,2))</f>
        <v>0</v>
      </c>
      <c r="F13" s="2817"/>
      <c r="G13" s="2818">
        <f>H13+AC13+AT13</f>
        <v>261.08</v>
      </c>
      <c r="H13" s="2805">
        <f>SUMIF(I$12:AB$12,"总值",I13:AB13)</f>
        <v>261.08</v>
      </c>
      <c r="I13" s="2830">
        <f>房产抵押情况!F3</f>
        <v>261.08</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3">
        <f t="shared" ref="AV13:AX17" si="6">A13</f>
        <v>0</v>
      </c>
      <c r="AW13" s="953">
        <f t="shared" si="6"/>
        <v>0</v>
      </c>
      <c r="AX13" s="953" t="str">
        <f t="shared" si="6"/>
        <v>商业1</v>
      </c>
      <c r="AY13" s="2351">
        <f>ROUND($AY$6*AZ13/$AZ$5,2)</f>
        <v>0</v>
      </c>
      <c r="AZ13" s="2802">
        <f>BA13+BL13</f>
        <v>261.08</v>
      </c>
      <c r="BA13" s="2802">
        <f>SUM(BB13:BK13)</f>
        <v>261.08</v>
      </c>
      <c r="BB13" s="2802">
        <f>IF($D13="是",I13-J13,0)</f>
        <v>261.08</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8"/>
      <c r="B14" s="908"/>
      <c r="C14" s="3185" t="s">
        <v>2901</v>
      </c>
      <c r="D14" s="2816" t="s">
        <v>603</v>
      </c>
      <c r="E14" s="2802">
        <f>IF($C$3="是",ROUND($A$3*G14/$B$3,2),ROUND($A$3*(G14-AT14)/$B$3,2))</f>
        <v>0</v>
      </c>
      <c r="F14" s="2817"/>
      <c r="G14" s="2818">
        <f>H14+AC14+AT14</f>
        <v>214.62</v>
      </c>
      <c r="H14" s="2805">
        <f>SUMIF(I$12:AB$12,"总值",I14:AB14)</f>
        <v>214.62</v>
      </c>
      <c r="I14" s="2830">
        <f>房产抵押情况!F24</f>
        <v>214.62</v>
      </c>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3">
        <f t="shared" si="6"/>
        <v>0</v>
      </c>
      <c r="AW14" s="953">
        <f t="shared" si="6"/>
        <v>0</v>
      </c>
      <c r="AX14" s="953" t="str">
        <f t="shared" si="6"/>
        <v>商业40</v>
      </c>
      <c r="AY14" s="2351">
        <f>ROUND($AY$6*AZ14/$AZ$5,2)</f>
        <v>0</v>
      </c>
      <c r="AZ14" s="2802">
        <f>BA14+BL14</f>
        <v>214.62</v>
      </c>
      <c r="BA14" s="2802">
        <f>SUM(BB14:BK14)</f>
        <v>214.62</v>
      </c>
      <c r="BB14" s="2802">
        <f>IF($D14="是",I14-J14,0)</f>
        <v>214.62</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8"/>
      <c r="B15" s="908"/>
      <c r="C15" s="3185" t="s">
        <v>2902</v>
      </c>
      <c r="D15" s="2816" t="s">
        <v>603</v>
      </c>
      <c r="E15" s="2802">
        <f>IF($C$3="是",ROUND($A$3*G15/$B$3,2),ROUND($A$3*(G15-AT15)/$B$3,2))</f>
        <v>0</v>
      </c>
      <c r="F15" s="2817"/>
      <c r="G15" s="2818">
        <f>H15+AC15+AT15</f>
        <v>446.46</v>
      </c>
      <c r="H15" s="2805">
        <f>SUMIF(I$12:AB$12,"总值",I15:AB15)</f>
        <v>446.46</v>
      </c>
      <c r="I15" s="2830">
        <f>房产抵押情况!F26</f>
        <v>446.46</v>
      </c>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3">
        <f t="shared" si="6"/>
        <v>0</v>
      </c>
      <c r="AW15" s="953">
        <f t="shared" si="6"/>
        <v>0</v>
      </c>
      <c r="AX15" s="953" t="str">
        <f t="shared" si="6"/>
        <v>商业43</v>
      </c>
      <c r="AY15" s="2351">
        <f>ROUND($AY$6*AZ15/$AZ$5,2)</f>
        <v>0</v>
      </c>
      <c r="AZ15" s="2802">
        <f>BA15+BL15</f>
        <v>446.46</v>
      </c>
      <c r="BA15" s="2802">
        <f>SUM(BB15:BK15)</f>
        <v>446.46</v>
      </c>
      <c r="BB15" s="2802">
        <f>IF($D15="是",I15-J15,0)</f>
        <v>446.46</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8"/>
      <c r="B16" s="908"/>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3">
        <f t="shared" si="6"/>
        <v>0</v>
      </c>
      <c r="AW16" s="953">
        <f t="shared" si="6"/>
        <v>0</v>
      </c>
      <c r="AX16" s="953">
        <f t="shared" si="6"/>
        <v>0</v>
      </c>
      <c r="AY16" s="2351">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8"/>
      <c r="B17" s="908"/>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3">
        <f t="shared" si="6"/>
        <v>0</v>
      </c>
      <c r="AW17" s="953">
        <f t="shared" si="6"/>
        <v>0</v>
      </c>
      <c r="AX17" s="953">
        <f t="shared" si="6"/>
        <v>0</v>
      </c>
      <c r="AY17" s="2351">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3"/>
      <c r="B18" s="1251"/>
      <c r="C18" s="1251"/>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4">
        <f t="shared" ref="AV18:AV112" si="11">A18</f>
        <v>0</v>
      </c>
      <c r="AW18" s="794">
        <f t="shared" ref="AW18:AW112" si="12">B18</f>
        <v>0</v>
      </c>
      <c r="AX18" s="794">
        <f t="shared" ref="AX18:AX112" si="13">C18</f>
        <v>0</v>
      </c>
      <c r="AY18" s="1178">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3"/>
      <c r="B19" s="1251"/>
      <c r="C19" s="1251"/>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4">
        <f t="shared" si="11"/>
        <v>0</v>
      </c>
      <c r="AW19" s="794">
        <f t="shared" si="12"/>
        <v>0</v>
      </c>
      <c r="AX19" s="794">
        <f t="shared" si="13"/>
        <v>0</v>
      </c>
      <c r="AY19" s="1178">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3"/>
      <c r="B20" s="1251"/>
      <c r="C20" s="1251"/>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4">
        <f t="shared" si="11"/>
        <v>0</v>
      </c>
      <c r="AW20" s="794">
        <f t="shared" si="12"/>
        <v>0</v>
      </c>
      <c r="AX20" s="794">
        <f t="shared" si="13"/>
        <v>0</v>
      </c>
      <c r="AY20" s="1178">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3"/>
      <c r="B21" s="1251"/>
      <c r="C21" s="1251"/>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4">
        <f t="shared" si="11"/>
        <v>0</v>
      </c>
      <c r="AW21" s="794">
        <f t="shared" si="12"/>
        <v>0</v>
      </c>
      <c r="AX21" s="794">
        <f t="shared" si="13"/>
        <v>0</v>
      </c>
      <c r="AY21" s="1178">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3"/>
      <c r="B22" s="1251"/>
      <c r="C22" s="1251"/>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4">
        <f t="shared" si="11"/>
        <v>0</v>
      </c>
      <c r="AW22" s="794">
        <f t="shared" si="12"/>
        <v>0</v>
      </c>
      <c r="AX22" s="794">
        <f t="shared" si="13"/>
        <v>0</v>
      </c>
      <c r="AY22" s="1178">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3"/>
      <c r="B23" s="1251"/>
      <c r="C23" s="1251"/>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4">
        <f t="shared" si="11"/>
        <v>0</v>
      </c>
      <c r="AW23" s="794">
        <f t="shared" si="12"/>
        <v>0</v>
      </c>
      <c r="AX23" s="794">
        <f t="shared" si="13"/>
        <v>0</v>
      </c>
      <c r="AY23" s="1178">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3"/>
      <c r="B24" s="1251"/>
      <c r="C24" s="1251"/>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4">
        <f t="shared" si="11"/>
        <v>0</v>
      </c>
      <c r="AW24" s="794">
        <f t="shared" si="12"/>
        <v>0</v>
      </c>
      <c r="AX24" s="794">
        <f t="shared" si="13"/>
        <v>0</v>
      </c>
      <c r="AY24" s="1178">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3"/>
      <c r="B25" s="1251"/>
      <c r="C25" s="1251"/>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4">
        <f t="shared" si="11"/>
        <v>0</v>
      </c>
      <c r="AW25" s="794">
        <f t="shared" si="12"/>
        <v>0</v>
      </c>
      <c r="AX25" s="794">
        <f t="shared" si="13"/>
        <v>0</v>
      </c>
      <c r="AY25" s="1178">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3"/>
      <c r="B26" s="1251"/>
      <c r="C26" s="1251"/>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4">
        <f t="shared" si="11"/>
        <v>0</v>
      </c>
      <c r="AW26" s="794">
        <f t="shared" si="12"/>
        <v>0</v>
      </c>
      <c r="AX26" s="794">
        <f t="shared" si="13"/>
        <v>0</v>
      </c>
      <c r="AY26" s="1178">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3"/>
      <c r="B27" s="1251"/>
      <c r="C27" s="1251"/>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4">
        <f t="shared" si="11"/>
        <v>0</v>
      </c>
      <c r="AW27" s="794">
        <f t="shared" si="12"/>
        <v>0</v>
      </c>
      <c r="AX27" s="794">
        <f t="shared" si="13"/>
        <v>0</v>
      </c>
      <c r="AY27" s="1178">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3"/>
      <c r="B28" s="1251"/>
      <c r="C28" s="1251"/>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4">
        <f t="shared" si="11"/>
        <v>0</v>
      </c>
      <c r="AW28" s="794">
        <f t="shared" si="12"/>
        <v>0</v>
      </c>
      <c r="AX28" s="794">
        <f t="shared" si="13"/>
        <v>0</v>
      </c>
      <c r="AY28" s="1178">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3"/>
      <c r="B29" s="1251"/>
      <c r="C29" s="1251"/>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4">
        <f t="shared" si="11"/>
        <v>0</v>
      </c>
      <c r="AW29" s="794">
        <f t="shared" si="12"/>
        <v>0</v>
      </c>
      <c r="AX29" s="794">
        <f t="shared" si="13"/>
        <v>0</v>
      </c>
      <c r="AY29" s="1178">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3"/>
      <c r="B30" s="1251"/>
      <c r="C30" s="1251"/>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4">
        <f t="shared" si="11"/>
        <v>0</v>
      </c>
      <c r="AW30" s="794">
        <f t="shared" si="12"/>
        <v>0</v>
      </c>
      <c r="AX30" s="794">
        <f t="shared" si="13"/>
        <v>0</v>
      </c>
      <c r="AY30" s="1178">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3"/>
      <c r="B31" s="1251"/>
      <c r="C31" s="1251"/>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4">
        <f t="shared" si="11"/>
        <v>0</v>
      </c>
      <c r="AW31" s="794">
        <f t="shared" si="12"/>
        <v>0</v>
      </c>
      <c r="AX31" s="794">
        <f t="shared" si="13"/>
        <v>0</v>
      </c>
      <c r="AY31" s="1178">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3"/>
      <c r="B32" s="1251"/>
      <c r="C32" s="1251"/>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4">
        <f t="shared" si="11"/>
        <v>0</v>
      </c>
      <c r="AW32" s="794">
        <f t="shared" si="12"/>
        <v>0</v>
      </c>
      <c r="AX32" s="794">
        <f t="shared" si="13"/>
        <v>0</v>
      </c>
      <c r="AY32" s="1178">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3"/>
      <c r="B33" s="1251"/>
      <c r="C33" s="1251"/>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4">
        <f t="shared" si="11"/>
        <v>0</v>
      </c>
      <c r="AW33" s="794">
        <f t="shared" si="12"/>
        <v>0</v>
      </c>
      <c r="AX33" s="794">
        <f t="shared" si="13"/>
        <v>0</v>
      </c>
      <c r="AY33" s="1178">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3"/>
      <c r="B34" s="1251"/>
      <c r="C34" s="1251"/>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4">
        <f t="shared" si="11"/>
        <v>0</v>
      </c>
      <c r="AW34" s="794">
        <f t="shared" si="12"/>
        <v>0</v>
      </c>
      <c r="AX34" s="794">
        <f t="shared" si="13"/>
        <v>0</v>
      </c>
      <c r="AY34" s="1178">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3"/>
      <c r="B35" s="1251"/>
      <c r="C35" s="1251"/>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4">
        <f t="shared" si="11"/>
        <v>0</v>
      </c>
      <c r="AW35" s="794">
        <f t="shared" si="12"/>
        <v>0</v>
      </c>
      <c r="AX35" s="794">
        <f t="shared" si="13"/>
        <v>0</v>
      </c>
      <c r="AY35" s="1178">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3"/>
      <c r="B36" s="1251"/>
      <c r="C36" s="1251"/>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4">
        <f t="shared" si="11"/>
        <v>0</v>
      </c>
      <c r="AW36" s="794">
        <f t="shared" si="12"/>
        <v>0</v>
      </c>
      <c r="AX36" s="794">
        <f t="shared" si="13"/>
        <v>0</v>
      </c>
      <c r="AY36" s="1178">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3"/>
      <c r="B37" s="1251"/>
      <c r="C37" s="1251"/>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4">
        <f t="shared" si="11"/>
        <v>0</v>
      </c>
      <c r="AW37" s="794">
        <f t="shared" si="12"/>
        <v>0</v>
      </c>
      <c r="AX37" s="794">
        <f t="shared" si="13"/>
        <v>0</v>
      </c>
      <c r="AY37" s="1178">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3"/>
      <c r="B38" s="1251"/>
      <c r="C38" s="1251"/>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4">
        <f t="shared" si="11"/>
        <v>0</v>
      </c>
      <c r="AW38" s="794">
        <f t="shared" si="12"/>
        <v>0</v>
      </c>
      <c r="AX38" s="794">
        <f t="shared" si="13"/>
        <v>0</v>
      </c>
      <c r="AY38" s="1178">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3"/>
      <c r="B39" s="1251"/>
      <c r="C39" s="1251"/>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4">
        <f t="shared" si="11"/>
        <v>0</v>
      </c>
      <c r="AW39" s="794">
        <f t="shared" si="12"/>
        <v>0</v>
      </c>
      <c r="AX39" s="794">
        <f t="shared" si="13"/>
        <v>0</v>
      </c>
      <c r="AY39" s="1178">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3"/>
      <c r="B40" s="1251"/>
      <c r="C40" s="1251"/>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4">
        <f t="shared" si="11"/>
        <v>0</v>
      </c>
      <c r="AW40" s="794">
        <f t="shared" si="12"/>
        <v>0</v>
      </c>
      <c r="AX40" s="794">
        <f t="shared" si="13"/>
        <v>0</v>
      </c>
      <c r="AY40" s="1178">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3"/>
      <c r="B41" s="1251"/>
      <c r="C41" s="1251"/>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4">
        <f t="shared" si="11"/>
        <v>0</v>
      </c>
      <c r="AW41" s="794">
        <f t="shared" si="12"/>
        <v>0</v>
      </c>
      <c r="AX41" s="794">
        <f t="shared" si="13"/>
        <v>0</v>
      </c>
      <c r="AY41" s="1178">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3"/>
      <c r="B42" s="1251"/>
      <c r="C42" s="1251"/>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4">
        <f t="shared" si="11"/>
        <v>0</v>
      </c>
      <c r="AW42" s="794">
        <f t="shared" si="12"/>
        <v>0</v>
      </c>
      <c r="AX42" s="794">
        <f t="shared" si="13"/>
        <v>0</v>
      </c>
      <c r="AY42" s="1178">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3"/>
      <c r="B43" s="1251"/>
      <c r="C43" s="1251"/>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4">
        <f t="shared" si="11"/>
        <v>0</v>
      </c>
      <c r="AW43" s="794">
        <f t="shared" si="12"/>
        <v>0</v>
      </c>
      <c r="AX43" s="794">
        <f t="shared" si="13"/>
        <v>0</v>
      </c>
      <c r="AY43" s="1178">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3"/>
      <c r="B44" s="1251"/>
      <c r="C44" s="1251"/>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4">
        <f t="shared" si="11"/>
        <v>0</v>
      </c>
      <c r="AW44" s="794">
        <f t="shared" si="12"/>
        <v>0</v>
      </c>
      <c r="AX44" s="794">
        <f t="shared" si="13"/>
        <v>0</v>
      </c>
      <c r="AY44" s="1178">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3"/>
      <c r="B45" s="1251"/>
      <c r="C45" s="1251"/>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4">
        <f t="shared" si="11"/>
        <v>0</v>
      </c>
      <c r="AW45" s="794">
        <f t="shared" si="12"/>
        <v>0</v>
      </c>
      <c r="AX45" s="794">
        <f t="shared" si="13"/>
        <v>0</v>
      </c>
      <c r="AY45" s="1178">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3"/>
      <c r="B46" s="1251"/>
      <c r="C46" s="1251"/>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4">
        <f t="shared" si="11"/>
        <v>0</v>
      </c>
      <c r="AW46" s="794">
        <f t="shared" si="12"/>
        <v>0</v>
      </c>
      <c r="AX46" s="794">
        <f t="shared" si="13"/>
        <v>0</v>
      </c>
      <c r="AY46" s="1178">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3"/>
      <c r="B47" s="1251"/>
      <c r="C47" s="1251"/>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4">
        <f t="shared" si="11"/>
        <v>0</v>
      </c>
      <c r="AW47" s="794">
        <f t="shared" si="12"/>
        <v>0</v>
      </c>
      <c r="AX47" s="794">
        <f t="shared" si="13"/>
        <v>0</v>
      </c>
      <c r="AY47" s="1178">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3"/>
      <c r="B48" s="1251"/>
      <c r="C48" s="1251"/>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4">
        <f t="shared" si="11"/>
        <v>0</v>
      </c>
      <c r="AW48" s="794">
        <f t="shared" si="12"/>
        <v>0</v>
      </c>
      <c r="AX48" s="794">
        <f t="shared" si="13"/>
        <v>0</v>
      </c>
      <c r="AY48" s="1178">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3"/>
      <c r="B49" s="1251"/>
      <c r="C49" s="1251"/>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4">
        <f t="shared" si="11"/>
        <v>0</v>
      </c>
      <c r="AW49" s="794">
        <f t="shared" si="12"/>
        <v>0</v>
      </c>
      <c r="AX49" s="794">
        <f t="shared" si="13"/>
        <v>0</v>
      </c>
      <c r="AY49" s="1178">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3"/>
      <c r="B50" s="1251"/>
      <c r="C50" s="1251"/>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4">
        <f t="shared" si="11"/>
        <v>0</v>
      </c>
      <c r="AW50" s="794">
        <f t="shared" si="12"/>
        <v>0</v>
      </c>
      <c r="AX50" s="794">
        <f t="shared" si="13"/>
        <v>0</v>
      </c>
      <c r="AY50" s="1178">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3"/>
      <c r="B51" s="1251"/>
      <c r="C51" s="1251"/>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4">
        <f t="shared" si="11"/>
        <v>0</v>
      </c>
      <c r="AW51" s="794">
        <f t="shared" si="12"/>
        <v>0</v>
      </c>
      <c r="AX51" s="794">
        <f t="shared" si="13"/>
        <v>0</v>
      </c>
      <c r="AY51" s="1178">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3"/>
      <c r="B52" s="1251"/>
      <c r="C52" s="1251"/>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4">
        <f t="shared" si="11"/>
        <v>0</v>
      </c>
      <c r="AW52" s="794">
        <f t="shared" si="12"/>
        <v>0</v>
      </c>
      <c r="AX52" s="794">
        <f t="shared" si="13"/>
        <v>0</v>
      </c>
      <c r="AY52" s="1178">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3"/>
      <c r="B53" s="1251"/>
      <c r="C53" s="1251"/>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4">
        <f t="shared" si="11"/>
        <v>0</v>
      </c>
      <c r="AW53" s="794">
        <f t="shared" si="12"/>
        <v>0</v>
      </c>
      <c r="AX53" s="794">
        <f t="shared" si="13"/>
        <v>0</v>
      </c>
      <c r="AY53" s="1178">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3"/>
      <c r="B54" s="1251"/>
      <c r="C54" s="1251"/>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4">
        <f t="shared" si="11"/>
        <v>0</v>
      </c>
      <c r="AW54" s="794">
        <f t="shared" si="12"/>
        <v>0</v>
      </c>
      <c r="AX54" s="794">
        <f t="shared" si="13"/>
        <v>0</v>
      </c>
      <c r="AY54" s="1178">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3"/>
      <c r="B55" s="1251"/>
      <c r="C55" s="1251"/>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4">
        <f t="shared" si="11"/>
        <v>0</v>
      </c>
      <c r="AW55" s="794">
        <f t="shared" si="12"/>
        <v>0</v>
      </c>
      <c r="AX55" s="794">
        <f t="shared" si="13"/>
        <v>0</v>
      </c>
      <c r="AY55" s="1178">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3"/>
      <c r="B56" s="1251"/>
      <c r="C56" s="1251"/>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4">
        <f t="shared" si="11"/>
        <v>0</v>
      </c>
      <c r="AW56" s="794">
        <f t="shared" si="12"/>
        <v>0</v>
      </c>
      <c r="AX56" s="794">
        <f t="shared" si="13"/>
        <v>0</v>
      </c>
      <c r="AY56" s="1178">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3"/>
      <c r="B57" s="1251"/>
      <c r="C57" s="1251"/>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4">
        <f t="shared" si="11"/>
        <v>0</v>
      </c>
      <c r="AW57" s="794">
        <f t="shared" si="12"/>
        <v>0</v>
      </c>
      <c r="AX57" s="794">
        <f t="shared" si="13"/>
        <v>0</v>
      </c>
      <c r="AY57" s="1178">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3"/>
      <c r="B58" s="1251"/>
      <c r="C58" s="1251"/>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4">
        <f t="shared" si="11"/>
        <v>0</v>
      </c>
      <c r="AW58" s="794">
        <f t="shared" si="12"/>
        <v>0</v>
      </c>
      <c r="AX58" s="794">
        <f t="shared" si="13"/>
        <v>0</v>
      </c>
      <c r="AY58" s="1178">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3"/>
      <c r="B59" s="1251"/>
      <c r="C59" s="1251"/>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4">
        <f t="shared" si="11"/>
        <v>0</v>
      </c>
      <c r="AW59" s="794">
        <f t="shared" si="12"/>
        <v>0</v>
      </c>
      <c r="AX59" s="794">
        <f t="shared" si="13"/>
        <v>0</v>
      </c>
      <c r="AY59" s="1178">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3"/>
      <c r="B60" s="1251"/>
      <c r="C60" s="1251"/>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4">
        <f t="shared" si="11"/>
        <v>0</v>
      </c>
      <c r="AW60" s="794">
        <f t="shared" si="12"/>
        <v>0</v>
      </c>
      <c r="AX60" s="794">
        <f t="shared" si="13"/>
        <v>0</v>
      </c>
      <c r="AY60" s="1178">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3"/>
      <c r="B61" s="1251"/>
      <c r="C61" s="1251"/>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4">
        <f t="shared" si="11"/>
        <v>0</v>
      </c>
      <c r="AW61" s="794">
        <f t="shared" si="12"/>
        <v>0</v>
      </c>
      <c r="AX61" s="794">
        <f t="shared" si="13"/>
        <v>0</v>
      </c>
      <c r="AY61" s="1178">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3"/>
      <c r="B62" s="1251"/>
      <c r="C62" s="1251"/>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4">
        <f t="shared" si="11"/>
        <v>0</v>
      </c>
      <c r="AW62" s="794">
        <f t="shared" si="12"/>
        <v>0</v>
      </c>
      <c r="AX62" s="794">
        <f t="shared" si="13"/>
        <v>0</v>
      </c>
      <c r="AY62" s="1178">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3"/>
      <c r="B63" s="1251"/>
      <c r="C63" s="1251"/>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4">
        <f t="shared" si="11"/>
        <v>0</v>
      </c>
      <c r="AW63" s="794">
        <f t="shared" si="12"/>
        <v>0</v>
      </c>
      <c r="AX63" s="794">
        <f t="shared" si="13"/>
        <v>0</v>
      </c>
      <c r="AY63" s="1178">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3"/>
      <c r="B64" s="1251"/>
      <c r="C64" s="1251"/>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4">
        <f t="shared" si="11"/>
        <v>0</v>
      </c>
      <c r="AW64" s="794">
        <f t="shared" si="12"/>
        <v>0</v>
      </c>
      <c r="AX64" s="794">
        <f t="shared" si="13"/>
        <v>0</v>
      </c>
      <c r="AY64" s="1178">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3"/>
      <c r="B65" s="1251"/>
      <c r="C65" s="1251"/>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4">
        <f t="shared" si="11"/>
        <v>0</v>
      </c>
      <c r="AW65" s="794">
        <f t="shared" si="12"/>
        <v>0</v>
      </c>
      <c r="AX65" s="794">
        <f t="shared" si="13"/>
        <v>0</v>
      </c>
      <c r="AY65" s="1178">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3"/>
      <c r="B66" s="1251"/>
      <c r="C66" s="1251"/>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4">
        <f t="shared" si="11"/>
        <v>0</v>
      </c>
      <c r="AW66" s="794">
        <f t="shared" si="12"/>
        <v>0</v>
      </c>
      <c r="AX66" s="794">
        <f t="shared" si="13"/>
        <v>0</v>
      </c>
      <c r="AY66" s="1178">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3"/>
      <c r="B67" s="1251"/>
      <c r="C67" s="1251"/>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4">
        <f t="shared" si="11"/>
        <v>0</v>
      </c>
      <c r="AW67" s="794">
        <f t="shared" si="12"/>
        <v>0</v>
      </c>
      <c r="AX67" s="794">
        <f t="shared" si="13"/>
        <v>0</v>
      </c>
      <c r="AY67" s="1178">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3"/>
      <c r="B68" s="1251"/>
      <c r="C68" s="1251"/>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4">
        <f t="shared" si="11"/>
        <v>0</v>
      </c>
      <c r="AW68" s="794">
        <f t="shared" si="12"/>
        <v>0</v>
      </c>
      <c r="AX68" s="794">
        <f t="shared" si="13"/>
        <v>0</v>
      </c>
      <c r="AY68" s="1178">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3"/>
      <c r="B69" s="1251"/>
      <c r="C69" s="1251"/>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4">
        <f t="shared" si="11"/>
        <v>0</v>
      </c>
      <c r="AW69" s="794">
        <f t="shared" si="12"/>
        <v>0</v>
      </c>
      <c r="AX69" s="794">
        <f t="shared" si="13"/>
        <v>0</v>
      </c>
      <c r="AY69" s="1178">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3"/>
      <c r="B70" s="1251"/>
      <c r="C70" s="1251"/>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4">
        <f t="shared" si="11"/>
        <v>0</v>
      </c>
      <c r="AW70" s="794">
        <f t="shared" si="12"/>
        <v>0</v>
      </c>
      <c r="AX70" s="794">
        <f t="shared" si="13"/>
        <v>0</v>
      </c>
      <c r="AY70" s="1178">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3"/>
      <c r="B71" s="1251"/>
      <c r="C71" s="1251"/>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4">
        <f t="shared" si="11"/>
        <v>0</v>
      </c>
      <c r="AW71" s="794">
        <f t="shared" si="12"/>
        <v>0</v>
      </c>
      <c r="AX71" s="794">
        <f t="shared" si="13"/>
        <v>0</v>
      </c>
      <c r="AY71" s="1178">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3"/>
      <c r="B72" s="1251"/>
      <c r="C72" s="1251"/>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4">
        <f t="shared" si="11"/>
        <v>0</v>
      </c>
      <c r="AW72" s="794">
        <f t="shared" si="12"/>
        <v>0</v>
      </c>
      <c r="AX72" s="794">
        <f t="shared" si="13"/>
        <v>0</v>
      </c>
      <c r="AY72" s="1178">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3"/>
      <c r="B73" s="1251"/>
      <c r="C73" s="1251"/>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4">
        <f t="shared" si="11"/>
        <v>0</v>
      </c>
      <c r="AW73" s="794">
        <f t="shared" si="12"/>
        <v>0</v>
      </c>
      <c r="AX73" s="794">
        <f t="shared" si="13"/>
        <v>0</v>
      </c>
      <c r="AY73" s="1178">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3"/>
      <c r="B74" s="1251"/>
      <c r="C74" s="1251"/>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4">
        <f t="shared" si="11"/>
        <v>0</v>
      </c>
      <c r="AW74" s="794">
        <f t="shared" si="12"/>
        <v>0</v>
      </c>
      <c r="AX74" s="794">
        <f t="shared" si="13"/>
        <v>0</v>
      </c>
      <c r="AY74" s="1178">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3"/>
      <c r="B75" s="1251"/>
      <c r="C75" s="1251"/>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4">
        <f t="shared" si="11"/>
        <v>0</v>
      </c>
      <c r="AW75" s="794">
        <f t="shared" si="12"/>
        <v>0</v>
      </c>
      <c r="AX75" s="794">
        <f t="shared" si="13"/>
        <v>0</v>
      </c>
      <c r="AY75" s="1178">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3"/>
      <c r="B76" s="1251"/>
      <c r="C76" s="1251"/>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4">
        <f t="shared" si="11"/>
        <v>0</v>
      </c>
      <c r="AW76" s="794">
        <f t="shared" si="12"/>
        <v>0</v>
      </c>
      <c r="AX76" s="794">
        <f t="shared" si="13"/>
        <v>0</v>
      </c>
      <c r="AY76" s="1178">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3"/>
      <c r="B77" s="1251"/>
      <c r="C77" s="1251"/>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4">
        <f t="shared" si="11"/>
        <v>0</v>
      </c>
      <c r="AW77" s="794">
        <f t="shared" si="12"/>
        <v>0</v>
      </c>
      <c r="AX77" s="794">
        <f t="shared" si="13"/>
        <v>0</v>
      </c>
      <c r="AY77" s="1178">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3"/>
      <c r="B78" s="1251"/>
      <c r="C78" s="1251"/>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4">
        <f t="shared" si="11"/>
        <v>0</v>
      </c>
      <c r="AW78" s="794">
        <f t="shared" si="12"/>
        <v>0</v>
      </c>
      <c r="AX78" s="794">
        <f t="shared" si="13"/>
        <v>0</v>
      </c>
      <c r="AY78" s="1178">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3"/>
      <c r="B79" s="1251"/>
      <c r="C79" s="1251"/>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4">
        <f t="shared" si="11"/>
        <v>0</v>
      </c>
      <c r="AW79" s="794">
        <f t="shared" si="12"/>
        <v>0</v>
      </c>
      <c r="AX79" s="794">
        <f t="shared" si="13"/>
        <v>0</v>
      </c>
      <c r="AY79" s="1178">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3"/>
      <c r="B80" s="1251"/>
      <c r="C80" s="1251"/>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4">
        <f t="shared" si="11"/>
        <v>0</v>
      </c>
      <c r="AW80" s="794">
        <f t="shared" si="12"/>
        <v>0</v>
      </c>
      <c r="AX80" s="794">
        <f t="shared" si="13"/>
        <v>0</v>
      </c>
      <c r="AY80" s="1178">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3"/>
      <c r="B81" s="1251"/>
      <c r="C81" s="1251"/>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4">
        <f t="shared" si="11"/>
        <v>0</v>
      </c>
      <c r="AW81" s="794">
        <f t="shared" si="12"/>
        <v>0</v>
      </c>
      <c r="AX81" s="794">
        <f t="shared" si="13"/>
        <v>0</v>
      </c>
      <c r="AY81" s="1178">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3"/>
      <c r="B82" s="1251"/>
      <c r="C82" s="1251"/>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4">
        <f t="shared" si="11"/>
        <v>0</v>
      </c>
      <c r="AW82" s="794">
        <f t="shared" si="12"/>
        <v>0</v>
      </c>
      <c r="AX82" s="794">
        <f t="shared" si="13"/>
        <v>0</v>
      </c>
      <c r="AY82" s="1178">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3"/>
      <c r="B83" s="1251"/>
      <c r="C83" s="1251"/>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4">
        <f t="shared" si="11"/>
        <v>0</v>
      </c>
      <c r="AW83" s="794">
        <f t="shared" si="12"/>
        <v>0</v>
      </c>
      <c r="AX83" s="794">
        <f t="shared" si="13"/>
        <v>0</v>
      </c>
      <c r="AY83" s="1178">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3"/>
      <c r="B84" s="1251"/>
      <c r="C84" s="1251"/>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4">
        <f t="shared" si="11"/>
        <v>0</v>
      </c>
      <c r="AW84" s="794">
        <f t="shared" si="12"/>
        <v>0</v>
      </c>
      <c r="AX84" s="794">
        <f t="shared" si="13"/>
        <v>0</v>
      </c>
      <c r="AY84" s="1178">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3"/>
      <c r="B85" s="1251"/>
      <c r="C85" s="1251"/>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4">
        <f t="shared" si="11"/>
        <v>0</v>
      </c>
      <c r="AW85" s="794">
        <f t="shared" si="12"/>
        <v>0</v>
      </c>
      <c r="AX85" s="794">
        <f t="shared" si="13"/>
        <v>0</v>
      </c>
      <c r="AY85" s="1178">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3"/>
      <c r="B86" s="1251"/>
      <c r="C86" s="1251"/>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4">
        <f t="shared" si="11"/>
        <v>0</v>
      </c>
      <c r="AW86" s="794">
        <f t="shared" si="12"/>
        <v>0</v>
      </c>
      <c r="AX86" s="794">
        <f t="shared" si="13"/>
        <v>0</v>
      </c>
      <c r="AY86" s="1178">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3"/>
      <c r="B87" s="1251"/>
      <c r="C87" s="1251"/>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4">
        <f t="shared" si="11"/>
        <v>0</v>
      </c>
      <c r="AW87" s="794">
        <f t="shared" si="12"/>
        <v>0</v>
      </c>
      <c r="AX87" s="794">
        <f t="shared" si="13"/>
        <v>0</v>
      </c>
      <c r="AY87" s="1178">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3"/>
      <c r="B88" s="1251"/>
      <c r="C88" s="1251"/>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4">
        <f t="shared" si="11"/>
        <v>0</v>
      </c>
      <c r="AW88" s="794">
        <f t="shared" si="12"/>
        <v>0</v>
      </c>
      <c r="AX88" s="794">
        <f t="shared" si="13"/>
        <v>0</v>
      </c>
      <c r="AY88" s="1178">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3"/>
      <c r="B89" s="1251"/>
      <c r="C89" s="1251"/>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4">
        <f t="shared" si="11"/>
        <v>0</v>
      </c>
      <c r="AW89" s="794">
        <f t="shared" si="12"/>
        <v>0</v>
      </c>
      <c r="AX89" s="794">
        <f t="shared" si="13"/>
        <v>0</v>
      </c>
      <c r="AY89" s="1178">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3"/>
      <c r="B90" s="1251"/>
      <c r="C90" s="1251"/>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4">
        <f t="shared" si="11"/>
        <v>0</v>
      </c>
      <c r="AW90" s="794">
        <f t="shared" si="12"/>
        <v>0</v>
      </c>
      <c r="AX90" s="794">
        <f t="shared" si="13"/>
        <v>0</v>
      </c>
      <c r="AY90" s="1178">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3"/>
      <c r="B91" s="1251"/>
      <c r="C91" s="1251"/>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4">
        <f t="shared" si="11"/>
        <v>0</v>
      </c>
      <c r="AW91" s="794">
        <f t="shared" si="12"/>
        <v>0</v>
      </c>
      <c r="AX91" s="794">
        <f t="shared" si="13"/>
        <v>0</v>
      </c>
      <c r="AY91" s="1178">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3"/>
      <c r="B92" s="1251"/>
      <c r="C92" s="1251"/>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4">
        <f t="shared" si="11"/>
        <v>0</v>
      </c>
      <c r="AW92" s="794">
        <f t="shared" si="12"/>
        <v>0</v>
      </c>
      <c r="AX92" s="794">
        <f t="shared" si="13"/>
        <v>0</v>
      </c>
      <c r="AY92" s="1178">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3"/>
      <c r="B93" s="1251"/>
      <c r="C93" s="1251"/>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4">
        <f t="shared" si="11"/>
        <v>0</v>
      </c>
      <c r="AW93" s="794">
        <f t="shared" si="12"/>
        <v>0</v>
      </c>
      <c r="AX93" s="794">
        <f t="shared" si="13"/>
        <v>0</v>
      </c>
      <c r="AY93" s="1178">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3"/>
      <c r="B94" s="1251"/>
      <c r="C94" s="1251"/>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4">
        <f t="shared" si="11"/>
        <v>0</v>
      </c>
      <c r="AW94" s="794">
        <f t="shared" si="12"/>
        <v>0</v>
      </c>
      <c r="AX94" s="794">
        <f t="shared" si="13"/>
        <v>0</v>
      </c>
      <c r="AY94" s="1178">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3"/>
      <c r="B95" s="1251"/>
      <c r="C95" s="1251"/>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4">
        <f t="shared" si="11"/>
        <v>0</v>
      </c>
      <c r="AW95" s="794">
        <f t="shared" si="12"/>
        <v>0</v>
      </c>
      <c r="AX95" s="794">
        <f t="shared" si="13"/>
        <v>0</v>
      </c>
      <c r="AY95" s="1178">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3"/>
      <c r="B96" s="1251"/>
      <c r="C96" s="1251"/>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4">
        <f t="shared" si="11"/>
        <v>0</v>
      </c>
      <c r="AW96" s="794">
        <f t="shared" si="12"/>
        <v>0</v>
      </c>
      <c r="AX96" s="794">
        <f t="shared" si="13"/>
        <v>0</v>
      </c>
      <c r="AY96" s="1178">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3"/>
      <c r="B97" s="1251"/>
      <c r="C97" s="1251"/>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4">
        <f t="shared" si="11"/>
        <v>0</v>
      </c>
      <c r="AW97" s="794">
        <f t="shared" si="12"/>
        <v>0</v>
      </c>
      <c r="AX97" s="794">
        <f t="shared" si="13"/>
        <v>0</v>
      </c>
      <c r="AY97" s="1178">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3"/>
      <c r="B98" s="1251"/>
      <c r="C98" s="1251"/>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4">
        <f t="shared" si="11"/>
        <v>0</v>
      </c>
      <c r="AW98" s="794">
        <f t="shared" si="12"/>
        <v>0</v>
      </c>
      <c r="AX98" s="794">
        <f t="shared" si="13"/>
        <v>0</v>
      </c>
      <c r="AY98" s="1178">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3"/>
      <c r="B99" s="1251"/>
      <c r="C99" s="1251"/>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4">
        <f t="shared" si="11"/>
        <v>0</v>
      </c>
      <c r="AW99" s="794">
        <f t="shared" si="12"/>
        <v>0</v>
      </c>
      <c r="AX99" s="794">
        <f t="shared" si="13"/>
        <v>0</v>
      </c>
      <c r="AY99" s="1178">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3"/>
      <c r="B100" s="1251"/>
      <c r="C100" s="1251"/>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4">
        <f t="shared" si="11"/>
        <v>0</v>
      </c>
      <c r="AW100" s="794">
        <f t="shared" si="12"/>
        <v>0</v>
      </c>
      <c r="AX100" s="794">
        <f t="shared" si="13"/>
        <v>0</v>
      </c>
      <c r="AY100" s="1178">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3"/>
      <c r="B101" s="1251"/>
      <c r="C101" s="1251"/>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4">
        <f t="shared" si="11"/>
        <v>0</v>
      </c>
      <c r="AW101" s="794">
        <f t="shared" si="12"/>
        <v>0</v>
      </c>
      <c r="AX101" s="794">
        <f t="shared" si="13"/>
        <v>0</v>
      </c>
      <c r="AY101" s="1178">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3"/>
      <c r="B102" s="1251"/>
      <c r="C102" s="1251"/>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4">
        <f t="shared" si="11"/>
        <v>0</v>
      </c>
      <c r="AW102" s="794">
        <f t="shared" si="12"/>
        <v>0</v>
      </c>
      <c r="AX102" s="794">
        <f t="shared" si="13"/>
        <v>0</v>
      </c>
      <c r="AY102" s="1178">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3"/>
      <c r="B103" s="1251"/>
      <c r="C103" s="1251"/>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4">
        <f t="shared" si="11"/>
        <v>0</v>
      </c>
      <c r="AW103" s="794">
        <f t="shared" si="12"/>
        <v>0</v>
      </c>
      <c r="AX103" s="794">
        <f t="shared" si="13"/>
        <v>0</v>
      </c>
      <c r="AY103" s="1178">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3"/>
      <c r="B104" s="1251"/>
      <c r="C104" s="1251"/>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4">
        <f t="shared" si="11"/>
        <v>0</v>
      </c>
      <c r="AW104" s="794">
        <f t="shared" si="12"/>
        <v>0</v>
      </c>
      <c r="AX104" s="794">
        <f t="shared" si="13"/>
        <v>0</v>
      </c>
      <c r="AY104" s="1178">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3"/>
      <c r="B105" s="1251"/>
      <c r="C105" s="1251"/>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4">
        <f t="shared" si="11"/>
        <v>0</v>
      </c>
      <c r="AW105" s="794">
        <f t="shared" si="12"/>
        <v>0</v>
      </c>
      <c r="AX105" s="794">
        <f t="shared" si="13"/>
        <v>0</v>
      </c>
      <c r="AY105" s="1178">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3"/>
      <c r="B106" s="1251"/>
      <c r="C106" s="1251"/>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4">
        <f t="shared" si="11"/>
        <v>0</v>
      </c>
      <c r="AW106" s="794">
        <f t="shared" si="12"/>
        <v>0</v>
      </c>
      <c r="AX106" s="794">
        <f t="shared" si="13"/>
        <v>0</v>
      </c>
      <c r="AY106" s="1178">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3"/>
      <c r="B107" s="1251"/>
      <c r="C107" s="1251"/>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4">
        <f t="shared" si="11"/>
        <v>0</v>
      </c>
      <c r="AW107" s="794">
        <f t="shared" si="12"/>
        <v>0</v>
      </c>
      <c r="AX107" s="794">
        <f t="shared" si="13"/>
        <v>0</v>
      </c>
      <c r="AY107" s="1178">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3"/>
      <c r="B108" s="1251"/>
      <c r="C108" s="1251"/>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4">
        <f t="shared" si="11"/>
        <v>0</v>
      </c>
      <c r="AW108" s="794">
        <f t="shared" si="12"/>
        <v>0</v>
      </c>
      <c r="AX108" s="794">
        <f t="shared" si="13"/>
        <v>0</v>
      </c>
      <c r="AY108" s="1178">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3"/>
      <c r="B109" s="1251"/>
      <c r="C109" s="1251"/>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4">
        <f t="shared" si="11"/>
        <v>0</v>
      </c>
      <c r="AW109" s="794">
        <f t="shared" si="12"/>
        <v>0</v>
      </c>
      <c r="AX109" s="794">
        <f t="shared" si="13"/>
        <v>0</v>
      </c>
      <c r="AY109" s="1178">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3"/>
      <c r="B110" s="1243"/>
      <c r="C110" s="1243"/>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6"/>
      <c r="AV110" s="794">
        <f t="shared" si="11"/>
        <v>0</v>
      </c>
      <c r="AW110" s="794">
        <f t="shared" si="12"/>
        <v>0</v>
      </c>
      <c r="AX110" s="794">
        <f t="shared" si="13"/>
        <v>0</v>
      </c>
      <c r="AY110" s="1178">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3"/>
      <c r="B111" s="1243"/>
      <c r="C111" s="1243"/>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6"/>
      <c r="AV111" s="794">
        <f t="shared" si="11"/>
        <v>0</v>
      </c>
      <c r="AW111" s="794">
        <f t="shared" si="12"/>
        <v>0</v>
      </c>
      <c r="AX111" s="794">
        <f t="shared" si="13"/>
        <v>0</v>
      </c>
      <c r="AY111" s="1178">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3"/>
      <c r="B112" s="1243"/>
      <c r="C112" s="1243"/>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6"/>
      <c r="AV112" s="794">
        <f t="shared" si="11"/>
        <v>0</v>
      </c>
      <c r="AW112" s="794">
        <f t="shared" si="12"/>
        <v>0</v>
      </c>
      <c r="AX112" s="794">
        <f t="shared" si="13"/>
        <v>0</v>
      </c>
      <c r="AY112" s="1178">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3"/>
      <c r="B113" s="1251"/>
      <c r="C113" s="1251"/>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4">
        <f t="shared" ref="AV113:AV144" si="62">A113</f>
        <v>0</v>
      </c>
      <c r="AW113" s="794">
        <f t="shared" ref="AW113:AW144" si="63">B113</f>
        <v>0</v>
      </c>
      <c r="AX113" s="794">
        <f t="shared" ref="AX113:AX144" si="64">C113</f>
        <v>0</v>
      </c>
      <c r="AY113" s="1178">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3"/>
      <c r="B114" s="1251"/>
      <c r="C114" s="1251"/>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4">
        <f t="shared" si="62"/>
        <v>0</v>
      </c>
      <c r="AW114" s="794">
        <f t="shared" si="63"/>
        <v>0</v>
      </c>
      <c r="AX114" s="794">
        <f t="shared" si="64"/>
        <v>0</v>
      </c>
      <c r="AY114" s="1178">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3"/>
      <c r="B115" s="1251"/>
      <c r="C115" s="1251"/>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4">
        <f t="shared" si="62"/>
        <v>0</v>
      </c>
      <c r="AW115" s="794">
        <f t="shared" si="63"/>
        <v>0</v>
      </c>
      <c r="AX115" s="794">
        <f t="shared" si="64"/>
        <v>0</v>
      </c>
      <c r="AY115" s="1178">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3"/>
      <c r="B116" s="1251"/>
      <c r="C116" s="1251"/>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4">
        <f t="shared" si="62"/>
        <v>0</v>
      </c>
      <c r="AW116" s="794">
        <f t="shared" si="63"/>
        <v>0</v>
      </c>
      <c r="AX116" s="794">
        <f t="shared" si="64"/>
        <v>0</v>
      </c>
      <c r="AY116" s="1178">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3"/>
      <c r="B117" s="1251"/>
      <c r="C117" s="1251"/>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4">
        <f t="shared" si="62"/>
        <v>0</v>
      </c>
      <c r="AW117" s="794">
        <f t="shared" si="63"/>
        <v>0</v>
      </c>
      <c r="AX117" s="794">
        <f t="shared" si="64"/>
        <v>0</v>
      </c>
      <c r="AY117" s="1178">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3"/>
      <c r="B118" s="1251"/>
      <c r="C118" s="1251"/>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4">
        <f t="shared" si="62"/>
        <v>0</v>
      </c>
      <c r="AW118" s="794">
        <f t="shared" si="63"/>
        <v>0</v>
      </c>
      <c r="AX118" s="794">
        <f t="shared" si="64"/>
        <v>0</v>
      </c>
      <c r="AY118" s="1178">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3"/>
      <c r="B119" s="1251"/>
      <c r="C119" s="1251"/>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4">
        <f t="shared" si="62"/>
        <v>0</v>
      </c>
      <c r="AW119" s="794">
        <f t="shared" si="63"/>
        <v>0</v>
      </c>
      <c r="AX119" s="794">
        <f t="shared" si="64"/>
        <v>0</v>
      </c>
      <c r="AY119" s="1178">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3"/>
      <c r="B120" s="1251"/>
      <c r="C120" s="1251"/>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4">
        <f t="shared" si="62"/>
        <v>0</v>
      </c>
      <c r="AW120" s="794">
        <f t="shared" si="63"/>
        <v>0</v>
      </c>
      <c r="AX120" s="794">
        <f t="shared" si="64"/>
        <v>0</v>
      </c>
      <c r="AY120" s="1178">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3"/>
      <c r="B121" s="1251"/>
      <c r="C121" s="1251"/>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4">
        <f t="shared" si="62"/>
        <v>0</v>
      </c>
      <c r="AW121" s="794">
        <f t="shared" si="63"/>
        <v>0</v>
      </c>
      <c r="AX121" s="794">
        <f t="shared" si="64"/>
        <v>0</v>
      </c>
      <c r="AY121" s="1178">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3"/>
      <c r="B122" s="1251"/>
      <c r="C122" s="1251"/>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4">
        <f t="shared" si="62"/>
        <v>0</v>
      </c>
      <c r="AW122" s="794">
        <f t="shared" si="63"/>
        <v>0</v>
      </c>
      <c r="AX122" s="794">
        <f t="shared" si="64"/>
        <v>0</v>
      </c>
      <c r="AY122" s="1178">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3"/>
      <c r="B123" s="1251"/>
      <c r="C123" s="1251"/>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4">
        <f t="shared" si="62"/>
        <v>0</v>
      </c>
      <c r="AW123" s="794">
        <f t="shared" si="63"/>
        <v>0</v>
      </c>
      <c r="AX123" s="794">
        <f t="shared" si="64"/>
        <v>0</v>
      </c>
      <c r="AY123" s="1178">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3"/>
      <c r="B124" s="1251"/>
      <c r="C124" s="1251"/>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4">
        <f t="shared" si="62"/>
        <v>0</v>
      </c>
      <c r="AW124" s="794">
        <f t="shared" si="63"/>
        <v>0</v>
      </c>
      <c r="AX124" s="794">
        <f t="shared" si="64"/>
        <v>0</v>
      </c>
      <c r="AY124" s="1178">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3"/>
      <c r="B125" s="1251"/>
      <c r="C125" s="1251"/>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4">
        <f t="shared" si="62"/>
        <v>0</v>
      </c>
      <c r="AW125" s="794">
        <f t="shared" si="63"/>
        <v>0</v>
      </c>
      <c r="AX125" s="794">
        <f t="shared" si="64"/>
        <v>0</v>
      </c>
      <c r="AY125" s="1178">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3"/>
      <c r="B126" s="1251"/>
      <c r="C126" s="1251"/>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4">
        <f t="shared" si="62"/>
        <v>0</v>
      </c>
      <c r="AW126" s="794">
        <f t="shared" si="63"/>
        <v>0</v>
      </c>
      <c r="AX126" s="794">
        <f t="shared" si="64"/>
        <v>0</v>
      </c>
      <c r="AY126" s="1178">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3"/>
      <c r="B127" s="1251"/>
      <c r="C127" s="1251"/>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4">
        <f t="shared" si="62"/>
        <v>0</v>
      </c>
      <c r="AW127" s="794">
        <f t="shared" si="63"/>
        <v>0</v>
      </c>
      <c r="AX127" s="794">
        <f t="shared" si="64"/>
        <v>0</v>
      </c>
      <c r="AY127" s="1178">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3"/>
      <c r="B128" s="1251"/>
      <c r="C128" s="1251"/>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4">
        <f t="shared" si="62"/>
        <v>0</v>
      </c>
      <c r="AW128" s="794">
        <f t="shared" si="63"/>
        <v>0</v>
      </c>
      <c r="AX128" s="794">
        <f t="shared" si="64"/>
        <v>0</v>
      </c>
      <c r="AY128" s="1178">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3"/>
      <c r="B129" s="1251"/>
      <c r="C129" s="1251"/>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4">
        <f t="shared" si="62"/>
        <v>0</v>
      </c>
      <c r="AW129" s="794">
        <f t="shared" si="63"/>
        <v>0</v>
      </c>
      <c r="AX129" s="794">
        <f t="shared" si="64"/>
        <v>0</v>
      </c>
      <c r="AY129" s="1178">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3"/>
      <c r="B130" s="1251"/>
      <c r="C130" s="1251"/>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4">
        <f t="shared" si="62"/>
        <v>0</v>
      </c>
      <c r="AW130" s="794">
        <f t="shared" si="63"/>
        <v>0</v>
      </c>
      <c r="AX130" s="794">
        <f t="shared" si="64"/>
        <v>0</v>
      </c>
      <c r="AY130" s="1178">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3"/>
      <c r="B131" s="1251"/>
      <c r="C131" s="1251"/>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4">
        <f t="shared" si="62"/>
        <v>0</v>
      </c>
      <c r="AW131" s="794">
        <f t="shared" si="63"/>
        <v>0</v>
      </c>
      <c r="AX131" s="794">
        <f t="shared" si="64"/>
        <v>0</v>
      </c>
      <c r="AY131" s="1178">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3"/>
      <c r="B132" s="1251"/>
      <c r="C132" s="1251"/>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4">
        <f t="shared" si="62"/>
        <v>0</v>
      </c>
      <c r="AW132" s="794">
        <f t="shared" si="63"/>
        <v>0</v>
      </c>
      <c r="AX132" s="794">
        <f t="shared" si="64"/>
        <v>0</v>
      </c>
      <c r="AY132" s="1178">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3"/>
      <c r="B133" s="1251"/>
      <c r="C133" s="1251"/>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4">
        <f t="shared" si="62"/>
        <v>0</v>
      </c>
      <c r="AW133" s="794">
        <f t="shared" si="63"/>
        <v>0</v>
      </c>
      <c r="AX133" s="794">
        <f t="shared" si="64"/>
        <v>0</v>
      </c>
      <c r="AY133" s="1178">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3"/>
      <c r="B134" s="1251"/>
      <c r="C134" s="1251"/>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4">
        <f t="shared" si="62"/>
        <v>0</v>
      </c>
      <c r="AW134" s="794">
        <f t="shared" si="63"/>
        <v>0</v>
      </c>
      <c r="AX134" s="794">
        <f t="shared" si="64"/>
        <v>0</v>
      </c>
      <c r="AY134" s="1178">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3"/>
      <c r="B135" s="1251"/>
      <c r="C135" s="1251"/>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4">
        <f t="shared" si="62"/>
        <v>0</v>
      </c>
      <c r="AW135" s="794">
        <f t="shared" si="63"/>
        <v>0</v>
      </c>
      <c r="AX135" s="794">
        <f t="shared" si="64"/>
        <v>0</v>
      </c>
      <c r="AY135" s="1178">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3"/>
      <c r="B136" s="1251"/>
      <c r="C136" s="1251"/>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4">
        <f t="shared" si="62"/>
        <v>0</v>
      </c>
      <c r="AW136" s="794">
        <f t="shared" si="63"/>
        <v>0</v>
      </c>
      <c r="AX136" s="794">
        <f t="shared" si="64"/>
        <v>0</v>
      </c>
      <c r="AY136" s="1178">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3"/>
      <c r="B137" s="1251"/>
      <c r="C137" s="1251"/>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4">
        <f t="shared" si="62"/>
        <v>0</v>
      </c>
      <c r="AW137" s="794">
        <f t="shared" si="63"/>
        <v>0</v>
      </c>
      <c r="AX137" s="794">
        <f t="shared" si="64"/>
        <v>0</v>
      </c>
      <c r="AY137" s="1178">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3"/>
      <c r="B138" s="1251"/>
      <c r="C138" s="1251"/>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4">
        <f t="shared" si="62"/>
        <v>0</v>
      </c>
      <c r="AW138" s="794">
        <f t="shared" si="63"/>
        <v>0</v>
      </c>
      <c r="AX138" s="794">
        <f t="shared" si="64"/>
        <v>0</v>
      </c>
      <c r="AY138" s="1178">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3"/>
      <c r="B139" s="1251"/>
      <c r="C139" s="1251"/>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4">
        <f t="shared" si="62"/>
        <v>0</v>
      </c>
      <c r="AW139" s="794">
        <f t="shared" si="63"/>
        <v>0</v>
      </c>
      <c r="AX139" s="794">
        <f t="shared" si="64"/>
        <v>0</v>
      </c>
      <c r="AY139" s="1178">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3"/>
      <c r="B140" s="1251"/>
      <c r="C140" s="1251"/>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4">
        <f t="shared" si="62"/>
        <v>0</v>
      </c>
      <c r="AW140" s="794">
        <f t="shared" si="63"/>
        <v>0</v>
      </c>
      <c r="AX140" s="794">
        <f t="shared" si="64"/>
        <v>0</v>
      </c>
      <c r="AY140" s="1178">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3"/>
      <c r="B141" s="1251"/>
      <c r="C141" s="1251"/>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4">
        <f t="shared" si="62"/>
        <v>0</v>
      </c>
      <c r="AW141" s="794">
        <f t="shared" si="63"/>
        <v>0</v>
      </c>
      <c r="AX141" s="794">
        <f t="shared" si="64"/>
        <v>0</v>
      </c>
      <c r="AY141" s="1178">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3"/>
      <c r="B142" s="1251"/>
      <c r="C142" s="1251"/>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4">
        <f t="shared" si="62"/>
        <v>0</v>
      </c>
      <c r="AW142" s="794">
        <f t="shared" si="63"/>
        <v>0</v>
      </c>
      <c r="AX142" s="794">
        <f t="shared" si="64"/>
        <v>0</v>
      </c>
      <c r="AY142" s="1178">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3"/>
      <c r="B143" s="1251"/>
      <c r="C143" s="1251"/>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4">
        <f t="shared" si="62"/>
        <v>0</v>
      </c>
      <c r="AW143" s="794">
        <f t="shared" si="63"/>
        <v>0</v>
      </c>
      <c r="AX143" s="794">
        <f t="shared" si="64"/>
        <v>0</v>
      </c>
      <c r="AY143" s="1178">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3"/>
      <c r="B144" s="1251"/>
      <c r="C144" s="1251"/>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4">
        <f t="shared" si="62"/>
        <v>0</v>
      </c>
      <c r="AW144" s="794">
        <f t="shared" si="63"/>
        <v>0</v>
      </c>
      <c r="AX144" s="794">
        <f t="shared" si="64"/>
        <v>0</v>
      </c>
      <c r="AY144" s="1178">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3"/>
      <c r="B145" s="1251"/>
      <c r="C145" s="1251"/>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4">
        <f t="shared" ref="AV145:AV176" si="91">A145</f>
        <v>0</v>
      </c>
      <c r="AW145" s="794">
        <f t="shared" ref="AW145:AW176" si="92">B145</f>
        <v>0</v>
      </c>
      <c r="AX145" s="794">
        <f t="shared" ref="AX145:AX176" si="93">C145</f>
        <v>0</v>
      </c>
      <c r="AY145" s="1178">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3"/>
      <c r="B146" s="1251"/>
      <c r="C146" s="1251"/>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4">
        <f t="shared" si="91"/>
        <v>0</v>
      </c>
      <c r="AW146" s="794">
        <f t="shared" si="92"/>
        <v>0</v>
      </c>
      <c r="AX146" s="794">
        <f t="shared" si="93"/>
        <v>0</v>
      </c>
      <c r="AY146" s="1178">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3"/>
      <c r="B147" s="1251"/>
      <c r="C147" s="1251"/>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4">
        <f t="shared" si="91"/>
        <v>0</v>
      </c>
      <c r="AW147" s="794">
        <f t="shared" si="92"/>
        <v>0</v>
      </c>
      <c r="AX147" s="794">
        <f t="shared" si="93"/>
        <v>0</v>
      </c>
      <c r="AY147" s="1178">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3"/>
      <c r="B148" s="1251"/>
      <c r="C148" s="1251"/>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4">
        <f t="shared" si="91"/>
        <v>0</v>
      </c>
      <c r="AW148" s="794">
        <f t="shared" si="92"/>
        <v>0</v>
      </c>
      <c r="AX148" s="794">
        <f t="shared" si="93"/>
        <v>0</v>
      </c>
      <c r="AY148" s="1178">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3"/>
      <c r="B149" s="1251"/>
      <c r="C149" s="1251"/>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4">
        <f t="shared" si="91"/>
        <v>0</v>
      </c>
      <c r="AW149" s="794">
        <f t="shared" si="92"/>
        <v>0</v>
      </c>
      <c r="AX149" s="794">
        <f t="shared" si="93"/>
        <v>0</v>
      </c>
      <c r="AY149" s="1178">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3"/>
      <c r="B150" s="1251"/>
      <c r="C150" s="1251"/>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4">
        <f t="shared" si="91"/>
        <v>0</v>
      </c>
      <c r="AW150" s="794">
        <f t="shared" si="92"/>
        <v>0</v>
      </c>
      <c r="AX150" s="794">
        <f t="shared" si="93"/>
        <v>0</v>
      </c>
      <c r="AY150" s="1178">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3"/>
      <c r="B151" s="1251"/>
      <c r="C151" s="1251"/>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4">
        <f t="shared" si="91"/>
        <v>0</v>
      </c>
      <c r="AW151" s="794">
        <f t="shared" si="92"/>
        <v>0</v>
      </c>
      <c r="AX151" s="794">
        <f t="shared" si="93"/>
        <v>0</v>
      </c>
      <c r="AY151" s="1178">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3"/>
      <c r="B152" s="1251"/>
      <c r="C152" s="1251"/>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4">
        <f t="shared" si="91"/>
        <v>0</v>
      </c>
      <c r="AW152" s="794">
        <f t="shared" si="92"/>
        <v>0</v>
      </c>
      <c r="AX152" s="794">
        <f t="shared" si="93"/>
        <v>0</v>
      </c>
      <c r="AY152" s="1178">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3"/>
      <c r="B153" s="1251"/>
      <c r="C153" s="1251"/>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4">
        <f t="shared" si="91"/>
        <v>0</v>
      </c>
      <c r="AW153" s="794">
        <f t="shared" si="92"/>
        <v>0</v>
      </c>
      <c r="AX153" s="794">
        <f t="shared" si="93"/>
        <v>0</v>
      </c>
      <c r="AY153" s="1178">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3"/>
      <c r="B154" s="1251"/>
      <c r="C154" s="1251"/>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4">
        <f t="shared" si="91"/>
        <v>0</v>
      </c>
      <c r="AW154" s="794">
        <f t="shared" si="92"/>
        <v>0</v>
      </c>
      <c r="AX154" s="794">
        <f t="shared" si="93"/>
        <v>0</v>
      </c>
      <c r="AY154" s="1178">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3"/>
      <c r="B155" s="1251"/>
      <c r="C155" s="1251"/>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4">
        <f t="shared" si="91"/>
        <v>0</v>
      </c>
      <c r="AW155" s="794">
        <f t="shared" si="92"/>
        <v>0</v>
      </c>
      <c r="AX155" s="794">
        <f t="shared" si="93"/>
        <v>0</v>
      </c>
      <c r="AY155" s="1178">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3"/>
      <c r="B156" s="1251"/>
      <c r="C156" s="1251"/>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4">
        <f t="shared" si="91"/>
        <v>0</v>
      </c>
      <c r="AW156" s="794">
        <f t="shared" si="92"/>
        <v>0</v>
      </c>
      <c r="AX156" s="794">
        <f t="shared" si="93"/>
        <v>0</v>
      </c>
      <c r="AY156" s="1178">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3"/>
      <c r="B157" s="1251"/>
      <c r="C157" s="1251"/>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4">
        <f t="shared" si="91"/>
        <v>0</v>
      </c>
      <c r="AW157" s="794">
        <f t="shared" si="92"/>
        <v>0</v>
      </c>
      <c r="AX157" s="794">
        <f t="shared" si="93"/>
        <v>0</v>
      </c>
      <c r="AY157" s="1178">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3"/>
      <c r="B158" s="1251"/>
      <c r="C158" s="1251"/>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4">
        <f t="shared" si="91"/>
        <v>0</v>
      </c>
      <c r="AW158" s="794">
        <f t="shared" si="92"/>
        <v>0</v>
      </c>
      <c r="AX158" s="794">
        <f t="shared" si="93"/>
        <v>0</v>
      </c>
      <c r="AY158" s="1178">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3"/>
      <c r="B159" s="1251"/>
      <c r="C159" s="1251"/>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4">
        <f t="shared" si="91"/>
        <v>0</v>
      </c>
      <c r="AW159" s="794">
        <f t="shared" si="92"/>
        <v>0</v>
      </c>
      <c r="AX159" s="794">
        <f t="shared" si="93"/>
        <v>0</v>
      </c>
      <c r="AY159" s="1178">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3"/>
      <c r="B160" s="1251"/>
      <c r="C160" s="1251"/>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4">
        <f t="shared" si="91"/>
        <v>0</v>
      </c>
      <c r="AW160" s="794">
        <f t="shared" si="92"/>
        <v>0</v>
      </c>
      <c r="AX160" s="794">
        <f t="shared" si="93"/>
        <v>0</v>
      </c>
      <c r="AY160" s="1178">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3"/>
      <c r="B161" s="1251"/>
      <c r="C161" s="1251"/>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4">
        <f t="shared" si="91"/>
        <v>0</v>
      </c>
      <c r="AW161" s="794">
        <f t="shared" si="92"/>
        <v>0</v>
      </c>
      <c r="AX161" s="794">
        <f t="shared" si="93"/>
        <v>0</v>
      </c>
      <c r="AY161" s="1178">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3"/>
      <c r="B162" s="1251"/>
      <c r="C162" s="1251"/>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4">
        <f t="shared" si="91"/>
        <v>0</v>
      </c>
      <c r="AW162" s="794">
        <f t="shared" si="92"/>
        <v>0</v>
      </c>
      <c r="AX162" s="794">
        <f t="shared" si="93"/>
        <v>0</v>
      </c>
      <c r="AY162" s="1178">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3"/>
      <c r="B163" s="1251"/>
      <c r="C163" s="1251"/>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4">
        <f t="shared" si="91"/>
        <v>0</v>
      </c>
      <c r="AW163" s="794">
        <f t="shared" si="92"/>
        <v>0</v>
      </c>
      <c r="AX163" s="794">
        <f t="shared" si="93"/>
        <v>0</v>
      </c>
      <c r="AY163" s="1178">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3"/>
      <c r="B164" s="1251"/>
      <c r="C164" s="1251"/>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4">
        <f t="shared" si="91"/>
        <v>0</v>
      </c>
      <c r="AW164" s="794">
        <f t="shared" si="92"/>
        <v>0</v>
      </c>
      <c r="AX164" s="794">
        <f t="shared" si="93"/>
        <v>0</v>
      </c>
      <c r="AY164" s="1178">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3"/>
      <c r="B165" s="1251"/>
      <c r="C165" s="1251"/>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4">
        <f t="shared" si="91"/>
        <v>0</v>
      </c>
      <c r="AW165" s="794">
        <f t="shared" si="92"/>
        <v>0</v>
      </c>
      <c r="AX165" s="794">
        <f t="shared" si="93"/>
        <v>0</v>
      </c>
      <c r="AY165" s="1178">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3"/>
      <c r="B166" s="1251"/>
      <c r="C166" s="1251"/>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4">
        <f t="shared" si="91"/>
        <v>0</v>
      </c>
      <c r="AW166" s="794">
        <f t="shared" si="92"/>
        <v>0</v>
      </c>
      <c r="AX166" s="794">
        <f t="shared" si="93"/>
        <v>0</v>
      </c>
      <c r="AY166" s="1178">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3"/>
      <c r="B167" s="1251"/>
      <c r="C167" s="1251"/>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4">
        <f t="shared" si="91"/>
        <v>0</v>
      </c>
      <c r="AW167" s="794">
        <f t="shared" si="92"/>
        <v>0</v>
      </c>
      <c r="AX167" s="794">
        <f t="shared" si="93"/>
        <v>0</v>
      </c>
      <c r="AY167" s="1178">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3"/>
      <c r="B168" s="1251"/>
      <c r="C168" s="1251"/>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4">
        <f t="shared" si="91"/>
        <v>0</v>
      </c>
      <c r="AW168" s="794">
        <f t="shared" si="92"/>
        <v>0</v>
      </c>
      <c r="AX168" s="794">
        <f t="shared" si="93"/>
        <v>0</v>
      </c>
      <c r="AY168" s="1178">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3"/>
      <c r="B169" s="1251"/>
      <c r="C169" s="1251"/>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4">
        <f t="shared" si="91"/>
        <v>0</v>
      </c>
      <c r="AW169" s="794">
        <f t="shared" si="92"/>
        <v>0</v>
      </c>
      <c r="AX169" s="794">
        <f t="shared" si="93"/>
        <v>0</v>
      </c>
      <c r="AY169" s="1178">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3"/>
      <c r="B170" s="1251"/>
      <c r="C170" s="1251"/>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4">
        <f t="shared" si="91"/>
        <v>0</v>
      </c>
      <c r="AW170" s="794">
        <f t="shared" si="92"/>
        <v>0</v>
      </c>
      <c r="AX170" s="794">
        <f t="shared" si="93"/>
        <v>0</v>
      </c>
      <c r="AY170" s="1178">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3"/>
      <c r="B171" s="1251"/>
      <c r="C171" s="1251"/>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4">
        <f t="shared" si="91"/>
        <v>0</v>
      </c>
      <c r="AW171" s="794">
        <f t="shared" si="92"/>
        <v>0</v>
      </c>
      <c r="AX171" s="794">
        <f t="shared" si="93"/>
        <v>0</v>
      </c>
      <c r="AY171" s="1178">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3"/>
      <c r="B172" s="1251"/>
      <c r="C172" s="1251"/>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4">
        <f t="shared" si="91"/>
        <v>0</v>
      </c>
      <c r="AW172" s="794">
        <f t="shared" si="92"/>
        <v>0</v>
      </c>
      <c r="AX172" s="794">
        <f t="shared" si="93"/>
        <v>0</v>
      </c>
      <c r="AY172" s="1178">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3"/>
      <c r="B173" s="1251"/>
      <c r="C173" s="1251"/>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4">
        <f t="shared" si="91"/>
        <v>0</v>
      </c>
      <c r="AW173" s="794">
        <f t="shared" si="92"/>
        <v>0</v>
      </c>
      <c r="AX173" s="794">
        <f t="shared" si="93"/>
        <v>0</v>
      </c>
      <c r="AY173" s="1178">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3"/>
      <c r="B174" s="1251"/>
      <c r="C174" s="1251"/>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4">
        <f t="shared" si="91"/>
        <v>0</v>
      </c>
      <c r="AW174" s="794">
        <f t="shared" si="92"/>
        <v>0</v>
      </c>
      <c r="AX174" s="794">
        <f t="shared" si="93"/>
        <v>0</v>
      </c>
      <c r="AY174" s="1178">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3"/>
      <c r="B175" s="1251"/>
      <c r="C175" s="1251"/>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4">
        <f t="shared" si="91"/>
        <v>0</v>
      </c>
      <c r="AW175" s="794">
        <f t="shared" si="92"/>
        <v>0</v>
      </c>
      <c r="AX175" s="794">
        <f t="shared" si="93"/>
        <v>0</v>
      </c>
      <c r="AY175" s="1178">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3"/>
      <c r="B176" s="1251"/>
      <c r="C176" s="1251"/>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4">
        <f t="shared" si="91"/>
        <v>0</v>
      </c>
      <c r="AW176" s="794">
        <f t="shared" si="92"/>
        <v>0</v>
      </c>
      <c r="AX176" s="794">
        <f t="shared" si="93"/>
        <v>0</v>
      </c>
      <c r="AY176" s="1178">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3"/>
      <c r="B177" s="1251"/>
      <c r="C177" s="1251"/>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4">
        <f t="shared" ref="AV177:AV207" si="120">A177</f>
        <v>0</v>
      </c>
      <c r="AW177" s="794">
        <f t="shared" ref="AW177:AW207" si="121">B177</f>
        <v>0</v>
      </c>
      <c r="AX177" s="794">
        <f t="shared" ref="AX177:AX207" si="122">C177</f>
        <v>0</v>
      </c>
      <c r="AY177" s="1178">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3"/>
      <c r="B178" s="1251"/>
      <c r="C178" s="1251"/>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4">
        <f t="shared" si="120"/>
        <v>0</v>
      </c>
      <c r="AW178" s="794">
        <f t="shared" si="121"/>
        <v>0</v>
      </c>
      <c r="AX178" s="794">
        <f t="shared" si="122"/>
        <v>0</v>
      </c>
      <c r="AY178" s="1178">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3"/>
      <c r="B179" s="1251"/>
      <c r="C179" s="1251"/>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4">
        <f t="shared" si="120"/>
        <v>0</v>
      </c>
      <c r="AW179" s="794">
        <f t="shared" si="121"/>
        <v>0</v>
      </c>
      <c r="AX179" s="794">
        <f t="shared" si="122"/>
        <v>0</v>
      </c>
      <c r="AY179" s="1178">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3"/>
      <c r="B180" s="1251"/>
      <c r="C180" s="1251"/>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4">
        <f t="shared" si="120"/>
        <v>0</v>
      </c>
      <c r="AW180" s="794">
        <f t="shared" si="121"/>
        <v>0</v>
      </c>
      <c r="AX180" s="794">
        <f t="shared" si="122"/>
        <v>0</v>
      </c>
      <c r="AY180" s="1178">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3"/>
      <c r="B181" s="1251"/>
      <c r="C181" s="1251"/>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4">
        <f t="shared" si="120"/>
        <v>0</v>
      </c>
      <c r="AW181" s="794">
        <f t="shared" si="121"/>
        <v>0</v>
      </c>
      <c r="AX181" s="794">
        <f t="shared" si="122"/>
        <v>0</v>
      </c>
      <c r="AY181" s="1178">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3"/>
      <c r="B182" s="1251"/>
      <c r="C182" s="1251"/>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4">
        <f t="shared" si="120"/>
        <v>0</v>
      </c>
      <c r="AW182" s="794">
        <f t="shared" si="121"/>
        <v>0</v>
      </c>
      <c r="AX182" s="794">
        <f t="shared" si="122"/>
        <v>0</v>
      </c>
      <c r="AY182" s="1178">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3"/>
      <c r="B183" s="1251"/>
      <c r="C183" s="1251"/>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4">
        <f t="shared" si="120"/>
        <v>0</v>
      </c>
      <c r="AW183" s="794">
        <f t="shared" si="121"/>
        <v>0</v>
      </c>
      <c r="AX183" s="794">
        <f t="shared" si="122"/>
        <v>0</v>
      </c>
      <c r="AY183" s="1178">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3"/>
      <c r="B184" s="1251"/>
      <c r="C184" s="1251"/>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4">
        <f t="shared" si="120"/>
        <v>0</v>
      </c>
      <c r="AW184" s="794">
        <f t="shared" si="121"/>
        <v>0</v>
      </c>
      <c r="AX184" s="794">
        <f t="shared" si="122"/>
        <v>0</v>
      </c>
      <c r="AY184" s="1178">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3"/>
      <c r="B185" s="1251"/>
      <c r="C185" s="1251"/>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4">
        <f t="shared" si="120"/>
        <v>0</v>
      </c>
      <c r="AW185" s="794">
        <f t="shared" si="121"/>
        <v>0</v>
      </c>
      <c r="AX185" s="794">
        <f t="shared" si="122"/>
        <v>0</v>
      </c>
      <c r="AY185" s="1178">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3"/>
      <c r="B186" s="1251"/>
      <c r="C186" s="1251"/>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4">
        <f t="shared" si="120"/>
        <v>0</v>
      </c>
      <c r="AW186" s="794">
        <f t="shared" si="121"/>
        <v>0</v>
      </c>
      <c r="AX186" s="794">
        <f t="shared" si="122"/>
        <v>0</v>
      </c>
      <c r="AY186" s="1178">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3"/>
      <c r="B187" s="1251"/>
      <c r="C187" s="1251"/>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4">
        <f t="shared" si="120"/>
        <v>0</v>
      </c>
      <c r="AW187" s="794">
        <f t="shared" si="121"/>
        <v>0</v>
      </c>
      <c r="AX187" s="794">
        <f t="shared" si="122"/>
        <v>0</v>
      </c>
      <c r="AY187" s="1178">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3"/>
      <c r="B188" s="1251"/>
      <c r="C188" s="1251"/>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4">
        <f t="shared" si="120"/>
        <v>0</v>
      </c>
      <c r="AW188" s="794">
        <f t="shared" si="121"/>
        <v>0</v>
      </c>
      <c r="AX188" s="794">
        <f t="shared" si="122"/>
        <v>0</v>
      </c>
      <c r="AY188" s="1178">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3"/>
      <c r="B189" s="1251"/>
      <c r="C189" s="1251"/>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4">
        <f t="shared" si="120"/>
        <v>0</v>
      </c>
      <c r="AW189" s="794">
        <f t="shared" si="121"/>
        <v>0</v>
      </c>
      <c r="AX189" s="794">
        <f t="shared" si="122"/>
        <v>0</v>
      </c>
      <c r="AY189" s="1178">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3"/>
      <c r="B190" s="1251"/>
      <c r="C190" s="1251"/>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4">
        <f t="shared" si="120"/>
        <v>0</v>
      </c>
      <c r="AW190" s="794">
        <f t="shared" si="121"/>
        <v>0</v>
      </c>
      <c r="AX190" s="794">
        <f t="shared" si="122"/>
        <v>0</v>
      </c>
      <c r="AY190" s="1178">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3"/>
      <c r="B191" s="1251"/>
      <c r="C191" s="1251"/>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4">
        <f t="shared" si="120"/>
        <v>0</v>
      </c>
      <c r="AW191" s="794">
        <f t="shared" si="121"/>
        <v>0</v>
      </c>
      <c r="AX191" s="794">
        <f t="shared" si="122"/>
        <v>0</v>
      </c>
      <c r="AY191" s="1178">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3"/>
      <c r="B192" s="1251"/>
      <c r="C192" s="1251"/>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4">
        <f t="shared" si="120"/>
        <v>0</v>
      </c>
      <c r="AW192" s="794">
        <f t="shared" si="121"/>
        <v>0</v>
      </c>
      <c r="AX192" s="794">
        <f t="shared" si="122"/>
        <v>0</v>
      </c>
      <c r="AY192" s="1178">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3"/>
      <c r="B193" s="1251"/>
      <c r="C193" s="1251"/>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4">
        <f t="shared" si="120"/>
        <v>0</v>
      </c>
      <c r="AW193" s="794">
        <f t="shared" si="121"/>
        <v>0</v>
      </c>
      <c r="AX193" s="794">
        <f t="shared" si="122"/>
        <v>0</v>
      </c>
      <c r="AY193" s="1178">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3"/>
      <c r="B194" s="1251"/>
      <c r="C194" s="1251"/>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4">
        <f t="shared" si="120"/>
        <v>0</v>
      </c>
      <c r="AW194" s="794">
        <f t="shared" si="121"/>
        <v>0</v>
      </c>
      <c r="AX194" s="794">
        <f t="shared" si="122"/>
        <v>0</v>
      </c>
      <c r="AY194" s="1178">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3"/>
      <c r="B195" s="1251"/>
      <c r="C195" s="1251"/>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4">
        <f t="shared" si="120"/>
        <v>0</v>
      </c>
      <c r="AW195" s="794">
        <f t="shared" si="121"/>
        <v>0</v>
      </c>
      <c r="AX195" s="794">
        <f t="shared" si="122"/>
        <v>0</v>
      </c>
      <c r="AY195" s="1178">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3"/>
      <c r="B196" s="1251"/>
      <c r="C196" s="1251"/>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4">
        <f t="shared" si="120"/>
        <v>0</v>
      </c>
      <c r="AW196" s="794">
        <f t="shared" si="121"/>
        <v>0</v>
      </c>
      <c r="AX196" s="794">
        <f t="shared" si="122"/>
        <v>0</v>
      </c>
      <c r="AY196" s="1178">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3"/>
      <c r="B197" s="1251"/>
      <c r="C197" s="1251"/>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4">
        <f t="shared" si="120"/>
        <v>0</v>
      </c>
      <c r="AW197" s="794">
        <f t="shared" si="121"/>
        <v>0</v>
      </c>
      <c r="AX197" s="794">
        <f t="shared" si="122"/>
        <v>0</v>
      </c>
      <c r="AY197" s="1178">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3"/>
      <c r="B198" s="1251"/>
      <c r="C198" s="1251"/>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4">
        <f t="shared" si="120"/>
        <v>0</v>
      </c>
      <c r="AW198" s="794">
        <f t="shared" si="121"/>
        <v>0</v>
      </c>
      <c r="AX198" s="794">
        <f t="shared" si="122"/>
        <v>0</v>
      </c>
      <c r="AY198" s="1178">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3"/>
      <c r="B199" s="1251"/>
      <c r="C199" s="1251"/>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4">
        <f t="shared" si="120"/>
        <v>0</v>
      </c>
      <c r="AW199" s="794">
        <f t="shared" si="121"/>
        <v>0</v>
      </c>
      <c r="AX199" s="794">
        <f t="shared" si="122"/>
        <v>0</v>
      </c>
      <c r="AY199" s="1178">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3"/>
      <c r="B200" s="1251"/>
      <c r="C200" s="1251"/>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4">
        <f t="shared" si="120"/>
        <v>0</v>
      </c>
      <c r="AW200" s="794">
        <f t="shared" si="121"/>
        <v>0</v>
      </c>
      <c r="AX200" s="794">
        <f t="shared" si="122"/>
        <v>0</v>
      </c>
      <c r="AY200" s="1178">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3"/>
      <c r="B201" s="1251"/>
      <c r="C201" s="1251"/>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4">
        <f t="shared" si="120"/>
        <v>0</v>
      </c>
      <c r="AW201" s="794">
        <f t="shared" si="121"/>
        <v>0</v>
      </c>
      <c r="AX201" s="794">
        <f t="shared" si="122"/>
        <v>0</v>
      </c>
      <c r="AY201" s="1178">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3"/>
      <c r="B202" s="1251"/>
      <c r="C202" s="1251"/>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4">
        <f t="shared" si="120"/>
        <v>0</v>
      </c>
      <c r="AW202" s="794">
        <f t="shared" si="121"/>
        <v>0</v>
      </c>
      <c r="AX202" s="794">
        <f t="shared" si="122"/>
        <v>0</v>
      </c>
      <c r="AY202" s="1178">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3"/>
      <c r="B203" s="1251"/>
      <c r="C203" s="1251"/>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4">
        <f t="shared" si="120"/>
        <v>0</v>
      </c>
      <c r="AW203" s="794">
        <f t="shared" si="121"/>
        <v>0</v>
      </c>
      <c r="AX203" s="794">
        <f t="shared" si="122"/>
        <v>0</v>
      </c>
      <c r="AY203" s="1178">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3"/>
      <c r="B204" s="1251"/>
      <c r="C204" s="1251"/>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4">
        <f t="shared" si="120"/>
        <v>0</v>
      </c>
      <c r="AW204" s="794">
        <f t="shared" si="121"/>
        <v>0</v>
      </c>
      <c r="AX204" s="794">
        <f t="shared" si="122"/>
        <v>0</v>
      </c>
      <c r="AY204" s="1178">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3"/>
      <c r="B205" s="1243"/>
      <c r="C205" s="1243"/>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6"/>
      <c r="AV205" s="794">
        <f t="shared" si="120"/>
        <v>0</v>
      </c>
      <c r="AW205" s="794">
        <f t="shared" si="121"/>
        <v>0</v>
      </c>
      <c r="AX205" s="794">
        <f t="shared" si="122"/>
        <v>0</v>
      </c>
      <c r="AY205" s="1178">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3"/>
      <c r="B206" s="1243"/>
      <c r="C206" s="1243"/>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6"/>
      <c r="AV206" s="794">
        <f t="shared" si="120"/>
        <v>0</v>
      </c>
      <c r="AW206" s="794">
        <f t="shared" si="121"/>
        <v>0</v>
      </c>
      <c r="AX206" s="794">
        <f t="shared" si="122"/>
        <v>0</v>
      </c>
      <c r="AY206" s="1178">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3"/>
      <c r="B207" s="1243"/>
      <c r="C207" s="1243"/>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6"/>
      <c r="AV207" s="794">
        <f t="shared" si="120"/>
        <v>0</v>
      </c>
      <c r="AW207" s="794">
        <f t="shared" si="121"/>
        <v>0</v>
      </c>
      <c r="AX207" s="794">
        <f t="shared" si="122"/>
        <v>0</v>
      </c>
      <c r="AY207" s="1178">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3"/>
      <c r="B208" s="1251"/>
      <c r="C208" s="1251"/>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4">
        <f t="shared" ref="AV208:AV302" si="127">A208</f>
        <v>0</v>
      </c>
      <c r="AW208" s="794">
        <f t="shared" ref="AW208:AW302" si="128">B208</f>
        <v>0</v>
      </c>
      <c r="AX208" s="794">
        <f t="shared" ref="AX208:AX302" si="129">C208</f>
        <v>0</v>
      </c>
      <c r="AY208" s="1178">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3"/>
      <c r="B209" s="1251"/>
      <c r="C209" s="1251"/>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4">
        <f t="shared" si="127"/>
        <v>0</v>
      </c>
      <c r="AW209" s="794">
        <f t="shared" si="128"/>
        <v>0</v>
      </c>
      <c r="AX209" s="794">
        <f t="shared" si="129"/>
        <v>0</v>
      </c>
      <c r="AY209" s="1178">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3"/>
      <c r="B210" s="1251"/>
      <c r="C210" s="1251"/>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4">
        <f t="shared" si="127"/>
        <v>0</v>
      </c>
      <c r="AW210" s="794">
        <f t="shared" si="128"/>
        <v>0</v>
      </c>
      <c r="AX210" s="794">
        <f t="shared" si="129"/>
        <v>0</v>
      </c>
      <c r="AY210" s="1178">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3"/>
      <c r="B211" s="1251"/>
      <c r="C211" s="1251"/>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4">
        <f t="shared" si="127"/>
        <v>0</v>
      </c>
      <c r="AW211" s="794">
        <f t="shared" si="128"/>
        <v>0</v>
      </c>
      <c r="AX211" s="794">
        <f t="shared" si="129"/>
        <v>0</v>
      </c>
      <c r="AY211" s="1178">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3"/>
      <c r="B212" s="1251"/>
      <c r="C212" s="1251"/>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4">
        <f t="shared" si="127"/>
        <v>0</v>
      </c>
      <c r="AW212" s="794">
        <f t="shared" si="128"/>
        <v>0</v>
      </c>
      <c r="AX212" s="794">
        <f t="shared" si="129"/>
        <v>0</v>
      </c>
      <c r="AY212" s="1178">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3"/>
      <c r="B213" s="1251"/>
      <c r="C213" s="1251"/>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4">
        <f t="shared" si="127"/>
        <v>0</v>
      </c>
      <c r="AW213" s="794">
        <f t="shared" si="128"/>
        <v>0</v>
      </c>
      <c r="AX213" s="794">
        <f t="shared" si="129"/>
        <v>0</v>
      </c>
      <c r="AY213" s="1178">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3"/>
      <c r="B214" s="1251"/>
      <c r="C214" s="1251"/>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4">
        <f t="shared" si="127"/>
        <v>0</v>
      </c>
      <c r="AW214" s="794">
        <f t="shared" si="128"/>
        <v>0</v>
      </c>
      <c r="AX214" s="794">
        <f t="shared" si="129"/>
        <v>0</v>
      </c>
      <c r="AY214" s="1178">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3"/>
      <c r="B215" s="1251"/>
      <c r="C215" s="1251"/>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4">
        <f t="shared" si="127"/>
        <v>0</v>
      </c>
      <c r="AW215" s="794">
        <f t="shared" si="128"/>
        <v>0</v>
      </c>
      <c r="AX215" s="794">
        <f t="shared" si="129"/>
        <v>0</v>
      </c>
      <c r="AY215" s="1178">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3"/>
      <c r="B216" s="1251"/>
      <c r="C216" s="1251"/>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4">
        <f t="shared" si="127"/>
        <v>0</v>
      </c>
      <c r="AW216" s="794">
        <f t="shared" si="128"/>
        <v>0</v>
      </c>
      <c r="AX216" s="794">
        <f t="shared" si="129"/>
        <v>0</v>
      </c>
      <c r="AY216" s="1178">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3"/>
      <c r="B217" s="1251"/>
      <c r="C217" s="1251"/>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4">
        <f t="shared" si="127"/>
        <v>0</v>
      </c>
      <c r="AW217" s="794">
        <f t="shared" si="128"/>
        <v>0</v>
      </c>
      <c r="AX217" s="794">
        <f t="shared" si="129"/>
        <v>0</v>
      </c>
      <c r="AY217" s="1178">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3"/>
      <c r="B218" s="1251"/>
      <c r="C218" s="1251"/>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4">
        <f t="shared" si="127"/>
        <v>0</v>
      </c>
      <c r="AW218" s="794">
        <f t="shared" si="128"/>
        <v>0</v>
      </c>
      <c r="AX218" s="794">
        <f t="shared" si="129"/>
        <v>0</v>
      </c>
      <c r="AY218" s="1178">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3"/>
      <c r="B219" s="1251"/>
      <c r="C219" s="1251"/>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4">
        <f t="shared" si="127"/>
        <v>0</v>
      </c>
      <c r="AW219" s="794">
        <f t="shared" si="128"/>
        <v>0</v>
      </c>
      <c r="AX219" s="794">
        <f t="shared" si="129"/>
        <v>0</v>
      </c>
      <c r="AY219" s="1178">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3"/>
      <c r="B220" s="1251"/>
      <c r="C220" s="1251"/>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4">
        <f t="shared" si="127"/>
        <v>0</v>
      </c>
      <c r="AW220" s="794">
        <f t="shared" si="128"/>
        <v>0</v>
      </c>
      <c r="AX220" s="794">
        <f t="shared" si="129"/>
        <v>0</v>
      </c>
      <c r="AY220" s="1178">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3"/>
      <c r="B221" s="1251"/>
      <c r="C221" s="1251"/>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4">
        <f t="shared" si="127"/>
        <v>0</v>
      </c>
      <c r="AW221" s="794">
        <f t="shared" si="128"/>
        <v>0</v>
      </c>
      <c r="AX221" s="794">
        <f t="shared" si="129"/>
        <v>0</v>
      </c>
      <c r="AY221" s="1178">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3"/>
      <c r="B222" s="1251"/>
      <c r="C222" s="1251"/>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4">
        <f t="shared" si="127"/>
        <v>0</v>
      </c>
      <c r="AW222" s="794">
        <f t="shared" si="128"/>
        <v>0</v>
      </c>
      <c r="AX222" s="794">
        <f t="shared" si="129"/>
        <v>0</v>
      </c>
      <c r="AY222" s="1178">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3"/>
      <c r="B223" s="1251"/>
      <c r="C223" s="1251"/>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4">
        <f t="shared" si="127"/>
        <v>0</v>
      </c>
      <c r="AW223" s="794">
        <f t="shared" si="128"/>
        <v>0</v>
      </c>
      <c r="AX223" s="794">
        <f t="shared" si="129"/>
        <v>0</v>
      </c>
      <c r="AY223" s="1178">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3"/>
      <c r="B224" s="1251"/>
      <c r="C224" s="1251"/>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4">
        <f t="shared" si="127"/>
        <v>0</v>
      </c>
      <c r="AW224" s="794">
        <f t="shared" si="128"/>
        <v>0</v>
      </c>
      <c r="AX224" s="794">
        <f t="shared" si="129"/>
        <v>0</v>
      </c>
      <c r="AY224" s="1178">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3"/>
      <c r="B225" s="1251"/>
      <c r="C225" s="1251"/>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4">
        <f t="shared" si="127"/>
        <v>0</v>
      </c>
      <c r="AW225" s="794">
        <f t="shared" si="128"/>
        <v>0</v>
      </c>
      <c r="AX225" s="794">
        <f t="shared" si="129"/>
        <v>0</v>
      </c>
      <c r="AY225" s="1178">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3"/>
      <c r="B226" s="1251"/>
      <c r="C226" s="1251"/>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4">
        <f t="shared" si="127"/>
        <v>0</v>
      </c>
      <c r="AW226" s="794">
        <f t="shared" si="128"/>
        <v>0</v>
      </c>
      <c r="AX226" s="794">
        <f t="shared" si="129"/>
        <v>0</v>
      </c>
      <c r="AY226" s="1178">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3"/>
      <c r="B227" s="1251"/>
      <c r="C227" s="1251"/>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4">
        <f t="shared" si="127"/>
        <v>0</v>
      </c>
      <c r="AW227" s="794">
        <f t="shared" si="128"/>
        <v>0</v>
      </c>
      <c r="AX227" s="794">
        <f t="shared" si="129"/>
        <v>0</v>
      </c>
      <c r="AY227" s="1178">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3"/>
      <c r="B228" s="1251"/>
      <c r="C228" s="1251"/>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4">
        <f t="shared" si="127"/>
        <v>0</v>
      </c>
      <c r="AW228" s="794">
        <f t="shared" si="128"/>
        <v>0</v>
      </c>
      <c r="AX228" s="794">
        <f t="shared" si="129"/>
        <v>0</v>
      </c>
      <c r="AY228" s="1178">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3"/>
      <c r="B229" s="1251"/>
      <c r="C229" s="1251"/>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4">
        <f t="shared" si="127"/>
        <v>0</v>
      </c>
      <c r="AW229" s="794">
        <f t="shared" si="128"/>
        <v>0</v>
      </c>
      <c r="AX229" s="794">
        <f t="shared" si="129"/>
        <v>0</v>
      </c>
      <c r="AY229" s="1178">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3"/>
      <c r="B230" s="1251"/>
      <c r="C230" s="1251"/>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4">
        <f t="shared" si="127"/>
        <v>0</v>
      </c>
      <c r="AW230" s="794">
        <f t="shared" si="128"/>
        <v>0</v>
      </c>
      <c r="AX230" s="794">
        <f t="shared" si="129"/>
        <v>0</v>
      </c>
      <c r="AY230" s="1178">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3"/>
      <c r="B231" s="1251"/>
      <c r="C231" s="1251"/>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4">
        <f t="shared" si="127"/>
        <v>0</v>
      </c>
      <c r="AW231" s="794">
        <f t="shared" si="128"/>
        <v>0</v>
      </c>
      <c r="AX231" s="794">
        <f t="shared" si="129"/>
        <v>0</v>
      </c>
      <c r="AY231" s="1178">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3"/>
      <c r="B232" s="1251"/>
      <c r="C232" s="1251"/>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4">
        <f t="shared" si="127"/>
        <v>0</v>
      </c>
      <c r="AW232" s="794">
        <f t="shared" si="128"/>
        <v>0</v>
      </c>
      <c r="AX232" s="794">
        <f t="shared" si="129"/>
        <v>0</v>
      </c>
      <c r="AY232" s="1178">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3"/>
      <c r="B233" s="1251"/>
      <c r="C233" s="1251"/>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4">
        <f t="shared" si="127"/>
        <v>0</v>
      </c>
      <c r="AW233" s="794">
        <f t="shared" si="128"/>
        <v>0</v>
      </c>
      <c r="AX233" s="794">
        <f t="shared" si="129"/>
        <v>0</v>
      </c>
      <c r="AY233" s="1178">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3"/>
      <c r="B234" s="1251"/>
      <c r="C234" s="1251"/>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4">
        <f t="shared" si="127"/>
        <v>0</v>
      </c>
      <c r="AW234" s="794">
        <f t="shared" si="128"/>
        <v>0</v>
      </c>
      <c r="AX234" s="794">
        <f t="shared" si="129"/>
        <v>0</v>
      </c>
      <c r="AY234" s="1178">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3"/>
      <c r="B235" s="1251"/>
      <c r="C235" s="1251"/>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4">
        <f t="shared" si="127"/>
        <v>0</v>
      </c>
      <c r="AW235" s="794">
        <f t="shared" si="128"/>
        <v>0</v>
      </c>
      <c r="AX235" s="794">
        <f t="shared" si="129"/>
        <v>0</v>
      </c>
      <c r="AY235" s="1178">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3"/>
      <c r="B236" s="1251"/>
      <c r="C236" s="1251"/>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4">
        <f t="shared" si="127"/>
        <v>0</v>
      </c>
      <c r="AW236" s="794">
        <f t="shared" si="128"/>
        <v>0</v>
      </c>
      <c r="AX236" s="794">
        <f t="shared" si="129"/>
        <v>0</v>
      </c>
      <c r="AY236" s="1178">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3"/>
      <c r="B237" s="1251"/>
      <c r="C237" s="1251"/>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4">
        <f t="shared" si="127"/>
        <v>0</v>
      </c>
      <c r="AW237" s="794">
        <f t="shared" si="128"/>
        <v>0</v>
      </c>
      <c r="AX237" s="794">
        <f t="shared" si="129"/>
        <v>0</v>
      </c>
      <c r="AY237" s="1178">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3"/>
      <c r="B238" s="1251"/>
      <c r="C238" s="1251"/>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4">
        <f t="shared" si="127"/>
        <v>0</v>
      </c>
      <c r="AW238" s="794">
        <f t="shared" si="128"/>
        <v>0</v>
      </c>
      <c r="AX238" s="794">
        <f t="shared" si="129"/>
        <v>0</v>
      </c>
      <c r="AY238" s="1178">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3"/>
      <c r="B239" s="1251"/>
      <c r="C239" s="1251"/>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4">
        <f t="shared" si="127"/>
        <v>0</v>
      </c>
      <c r="AW239" s="794">
        <f t="shared" si="128"/>
        <v>0</v>
      </c>
      <c r="AX239" s="794">
        <f t="shared" si="129"/>
        <v>0</v>
      </c>
      <c r="AY239" s="1178">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3"/>
      <c r="B240" s="1251"/>
      <c r="C240" s="1251"/>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4">
        <f t="shared" si="127"/>
        <v>0</v>
      </c>
      <c r="AW240" s="794">
        <f t="shared" si="128"/>
        <v>0</v>
      </c>
      <c r="AX240" s="794">
        <f t="shared" si="129"/>
        <v>0</v>
      </c>
      <c r="AY240" s="1178">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3"/>
      <c r="B241" s="1251"/>
      <c r="C241" s="1251"/>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4">
        <f t="shared" si="127"/>
        <v>0</v>
      </c>
      <c r="AW241" s="794">
        <f t="shared" si="128"/>
        <v>0</v>
      </c>
      <c r="AX241" s="794">
        <f t="shared" si="129"/>
        <v>0</v>
      </c>
      <c r="AY241" s="1178">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3"/>
      <c r="B242" s="1251"/>
      <c r="C242" s="1251"/>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4">
        <f t="shared" si="127"/>
        <v>0</v>
      </c>
      <c r="AW242" s="794">
        <f t="shared" si="128"/>
        <v>0</v>
      </c>
      <c r="AX242" s="794">
        <f t="shared" si="129"/>
        <v>0</v>
      </c>
      <c r="AY242" s="1178">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3"/>
      <c r="B243" s="1251"/>
      <c r="C243" s="1251"/>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4">
        <f t="shared" si="127"/>
        <v>0</v>
      </c>
      <c r="AW243" s="794">
        <f t="shared" si="128"/>
        <v>0</v>
      </c>
      <c r="AX243" s="794">
        <f t="shared" si="129"/>
        <v>0</v>
      </c>
      <c r="AY243" s="1178">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3"/>
      <c r="B244" s="1251"/>
      <c r="C244" s="1251"/>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4">
        <f t="shared" si="127"/>
        <v>0</v>
      </c>
      <c r="AW244" s="794">
        <f t="shared" si="128"/>
        <v>0</v>
      </c>
      <c r="AX244" s="794">
        <f t="shared" si="129"/>
        <v>0</v>
      </c>
      <c r="AY244" s="1178">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3"/>
      <c r="B245" s="1251"/>
      <c r="C245" s="1251"/>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4">
        <f t="shared" si="127"/>
        <v>0</v>
      </c>
      <c r="AW245" s="794">
        <f t="shared" si="128"/>
        <v>0</v>
      </c>
      <c r="AX245" s="794">
        <f t="shared" si="129"/>
        <v>0</v>
      </c>
      <c r="AY245" s="1178">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3"/>
      <c r="B246" s="1251"/>
      <c r="C246" s="1251"/>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4">
        <f t="shared" si="127"/>
        <v>0</v>
      </c>
      <c r="AW246" s="794">
        <f t="shared" si="128"/>
        <v>0</v>
      </c>
      <c r="AX246" s="794">
        <f t="shared" si="129"/>
        <v>0</v>
      </c>
      <c r="AY246" s="1178">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3"/>
      <c r="B247" s="1251"/>
      <c r="C247" s="1251"/>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4">
        <f t="shared" si="127"/>
        <v>0</v>
      </c>
      <c r="AW247" s="794">
        <f t="shared" si="128"/>
        <v>0</v>
      </c>
      <c r="AX247" s="794">
        <f t="shared" si="129"/>
        <v>0</v>
      </c>
      <c r="AY247" s="1178">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3"/>
      <c r="B248" s="1251"/>
      <c r="C248" s="1251"/>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4">
        <f t="shared" si="127"/>
        <v>0</v>
      </c>
      <c r="AW248" s="794">
        <f t="shared" si="128"/>
        <v>0</v>
      </c>
      <c r="AX248" s="794">
        <f t="shared" si="129"/>
        <v>0</v>
      </c>
      <c r="AY248" s="1178">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3"/>
      <c r="B249" s="1251"/>
      <c r="C249" s="1251"/>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4">
        <f t="shared" si="127"/>
        <v>0</v>
      </c>
      <c r="AW249" s="794">
        <f t="shared" si="128"/>
        <v>0</v>
      </c>
      <c r="AX249" s="794">
        <f t="shared" si="129"/>
        <v>0</v>
      </c>
      <c r="AY249" s="1178">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3"/>
      <c r="B250" s="1251"/>
      <c r="C250" s="1251"/>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4">
        <f t="shared" si="127"/>
        <v>0</v>
      </c>
      <c r="AW250" s="794">
        <f t="shared" si="128"/>
        <v>0</v>
      </c>
      <c r="AX250" s="794">
        <f t="shared" si="129"/>
        <v>0</v>
      </c>
      <c r="AY250" s="1178">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3"/>
      <c r="B251" s="1251"/>
      <c r="C251" s="1251"/>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4">
        <f t="shared" si="127"/>
        <v>0</v>
      </c>
      <c r="AW251" s="794">
        <f t="shared" si="128"/>
        <v>0</v>
      </c>
      <c r="AX251" s="794">
        <f t="shared" si="129"/>
        <v>0</v>
      </c>
      <c r="AY251" s="1178">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3"/>
      <c r="B252" s="1251"/>
      <c r="C252" s="1251"/>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4">
        <f t="shared" si="127"/>
        <v>0</v>
      </c>
      <c r="AW252" s="794">
        <f t="shared" si="128"/>
        <v>0</v>
      </c>
      <c r="AX252" s="794">
        <f t="shared" si="129"/>
        <v>0</v>
      </c>
      <c r="AY252" s="1178">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3"/>
      <c r="B253" s="1251"/>
      <c r="C253" s="1251"/>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4">
        <f t="shared" si="127"/>
        <v>0</v>
      </c>
      <c r="AW253" s="794">
        <f t="shared" si="128"/>
        <v>0</v>
      </c>
      <c r="AX253" s="794">
        <f t="shared" si="129"/>
        <v>0</v>
      </c>
      <c r="AY253" s="1178">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3"/>
      <c r="B254" s="1251"/>
      <c r="C254" s="1251"/>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4">
        <f t="shared" si="127"/>
        <v>0</v>
      </c>
      <c r="AW254" s="794">
        <f t="shared" si="128"/>
        <v>0</v>
      </c>
      <c r="AX254" s="794">
        <f t="shared" si="129"/>
        <v>0</v>
      </c>
      <c r="AY254" s="1178">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3"/>
      <c r="B255" s="1251"/>
      <c r="C255" s="1251"/>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4">
        <f t="shared" si="127"/>
        <v>0</v>
      </c>
      <c r="AW255" s="794">
        <f t="shared" si="128"/>
        <v>0</v>
      </c>
      <c r="AX255" s="794">
        <f t="shared" si="129"/>
        <v>0</v>
      </c>
      <c r="AY255" s="1178">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3"/>
      <c r="B256" s="1251"/>
      <c r="C256" s="1251"/>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4">
        <f t="shared" si="127"/>
        <v>0</v>
      </c>
      <c r="AW256" s="794">
        <f t="shared" si="128"/>
        <v>0</v>
      </c>
      <c r="AX256" s="794">
        <f t="shared" si="129"/>
        <v>0</v>
      </c>
      <c r="AY256" s="1178">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3"/>
      <c r="B257" s="1251"/>
      <c r="C257" s="1251"/>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4">
        <f t="shared" si="127"/>
        <v>0</v>
      </c>
      <c r="AW257" s="794">
        <f t="shared" si="128"/>
        <v>0</v>
      </c>
      <c r="AX257" s="794">
        <f t="shared" si="129"/>
        <v>0</v>
      </c>
      <c r="AY257" s="1178">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3"/>
      <c r="B258" s="1251"/>
      <c r="C258" s="1251"/>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4">
        <f t="shared" si="127"/>
        <v>0</v>
      </c>
      <c r="AW258" s="794">
        <f t="shared" si="128"/>
        <v>0</v>
      </c>
      <c r="AX258" s="794">
        <f t="shared" si="129"/>
        <v>0</v>
      </c>
      <c r="AY258" s="1178">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3"/>
      <c r="B259" s="1251"/>
      <c r="C259" s="1251"/>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4">
        <f t="shared" si="127"/>
        <v>0</v>
      </c>
      <c r="AW259" s="794">
        <f t="shared" si="128"/>
        <v>0</v>
      </c>
      <c r="AX259" s="794">
        <f t="shared" si="129"/>
        <v>0</v>
      </c>
      <c r="AY259" s="1178">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3"/>
      <c r="B260" s="1251"/>
      <c r="C260" s="1251"/>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4">
        <f t="shared" si="127"/>
        <v>0</v>
      </c>
      <c r="AW260" s="794">
        <f t="shared" si="128"/>
        <v>0</v>
      </c>
      <c r="AX260" s="794">
        <f t="shared" si="129"/>
        <v>0</v>
      </c>
      <c r="AY260" s="1178">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3"/>
      <c r="B261" s="1251"/>
      <c r="C261" s="1251"/>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4">
        <f t="shared" si="127"/>
        <v>0</v>
      </c>
      <c r="AW261" s="794">
        <f t="shared" si="128"/>
        <v>0</v>
      </c>
      <c r="AX261" s="794">
        <f t="shared" si="129"/>
        <v>0</v>
      </c>
      <c r="AY261" s="1178">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3"/>
      <c r="B262" s="1251"/>
      <c r="C262" s="1251"/>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4">
        <f t="shared" si="127"/>
        <v>0</v>
      </c>
      <c r="AW262" s="794">
        <f t="shared" si="128"/>
        <v>0</v>
      </c>
      <c r="AX262" s="794">
        <f t="shared" si="129"/>
        <v>0</v>
      </c>
      <c r="AY262" s="1178">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3"/>
      <c r="B263" s="1251"/>
      <c r="C263" s="1251"/>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4">
        <f t="shared" si="127"/>
        <v>0</v>
      </c>
      <c r="AW263" s="794">
        <f t="shared" si="128"/>
        <v>0</v>
      </c>
      <c r="AX263" s="794">
        <f t="shared" si="129"/>
        <v>0</v>
      </c>
      <c r="AY263" s="1178">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3"/>
      <c r="B264" s="1251"/>
      <c r="C264" s="1251"/>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4">
        <f t="shared" si="127"/>
        <v>0</v>
      </c>
      <c r="AW264" s="794">
        <f t="shared" si="128"/>
        <v>0</v>
      </c>
      <c r="AX264" s="794">
        <f t="shared" si="129"/>
        <v>0</v>
      </c>
      <c r="AY264" s="1178">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3"/>
      <c r="B265" s="1251"/>
      <c r="C265" s="1251"/>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4">
        <f t="shared" si="127"/>
        <v>0</v>
      </c>
      <c r="AW265" s="794">
        <f t="shared" si="128"/>
        <v>0</v>
      </c>
      <c r="AX265" s="794">
        <f t="shared" si="129"/>
        <v>0</v>
      </c>
      <c r="AY265" s="1178">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3"/>
      <c r="B266" s="1251"/>
      <c r="C266" s="1251"/>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4">
        <f t="shared" si="127"/>
        <v>0</v>
      </c>
      <c r="AW266" s="794">
        <f t="shared" si="128"/>
        <v>0</v>
      </c>
      <c r="AX266" s="794">
        <f t="shared" si="129"/>
        <v>0</v>
      </c>
      <c r="AY266" s="1178">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3"/>
      <c r="B267" s="1251"/>
      <c r="C267" s="1251"/>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4">
        <f t="shared" si="127"/>
        <v>0</v>
      </c>
      <c r="AW267" s="794">
        <f t="shared" si="128"/>
        <v>0</v>
      </c>
      <c r="AX267" s="794">
        <f t="shared" si="129"/>
        <v>0</v>
      </c>
      <c r="AY267" s="1178">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3"/>
      <c r="B268" s="1251"/>
      <c r="C268" s="1251"/>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4">
        <f t="shared" si="127"/>
        <v>0</v>
      </c>
      <c r="AW268" s="794">
        <f t="shared" si="128"/>
        <v>0</v>
      </c>
      <c r="AX268" s="794">
        <f t="shared" si="129"/>
        <v>0</v>
      </c>
      <c r="AY268" s="1178">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3"/>
      <c r="B269" s="1251"/>
      <c r="C269" s="1251"/>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4">
        <f t="shared" si="127"/>
        <v>0</v>
      </c>
      <c r="AW269" s="794">
        <f t="shared" si="128"/>
        <v>0</v>
      </c>
      <c r="AX269" s="794">
        <f t="shared" si="129"/>
        <v>0</v>
      </c>
      <c r="AY269" s="1178">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3"/>
      <c r="B270" s="1251"/>
      <c r="C270" s="1251"/>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4">
        <f t="shared" si="127"/>
        <v>0</v>
      </c>
      <c r="AW270" s="794">
        <f t="shared" si="128"/>
        <v>0</v>
      </c>
      <c r="AX270" s="794">
        <f t="shared" si="129"/>
        <v>0</v>
      </c>
      <c r="AY270" s="1178">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3"/>
      <c r="B271" s="1251"/>
      <c r="C271" s="1251"/>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4">
        <f t="shared" si="127"/>
        <v>0</v>
      </c>
      <c r="AW271" s="794">
        <f t="shared" si="128"/>
        <v>0</v>
      </c>
      <c r="AX271" s="794">
        <f t="shared" si="129"/>
        <v>0</v>
      </c>
      <c r="AY271" s="1178">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3"/>
      <c r="B272" s="1251"/>
      <c r="C272" s="1251"/>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4">
        <f t="shared" si="127"/>
        <v>0</v>
      </c>
      <c r="AW272" s="794">
        <f t="shared" si="128"/>
        <v>0</v>
      </c>
      <c r="AX272" s="794">
        <f t="shared" si="129"/>
        <v>0</v>
      </c>
      <c r="AY272" s="1178">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3"/>
      <c r="B273" s="1251"/>
      <c r="C273" s="1251"/>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4">
        <f t="shared" si="127"/>
        <v>0</v>
      </c>
      <c r="AW273" s="794">
        <f t="shared" si="128"/>
        <v>0</v>
      </c>
      <c r="AX273" s="794">
        <f t="shared" si="129"/>
        <v>0</v>
      </c>
      <c r="AY273" s="1178">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3"/>
      <c r="B274" s="1251"/>
      <c r="C274" s="1251"/>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4">
        <f t="shared" si="127"/>
        <v>0</v>
      </c>
      <c r="AW274" s="794">
        <f t="shared" si="128"/>
        <v>0</v>
      </c>
      <c r="AX274" s="794">
        <f t="shared" si="129"/>
        <v>0</v>
      </c>
      <c r="AY274" s="1178">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3"/>
      <c r="B275" s="1251"/>
      <c r="C275" s="1251"/>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4">
        <f t="shared" si="127"/>
        <v>0</v>
      </c>
      <c r="AW275" s="794">
        <f t="shared" si="128"/>
        <v>0</v>
      </c>
      <c r="AX275" s="794">
        <f t="shared" si="129"/>
        <v>0</v>
      </c>
      <c r="AY275" s="1178">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3"/>
      <c r="B276" s="1251"/>
      <c r="C276" s="1251"/>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4">
        <f t="shared" si="127"/>
        <v>0</v>
      </c>
      <c r="AW276" s="794">
        <f t="shared" si="128"/>
        <v>0</v>
      </c>
      <c r="AX276" s="794">
        <f t="shared" si="129"/>
        <v>0</v>
      </c>
      <c r="AY276" s="1178">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3"/>
      <c r="B277" s="1251"/>
      <c r="C277" s="1251"/>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4">
        <f t="shared" si="127"/>
        <v>0</v>
      </c>
      <c r="AW277" s="794">
        <f t="shared" si="128"/>
        <v>0</v>
      </c>
      <c r="AX277" s="794">
        <f t="shared" si="129"/>
        <v>0</v>
      </c>
      <c r="AY277" s="1178">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3"/>
      <c r="B278" s="1251"/>
      <c r="C278" s="1251"/>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4">
        <f t="shared" si="127"/>
        <v>0</v>
      </c>
      <c r="AW278" s="794">
        <f t="shared" si="128"/>
        <v>0</v>
      </c>
      <c r="AX278" s="794">
        <f t="shared" si="129"/>
        <v>0</v>
      </c>
      <c r="AY278" s="1178">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3"/>
      <c r="B279" s="1251"/>
      <c r="C279" s="1251"/>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4">
        <f t="shared" si="127"/>
        <v>0</v>
      </c>
      <c r="AW279" s="794">
        <f t="shared" si="128"/>
        <v>0</v>
      </c>
      <c r="AX279" s="794">
        <f t="shared" si="129"/>
        <v>0</v>
      </c>
      <c r="AY279" s="1178">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3"/>
      <c r="B280" s="1251"/>
      <c r="C280" s="1251"/>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4">
        <f t="shared" si="127"/>
        <v>0</v>
      </c>
      <c r="AW280" s="794">
        <f t="shared" si="128"/>
        <v>0</v>
      </c>
      <c r="AX280" s="794">
        <f t="shared" si="129"/>
        <v>0</v>
      </c>
      <c r="AY280" s="1178">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3"/>
      <c r="B281" s="1251"/>
      <c r="C281" s="1251"/>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4">
        <f t="shared" si="127"/>
        <v>0</v>
      </c>
      <c r="AW281" s="794">
        <f t="shared" si="128"/>
        <v>0</v>
      </c>
      <c r="AX281" s="794">
        <f t="shared" si="129"/>
        <v>0</v>
      </c>
      <c r="AY281" s="1178">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3"/>
      <c r="B282" s="1251"/>
      <c r="C282" s="1251"/>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4">
        <f t="shared" si="127"/>
        <v>0</v>
      </c>
      <c r="AW282" s="794">
        <f t="shared" si="128"/>
        <v>0</v>
      </c>
      <c r="AX282" s="794">
        <f t="shared" si="129"/>
        <v>0</v>
      </c>
      <c r="AY282" s="1178">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3"/>
      <c r="B283" s="1251"/>
      <c r="C283" s="1251"/>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4">
        <f t="shared" si="127"/>
        <v>0</v>
      </c>
      <c r="AW283" s="794">
        <f t="shared" si="128"/>
        <v>0</v>
      </c>
      <c r="AX283" s="794">
        <f t="shared" si="129"/>
        <v>0</v>
      </c>
      <c r="AY283" s="1178">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3"/>
      <c r="B284" s="1251"/>
      <c r="C284" s="1251"/>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4">
        <f t="shared" si="127"/>
        <v>0</v>
      </c>
      <c r="AW284" s="794">
        <f t="shared" si="128"/>
        <v>0</v>
      </c>
      <c r="AX284" s="794">
        <f t="shared" si="129"/>
        <v>0</v>
      </c>
      <c r="AY284" s="1178">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3"/>
      <c r="B285" s="1251"/>
      <c r="C285" s="1251"/>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4">
        <f t="shared" si="127"/>
        <v>0</v>
      </c>
      <c r="AW285" s="794">
        <f t="shared" si="128"/>
        <v>0</v>
      </c>
      <c r="AX285" s="794">
        <f t="shared" si="129"/>
        <v>0</v>
      </c>
      <c r="AY285" s="1178">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3"/>
      <c r="B286" s="1251"/>
      <c r="C286" s="1251"/>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4">
        <f t="shared" si="127"/>
        <v>0</v>
      </c>
      <c r="AW286" s="794">
        <f t="shared" si="128"/>
        <v>0</v>
      </c>
      <c r="AX286" s="794">
        <f t="shared" si="129"/>
        <v>0</v>
      </c>
      <c r="AY286" s="1178">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3"/>
      <c r="B287" s="1251"/>
      <c r="C287" s="1251"/>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4">
        <f t="shared" si="127"/>
        <v>0</v>
      </c>
      <c r="AW287" s="794">
        <f t="shared" si="128"/>
        <v>0</v>
      </c>
      <c r="AX287" s="794">
        <f t="shared" si="129"/>
        <v>0</v>
      </c>
      <c r="AY287" s="1178">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3"/>
      <c r="B288" s="1251"/>
      <c r="C288" s="1251"/>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4">
        <f t="shared" si="127"/>
        <v>0</v>
      </c>
      <c r="AW288" s="794">
        <f t="shared" si="128"/>
        <v>0</v>
      </c>
      <c r="AX288" s="794">
        <f t="shared" si="129"/>
        <v>0</v>
      </c>
      <c r="AY288" s="1178">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3"/>
      <c r="B289" s="1251"/>
      <c r="C289" s="1251"/>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4">
        <f t="shared" si="127"/>
        <v>0</v>
      </c>
      <c r="AW289" s="794">
        <f t="shared" si="128"/>
        <v>0</v>
      </c>
      <c r="AX289" s="794">
        <f t="shared" si="129"/>
        <v>0</v>
      </c>
      <c r="AY289" s="1178">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3"/>
      <c r="B290" s="1251"/>
      <c r="C290" s="1251"/>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4">
        <f t="shared" si="127"/>
        <v>0</v>
      </c>
      <c r="AW290" s="794">
        <f t="shared" si="128"/>
        <v>0</v>
      </c>
      <c r="AX290" s="794">
        <f t="shared" si="129"/>
        <v>0</v>
      </c>
      <c r="AY290" s="1178">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3"/>
      <c r="B291" s="1251"/>
      <c r="C291" s="1251"/>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4">
        <f t="shared" si="127"/>
        <v>0</v>
      </c>
      <c r="AW291" s="794">
        <f t="shared" si="128"/>
        <v>0</v>
      </c>
      <c r="AX291" s="794">
        <f t="shared" si="129"/>
        <v>0</v>
      </c>
      <c r="AY291" s="1178">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3"/>
      <c r="B292" s="1251"/>
      <c r="C292" s="1251"/>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4">
        <f t="shared" si="127"/>
        <v>0</v>
      </c>
      <c r="AW292" s="794">
        <f t="shared" si="128"/>
        <v>0</v>
      </c>
      <c r="AX292" s="794">
        <f t="shared" si="129"/>
        <v>0</v>
      </c>
      <c r="AY292" s="1178">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3"/>
      <c r="B293" s="1251"/>
      <c r="C293" s="1251"/>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4">
        <f t="shared" si="127"/>
        <v>0</v>
      </c>
      <c r="AW293" s="794">
        <f t="shared" si="128"/>
        <v>0</v>
      </c>
      <c r="AX293" s="794">
        <f t="shared" si="129"/>
        <v>0</v>
      </c>
      <c r="AY293" s="1178">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3"/>
      <c r="B294" s="1251"/>
      <c r="C294" s="1251"/>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4">
        <f t="shared" si="127"/>
        <v>0</v>
      </c>
      <c r="AW294" s="794">
        <f t="shared" si="128"/>
        <v>0</v>
      </c>
      <c r="AX294" s="794">
        <f t="shared" si="129"/>
        <v>0</v>
      </c>
      <c r="AY294" s="1178">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3"/>
      <c r="B295" s="1251"/>
      <c r="C295" s="1251"/>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4">
        <f t="shared" si="127"/>
        <v>0</v>
      </c>
      <c r="AW295" s="794">
        <f t="shared" si="128"/>
        <v>0</v>
      </c>
      <c r="AX295" s="794">
        <f t="shared" si="129"/>
        <v>0</v>
      </c>
      <c r="AY295" s="1178">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3"/>
      <c r="B296" s="1251"/>
      <c r="C296" s="1251"/>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4">
        <f t="shared" si="127"/>
        <v>0</v>
      </c>
      <c r="AW296" s="794">
        <f t="shared" si="128"/>
        <v>0</v>
      </c>
      <c r="AX296" s="794">
        <f t="shared" si="129"/>
        <v>0</v>
      </c>
      <c r="AY296" s="1178">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3"/>
      <c r="B297" s="1251"/>
      <c r="C297" s="1251"/>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4">
        <f t="shared" si="127"/>
        <v>0</v>
      </c>
      <c r="AW297" s="794">
        <f t="shared" si="128"/>
        <v>0</v>
      </c>
      <c r="AX297" s="794">
        <f t="shared" si="129"/>
        <v>0</v>
      </c>
      <c r="AY297" s="1178">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3"/>
      <c r="B298" s="1251"/>
      <c r="C298" s="1251"/>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4">
        <f t="shared" si="127"/>
        <v>0</v>
      </c>
      <c r="AW298" s="794">
        <f t="shared" si="128"/>
        <v>0</v>
      </c>
      <c r="AX298" s="794">
        <f t="shared" si="129"/>
        <v>0</v>
      </c>
      <c r="AY298" s="1178">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3"/>
      <c r="B299" s="1251"/>
      <c r="C299" s="1251"/>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4">
        <f t="shared" si="127"/>
        <v>0</v>
      </c>
      <c r="AW299" s="794">
        <f t="shared" si="128"/>
        <v>0</v>
      </c>
      <c r="AX299" s="794">
        <f t="shared" si="129"/>
        <v>0</v>
      </c>
      <c r="AY299" s="1178">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3"/>
      <c r="B300" s="1243"/>
      <c r="C300" s="1243"/>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6"/>
      <c r="AV300" s="794">
        <f t="shared" si="127"/>
        <v>0</v>
      </c>
      <c r="AW300" s="794">
        <f t="shared" si="128"/>
        <v>0</v>
      </c>
      <c r="AX300" s="794">
        <f t="shared" si="129"/>
        <v>0</v>
      </c>
      <c r="AY300" s="1178">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3"/>
      <c r="B301" s="1243"/>
      <c r="C301" s="1243"/>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6"/>
      <c r="AV301" s="794">
        <f t="shared" si="127"/>
        <v>0</v>
      </c>
      <c r="AW301" s="794">
        <f t="shared" si="128"/>
        <v>0</v>
      </c>
      <c r="AX301" s="794">
        <f t="shared" si="129"/>
        <v>0</v>
      </c>
      <c r="AY301" s="1178">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3"/>
      <c r="B302" s="1243"/>
      <c r="C302" s="1243"/>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6"/>
      <c r="AV302" s="794">
        <f t="shared" si="127"/>
        <v>0</v>
      </c>
      <c r="AW302" s="794">
        <f t="shared" si="128"/>
        <v>0</v>
      </c>
      <c r="AX302" s="794">
        <f t="shared" si="129"/>
        <v>0</v>
      </c>
      <c r="AY302" s="1178">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3"/>
      <c r="B303" s="1251"/>
      <c r="C303" s="1251"/>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4">
        <f t="shared" ref="AV303:AV334" si="178">A303</f>
        <v>0</v>
      </c>
      <c r="AW303" s="794">
        <f t="shared" ref="AW303:AW334" si="179">B303</f>
        <v>0</v>
      </c>
      <c r="AX303" s="794">
        <f t="shared" ref="AX303:AX334" si="180">C303</f>
        <v>0</v>
      </c>
      <c r="AY303" s="1178">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3"/>
      <c r="B304" s="1251"/>
      <c r="C304" s="1251"/>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4">
        <f t="shared" si="178"/>
        <v>0</v>
      </c>
      <c r="AW304" s="794">
        <f t="shared" si="179"/>
        <v>0</v>
      </c>
      <c r="AX304" s="794">
        <f t="shared" si="180"/>
        <v>0</v>
      </c>
      <c r="AY304" s="1178">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3"/>
      <c r="B305" s="1251"/>
      <c r="C305" s="1251"/>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4">
        <f t="shared" si="178"/>
        <v>0</v>
      </c>
      <c r="AW305" s="794">
        <f t="shared" si="179"/>
        <v>0</v>
      </c>
      <c r="AX305" s="794">
        <f t="shared" si="180"/>
        <v>0</v>
      </c>
      <c r="AY305" s="1178">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3"/>
      <c r="B306" s="1251"/>
      <c r="C306" s="1251"/>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4">
        <f t="shared" si="178"/>
        <v>0</v>
      </c>
      <c r="AW306" s="794">
        <f t="shared" si="179"/>
        <v>0</v>
      </c>
      <c r="AX306" s="794">
        <f t="shared" si="180"/>
        <v>0</v>
      </c>
      <c r="AY306" s="1178">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3"/>
      <c r="B307" s="1251"/>
      <c r="C307" s="1251"/>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4">
        <f t="shared" si="178"/>
        <v>0</v>
      </c>
      <c r="AW307" s="794">
        <f t="shared" si="179"/>
        <v>0</v>
      </c>
      <c r="AX307" s="794">
        <f t="shared" si="180"/>
        <v>0</v>
      </c>
      <c r="AY307" s="1178">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3"/>
      <c r="B308" s="1251"/>
      <c r="C308" s="1251"/>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4">
        <f t="shared" si="178"/>
        <v>0</v>
      </c>
      <c r="AW308" s="794">
        <f t="shared" si="179"/>
        <v>0</v>
      </c>
      <c r="AX308" s="794">
        <f t="shared" si="180"/>
        <v>0</v>
      </c>
      <c r="AY308" s="1178">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3"/>
      <c r="B309" s="1251"/>
      <c r="C309" s="1251"/>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4">
        <f t="shared" si="178"/>
        <v>0</v>
      </c>
      <c r="AW309" s="794">
        <f t="shared" si="179"/>
        <v>0</v>
      </c>
      <c r="AX309" s="794">
        <f t="shared" si="180"/>
        <v>0</v>
      </c>
      <c r="AY309" s="1178">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3"/>
      <c r="B310" s="1251"/>
      <c r="C310" s="1251"/>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4">
        <f t="shared" si="178"/>
        <v>0</v>
      </c>
      <c r="AW310" s="794">
        <f t="shared" si="179"/>
        <v>0</v>
      </c>
      <c r="AX310" s="794">
        <f t="shared" si="180"/>
        <v>0</v>
      </c>
      <c r="AY310" s="1178">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3"/>
      <c r="B311" s="1251"/>
      <c r="C311" s="1251"/>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4">
        <f t="shared" si="178"/>
        <v>0</v>
      </c>
      <c r="AW311" s="794">
        <f t="shared" si="179"/>
        <v>0</v>
      </c>
      <c r="AX311" s="794">
        <f t="shared" si="180"/>
        <v>0</v>
      </c>
      <c r="AY311" s="1178">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3"/>
      <c r="B312" s="1251"/>
      <c r="C312" s="1251"/>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4">
        <f t="shared" si="178"/>
        <v>0</v>
      </c>
      <c r="AW312" s="794">
        <f t="shared" si="179"/>
        <v>0</v>
      </c>
      <c r="AX312" s="794">
        <f t="shared" si="180"/>
        <v>0</v>
      </c>
      <c r="AY312" s="1178">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3"/>
      <c r="B313" s="1251"/>
      <c r="C313" s="1251"/>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4">
        <f t="shared" si="178"/>
        <v>0</v>
      </c>
      <c r="AW313" s="794">
        <f t="shared" si="179"/>
        <v>0</v>
      </c>
      <c r="AX313" s="794">
        <f t="shared" si="180"/>
        <v>0</v>
      </c>
      <c r="AY313" s="1178">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3"/>
      <c r="B314" s="1251"/>
      <c r="C314" s="1251"/>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4">
        <f t="shared" si="178"/>
        <v>0</v>
      </c>
      <c r="AW314" s="794">
        <f t="shared" si="179"/>
        <v>0</v>
      </c>
      <c r="AX314" s="794">
        <f t="shared" si="180"/>
        <v>0</v>
      </c>
      <c r="AY314" s="1178">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3"/>
      <c r="B315" s="1251"/>
      <c r="C315" s="1251"/>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4">
        <f t="shared" si="178"/>
        <v>0</v>
      </c>
      <c r="AW315" s="794">
        <f t="shared" si="179"/>
        <v>0</v>
      </c>
      <c r="AX315" s="794">
        <f t="shared" si="180"/>
        <v>0</v>
      </c>
      <c r="AY315" s="1178">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3"/>
      <c r="B316" s="1251"/>
      <c r="C316" s="1251"/>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4">
        <f t="shared" si="178"/>
        <v>0</v>
      </c>
      <c r="AW316" s="794">
        <f t="shared" si="179"/>
        <v>0</v>
      </c>
      <c r="AX316" s="794">
        <f t="shared" si="180"/>
        <v>0</v>
      </c>
      <c r="AY316" s="1178">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3"/>
      <c r="B317" s="1251"/>
      <c r="C317" s="1251"/>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4">
        <f t="shared" si="178"/>
        <v>0</v>
      </c>
      <c r="AW317" s="794">
        <f t="shared" si="179"/>
        <v>0</v>
      </c>
      <c r="AX317" s="794">
        <f t="shared" si="180"/>
        <v>0</v>
      </c>
      <c r="AY317" s="1178">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3"/>
      <c r="B318" s="1251"/>
      <c r="C318" s="1251"/>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4">
        <f t="shared" si="178"/>
        <v>0</v>
      </c>
      <c r="AW318" s="794">
        <f t="shared" si="179"/>
        <v>0</v>
      </c>
      <c r="AX318" s="794">
        <f t="shared" si="180"/>
        <v>0</v>
      </c>
      <c r="AY318" s="1178">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3"/>
      <c r="B319" s="1251"/>
      <c r="C319" s="1251"/>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4">
        <f t="shared" si="178"/>
        <v>0</v>
      </c>
      <c r="AW319" s="794">
        <f t="shared" si="179"/>
        <v>0</v>
      </c>
      <c r="AX319" s="794">
        <f t="shared" si="180"/>
        <v>0</v>
      </c>
      <c r="AY319" s="1178">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3"/>
      <c r="B320" s="1251"/>
      <c r="C320" s="1251"/>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4">
        <f t="shared" si="178"/>
        <v>0</v>
      </c>
      <c r="AW320" s="794">
        <f t="shared" si="179"/>
        <v>0</v>
      </c>
      <c r="AX320" s="794">
        <f t="shared" si="180"/>
        <v>0</v>
      </c>
      <c r="AY320" s="1178">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3"/>
      <c r="B321" s="1251"/>
      <c r="C321" s="1251"/>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4">
        <f t="shared" si="178"/>
        <v>0</v>
      </c>
      <c r="AW321" s="794">
        <f t="shared" si="179"/>
        <v>0</v>
      </c>
      <c r="AX321" s="794">
        <f t="shared" si="180"/>
        <v>0</v>
      </c>
      <c r="AY321" s="1178">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3"/>
      <c r="B322" s="1251"/>
      <c r="C322" s="1251"/>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4">
        <f t="shared" si="178"/>
        <v>0</v>
      </c>
      <c r="AW322" s="794">
        <f t="shared" si="179"/>
        <v>0</v>
      </c>
      <c r="AX322" s="794">
        <f t="shared" si="180"/>
        <v>0</v>
      </c>
      <c r="AY322" s="1178">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3"/>
      <c r="B323" s="1251"/>
      <c r="C323" s="1251"/>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4">
        <f t="shared" si="178"/>
        <v>0</v>
      </c>
      <c r="AW323" s="794">
        <f t="shared" si="179"/>
        <v>0</v>
      </c>
      <c r="AX323" s="794">
        <f t="shared" si="180"/>
        <v>0</v>
      </c>
      <c r="AY323" s="1178">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3"/>
      <c r="B324" s="1251"/>
      <c r="C324" s="1251"/>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4">
        <f t="shared" si="178"/>
        <v>0</v>
      </c>
      <c r="AW324" s="794">
        <f t="shared" si="179"/>
        <v>0</v>
      </c>
      <c r="AX324" s="794">
        <f t="shared" si="180"/>
        <v>0</v>
      </c>
      <c r="AY324" s="1178">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3"/>
      <c r="B325" s="1251"/>
      <c r="C325" s="1251"/>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4">
        <f t="shared" si="178"/>
        <v>0</v>
      </c>
      <c r="AW325" s="794">
        <f t="shared" si="179"/>
        <v>0</v>
      </c>
      <c r="AX325" s="794">
        <f t="shared" si="180"/>
        <v>0</v>
      </c>
      <c r="AY325" s="1178">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3"/>
      <c r="B326" s="1251"/>
      <c r="C326" s="1251"/>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4">
        <f t="shared" si="178"/>
        <v>0</v>
      </c>
      <c r="AW326" s="794">
        <f t="shared" si="179"/>
        <v>0</v>
      </c>
      <c r="AX326" s="794">
        <f t="shared" si="180"/>
        <v>0</v>
      </c>
      <c r="AY326" s="1178">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3"/>
      <c r="B327" s="1251"/>
      <c r="C327" s="1251"/>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4">
        <f t="shared" si="178"/>
        <v>0</v>
      </c>
      <c r="AW327" s="794">
        <f t="shared" si="179"/>
        <v>0</v>
      </c>
      <c r="AX327" s="794">
        <f t="shared" si="180"/>
        <v>0</v>
      </c>
      <c r="AY327" s="1178">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3"/>
      <c r="B328" s="1251"/>
      <c r="C328" s="1251"/>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4">
        <f t="shared" si="178"/>
        <v>0</v>
      </c>
      <c r="AW328" s="794">
        <f t="shared" si="179"/>
        <v>0</v>
      </c>
      <c r="AX328" s="794">
        <f t="shared" si="180"/>
        <v>0</v>
      </c>
      <c r="AY328" s="1178">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3"/>
      <c r="B329" s="1251"/>
      <c r="C329" s="1251"/>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4">
        <f t="shared" si="178"/>
        <v>0</v>
      </c>
      <c r="AW329" s="794">
        <f t="shared" si="179"/>
        <v>0</v>
      </c>
      <c r="AX329" s="794">
        <f t="shared" si="180"/>
        <v>0</v>
      </c>
      <c r="AY329" s="1178">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3"/>
      <c r="B330" s="1251"/>
      <c r="C330" s="1251"/>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4">
        <f t="shared" si="178"/>
        <v>0</v>
      </c>
      <c r="AW330" s="794">
        <f t="shared" si="179"/>
        <v>0</v>
      </c>
      <c r="AX330" s="794">
        <f t="shared" si="180"/>
        <v>0</v>
      </c>
      <c r="AY330" s="1178">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3"/>
      <c r="B331" s="1251"/>
      <c r="C331" s="1251"/>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4">
        <f t="shared" si="178"/>
        <v>0</v>
      </c>
      <c r="AW331" s="794">
        <f t="shared" si="179"/>
        <v>0</v>
      </c>
      <c r="AX331" s="794">
        <f t="shared" si="180"/>
        <v>0</v>
      </c>
      <c r="AY331" s="1178">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3"/>
      <c r="B332" s="1251"/>
      <c r="C332" s="1251"/>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4">
        <f t="shared" si="178"/>
        <v>0</v>
      </c>
      <c r="AW332" s="794">
        <f t="shared" si="179"/>
        <v>0</v>
      </c>
      <c r="AX332" s="794">
        <f t="shared" si="180"/>
        <v>0</v>
      </c>
      <c r="AY332" s="1178">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3"/>
      <c r="B333" s="1251"/>
      <c r="C333" s="1251"/>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4">
        <f t="shared" si="178"/>
        <v>0</v>
      </c>
      <c r="AW333" s="794">
        <f t="shared" si="179"/>
        <v>0</v>
      </c>
      <c r="AX333" s="794">
        <f t="shared" si="180"/>
        <v>0</v>
      </c>
      <c r="AY333" s="1178">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3"/>
      <c r="B334" s="1251"/>
      <c r="C334" s="1251"/>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4">
        <f t="shared" si="178"/>
        <v>0</v>
      </c>
      <c r="AW334" s="794">
        <f t="shared" si="179"/>
        <v>0</v>
      </c>
      <c r="AX334" s="794">
        <f t="shared" si="180"/>
        <v>0</v>
      </c>
      <c r="AY334" s="1178">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3"/>
      <c r="B335" s="1251"/>
      <c r="C335" s="1251"/>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4">
        <f t="shared" ref="AV335:AV366" si="207">A335</f>
        <v>0</v>
      </c>
      <c r="AW335" s="794">
        <f t="shared" ref="AW335:AW366" si="208">B335</f>
        <v>0</v>
      </c>
      <c r="AX335" s="794">
        <f t="shared" ref="AX335:AX366" si="209">C335</f>
        <v>0</v>
      </c>
      <c r="AY335" s="1178">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3"/>
      <c r="B336" s="1251"/>
      <c r="C336" s="1251"/>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4">
        <f t="shared" si="207"/>
        <v>0</v>
      </c>
      <c r="AW336" s="794">
        <f t="shared" si="208"/>
        <v>0</v>
      </c>
      <c r="AX336" s="794">
        <f t="shared" si="209"/>
        <v>0</v>
      </c>
      <c r="AY336" s="1178">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3"/>
      <c r="B337" s="1251"/>
      <c r="C337" s="1251"/>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4">
        <f t="shared" si="207"/>
        <v>0</v>
      </c>
      <c r="AW337" s="794">
        <f t="shared" si="208"/>
        <v>0</v>
      </c>
      <c r="AX337" s="794">
        <f t="shared" si="209"/>
        <v>0</v>
      </c>
      <c r="AY337" s="1178">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3"/>
      <c r="B338" s="1251"/>
      <c r="C338" s="1251"/>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4">
        <f t="shared" si="207"/>
        <v>0</v>
      </c>
      <c r="AW338" s="794">
        <f t="shared" si="208"/>
        <v>0</v>
      </c>
      <c r="AX338" s="794">
        <f t="shared" si="209"/>
        <v>0</v>
      </c>
      <c r="AY338" s="1178">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3"/>
      <c r="B339" s="1251"/>
      <c r="C339" s="1251"/>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4">
        <f t="shared" si="207"/>
        <v>0</v>
      </c>
      <c r="AW339" s="794">
        <f t="shared" si="208"/>
        <v>0</v>
      </c>
      <c r="AX339" s="794">
        <f t="shared" si="209"/>
        <v>0</v>
      </c>
      <c r="AY339" s="1178">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3"/>
      <c r="B340" s="1251"/>
      <c r="C340" s="1251"/>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4">
        <f t="shared" si="207"/>
        <v>0</v>
      </c>
      <c r="AW340" s="794">
        <f t="shared" si="208"/>
        <v>0</v>
      </c>
      <c r="AX340" s="794">
        <f t="shared" si="209"/>
        <v>0</v>
      </c>
      <c r="AY340" s="1178">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3"/>
      <c r="B341" s="1251"/>
      <c r="C341" s="1251"/>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4">
        <f t="shared" si="207"/>
        <v>0</v>
      </c>
      <c r="AW341" s="794">
        <f t="shared" si="208"/>
        <v>0</v>
      </c>
      <c r="AX341" s="794">
        <f t="shared" si="209"/>
        <v>0</v>
      </c>
      <c r="AY341" s="1178">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3"/>
      <c r="B342" s="1251"/>
      <c r="C342" s="1251"/>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4">
        <f t="shared" si="207"/>
        <v>0</v>
      </c>
      <c r="AW342" s="794">
        <f t="shared" si="208"/>
        <v>0</v>
      </c>
      <c r="AX342" s="794">
        <f t="shared" si="209"/>
        <v>0</v>
      </c>
      <c r="AY342" s="1178">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3"/>
      <c r="B343" s="1251"/>
      <c r="C343" s="1251"/>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4">
        <f t="shared" si="207"/>
        <v>0</v>
      </c>
      <c r="AW343" s="794">
        <f t="shared" si="208"/>
        <v>0</v>
      </c>
      <c r="AX343" s="794">
        <f t="shared" si="209"/>
        <v>0</v>
      </c>
      <c r="AY343" s="1178">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3"/>
      <c r="B344" s="1251"/>
      <c r="C344" s="1251"/>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4">
        <f t="shared" si="207"/>
        <v>0</v>
      </c>
      <c r="AW344" s="794">
        <f t="shared" si="208"/>
        <v>0</v>
      </c>
      <c r="AX344" s="794">
        <f t="shared" si="209"/>
        <v>0</v>
      </c>
      <c r="AY344" s="1178">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3"/>
      <c r="B345" s="1251"/>
      <c r="C345" s="1251"/>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4">
        <f t="shared" si="207"/>
        <v>0</v>
      </c>
      <c r="AW345" s="794">
        <f t="shared" si="208"/>
        <v>0</v>
      </c>
      <c r="AX345" s="794">
        <f t="shared" si="209"/>
        <v>0</v>
      </c>
      <c r="AY345" s="1178">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3"/>
      <c r="B346" s="1251"/>
      <c r="C346" s="1251"/>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4">
        <f t="shared" si="207"/>
        <v>0</v>
      </c>
      <c r="AW346" s="794">
        <f t="shared" si="208"/>
        <v>0</v>
      </c>
      <c r="AX346" s="794">
        <f t="shared" si="209"/>
        <v>0</v>
      </c>
      <c r="AY346" s="1178">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3"/>
      <c r="B347" s="1251"/>
      <c r="C347" s="1251"/>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4">
        <f t="shared" si="207"/>
        <v>0</v>
      </c>
      <c r="AW347" s="794">
        <f t="shared" si="208"/>
        <v>0</v>
      </c>
      <c r="AX347" s="794">
        <f t="shared" si="209"/>
        <v>0</v>
      </c>
      <c r="AY347" s="1178">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3"/>
      <c r="B348" s="1251"/>
      <c r="C348" s="1251"/>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4">
        <f t="shared" si="207"/>
        <v>0</v>
      </c>
      <c r="AW348" s="794">
        <f t="shared" si="208"/>
        <v>0</v>
      </c>
      <c r="AX348" s="794">
        <f t="shared" si="209"/>
        <v>0</v>
      </c>
      <c r="AY348" s="1178">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3"/>
      <c r="B349" s="1251"/>
      <c r="C349" s="1251"/>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4">
        <f t="shared" si="207"/>
        <v>0</v>
      </c>
      <c r="AW349" s="794">
        <f t="shared" si="208"/>
        <v>0</v>
      </c>
      <c r="AX349" s="794">
        <f t="shared" si="209"/>
        <v>0</v>
      </c>
      <c r="AY349" s="1178">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3"/>
      <c r="B350" s="1251"/>
      <c r="C350" s="1251"/>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4">
        <f t="shared" si="207"/>
        <v>0</v>
      </c>
      <c r="AW350" s="794">
        <f t="shared" si="208"/>
        <v>0</v>
      </c>
      <c r="AX350" s="794">
        <f t="shared" si="209"/>
        <v>0</v>
      </c>
      <c r="AY350" s="1178">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3"/>
      <c r="B351" s="1251"/>
      <c r="C351" s="1251"/>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4">
        <f t="shared" si="207"/>
        <v>0</v>
      </c>
      <c r="AW351" s="794">
        <f t="shared" si="208"/>
        <v>0</v>
      </c>
      <c r="AX351" s="794">
        <f t="shared" si="209"/>
        <v>0</v>
      </c>
      <c r="AY351" s="1178">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3"/>
      <c r="B352" s="1251"/>
      <c r="C352" s="1251"/>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4">
        <f t="shared" si="207"/>
        <v>0</v>
      </c>
      <c r="AW352" s="794">
        <f t="shared" si="208"/>
        <v>0</v>
      </c>
      <c r="AX352" s="794">
        <f t="shared" si="209"/>
        <v>0</v>
      </c>
      <c r="AY352" s="1178">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3"/>
      <c r="B353" s="1251"/>
      <c r="C353" s="1251"/>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4">
        <f t="shared" si="207"/>
        <v>0</v>
      </c>
      <c r="AW353" s="794">
        <f t="shared" si="208"/>
        <v>0</v>
      </c>
      <c r="AX353" s="794">
        <f t="shared" si="209"/>
        <v>0</v>
      </c>
      <c r="AY353" s="1178">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3"/>
      <c r="B354" s="1251"/>
      <c r="C354" s="1251"/>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4">
        <f t="shared" si="207"/>
        <v>0</v>
      </c>
      <c r="AW354" s="794">
        <f t="shared" si="208"/>
        <v>0</v>
      </c>
      <c r="AX354" s="794">
        <f t="shared" si="209"/>
        <v>0</v>
      </c>
      <c r="AY354" s="1178">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3"/>
      <c r="B355" s="1251"/>
      <c r="C355" s="1251"/>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4">
        <f t="shared" si="207"/>
        <v>0</v>
      </c>
      <c r="AW355" s="794">
        <f t="shared" si="208"/>
        <v>0</v>
      </c>
      <c r="AX355" s="794">
        <f t="shared" si="209"/>
        <v>0</v>
      </c>
      <c r="AY355" s="1178">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3"/>
      <c r="B356" s="1251"/>
      <c r="C356" s="1251"/>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4">
        <f t="shared" si="207"/>
        <v>0</v>
      </c>
      <c r="AW356" s="794">
        <f t="shared" si="208"/>
        <v>0</v>
      </c>
      <c r="AX356" s="794">
        <f t="shared" si="209"/>
        <v>0</v>
      </c>
      <c r="AY356" s="1178">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3"/>
      <c r="B357" s="1251"/>
      <c r="C357" s="1251"/>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4">
        <f t="shared" si="207"/>
        <v>0</v>
      </c>
      <c r="AW357" s="794">
        <f t="shared" si="208"/>
        <v>0</v>
      </c>
      <c r="AX357" s="794">
        <f t="shared" si="209"/>
        <v>0</v>
      </c>
      <c r="AY357" s="1178">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3"/>
      <c r="B358" s="1251"/>
      <c r="C358" s="1251"/>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4">
        <f t="shared" si="207"/>
        <v>0</v>
      </c>
      <c r="AW358" s="794">
        <f t="shared" si="208"/>
        <v>0</v>
      </c>
      <c r="AX358" s="794">
        <f t="shared" si="209"/>
        <v>0</v>
      </c>
      <c r="AY358" s="1178">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3"/>
      <c r="B359" s="1251"/>
      <c r="C359" s="1251"/>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4">
        <f t="shared" si="207"/>
        <v>0</v>
      </c>
      <c r="AW359" s="794">
        <f t="shared" si="208"/>
        <v>0</v>
      </c>
      <c r="AX359" s="794">
        <f t="shared" si="209"/>
        <v>0</v>
      </c>
      <c r="AY359" s="1178">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3"/>
      <c r="B360" s="1251"/>
      <c r="C360" s="1251"/>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4">
        <f t="shared" si="207"/>
        <v>0</v>
      </c>
      <c r="AW360" s="794">
        <f t="shared" si="208"/>
        <v>0</v>
      </c>
      <c r="AX360" s="794">
        <f t="shared" si="209"/>
        <v>0</v>
      </c>
      <c r="AY360" s="1178">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3"/>
      <c r="B361" s="1251"/>
      <c r="C361" s="1251"/>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4">
        <f t="shared" si="207"/>
        <v>0</v>
      </c>
      <c r="AW361" s="794">
        <f t="shared" si="208"/>
        <v>0</v>
      </c>
      <c r="AX361" s="794">
        <f t="shared" si="209"/>
        <v>0</v>
      </c>
      <c r="AY361" s="1178">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3"/>
      <c r="B362" s="1251"/>
      <c r="C362" s="1251"/>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4">
        <f t="shared" si="207"/>
        <v>0</v>
      </c>
      <c r="AW362" s="794">
        <f t="shared" si="208"/>
        <v>0</v>
      </c>
      <c r="AX362" s="794">
        <f t="shared" si="209"/>
        <v>0</v>
      </c>
      <c r="AY362" s="1178">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3"/>
      <c r="B363" s="1251"/>
      <c r="C363" s="1251"/>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4">
        <f t="shared" si="207"/>
        <v>0</v>
      </c>
      <c r="AW363" s="794">
        <f t="shared" si="208"/>
        <v>0</v>
      </c>
      <c r="AX363" s="794">
        <f t="shared" si="209"/>
        <v>0</v>
      </c>
      <c r="AY363" s="1178">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3"/>
      <c r="B364" s="1251"/>
      <c r="C364" s="1251"/>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4">
        <f t="shared" si="207"/>
        <v>0</v>
      </c>
      <c r="AW364" s="794">
        <f t="shared" si="208"/>
        <v>0</v>
      </c>
      <c r="AX364" s="794">
        <f t="shared" si="209"/>
        <v>0</v>
      </c>
      <c r="AY364" s="1178">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3"/>
      <c r="B365" s="1251"/>
      <c r="C365" s="1251"/>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4">
        <f t="shared" si="207"/>
        <v>0</v>
      </c>
      <c r="AW365" s="794">
        <f t="shared" si="208"/>
        <v>0</v>
      </c>
      <c r="AX365" s="794">
        <f t="shared" si="209"/>
        <v>0</v>
      </c>
      <c r="AY365" s="1178">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3"/>
      <c r="B366" s="1251"/>
      <c r="C366" s="1251"/>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4">
        <f t="shared" si="207"/>
        <v>0</v>
      </c>
      <c r="AW366" s="794">
        <f t="shared" si="208"/>
        <v>0</v>
      </c>
      <c r="AX366" s="794">
        <f t="shared" si="209"/>
        <v>0</v>
      </c>
      <c r="AY366" s="1178">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3"/>
      <c r="B367" s="1251"/>
      <c r="C367" s="1251"/>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4">
        <f t="shared" ref="AV367:AV397" si="236">A367</f>
        <v>0</v>
      </c>
      <c r="AW367" s="794">
        <f t="shared" ref="AW367:AW397" si="237">B367</f>
        <v>0</v>
      </c>
      <c r="AX367" s="794">
        <f t="shared" ref="AX367:AX397" si="238">C367</f>
        <v>0</v>
      </c>
      <c r="AY367" s="1178">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3"/>
      <c r="B368" s="1251"/>
      <c r="C368" s="1251"/>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4">
        <f t="shared" si="236"/>
        <v>0</v>
      </c>
      <c r="AW368" s="794">
        <f t="shared" si="237"/>
        <v>0</v>
      </c>
      <c r="AX368" s="794">
        <f t="shared" si="238"/>
        <v>0</v>
      </c>
      <c r="AY368" s="1178">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3"/>
      <c r="B369" s="1251"/>
      <c r="C369" s="1251"/>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4">
        <f t="shared" si="236"/>
        <v>0</v>
      </c>
      <c r="AW369" s="794">
        <f t="shared" si="237"/>
        <v>0</v>
      </c>
      <c r="AX369" s="794">
        <f t="shared" si="238"/>
        <v>0</v>
      </c>
      <c r="AY369" s="1178">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3"/>
      <c r="B370" s="1251"/>
      <c r="C370" s="1251"/>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4">
        <f t="shared" si="236"/>
        <v>0</v>
      </c>
      <c r="AW370" s="794">
        <f t="shared" si="237"/>
        <v>0</v>
      </c>
      <c r="AX370" s="794">
        <f t="shared" si="238"/>
        <v>0</v>
      </c>
      <c r="AY370" s="1178">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3"/>
      <c r="B371" s="1251"/>
      <c r="C371" s="1251"/>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4">
        <f t="shared" si="236"/>
        <v>0</v>
      </c>
      <c r="AW371" s="794">
        <f t="shared" si="237"/>
        <v>0</v>
      </c>
      <c r="AX371" s="794">
        <f t="shared" si="238"/>
        <v>0</v>
      </c>
      <c r="AY371" s="1178">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3"/>
      <c r="B372" s="1251"/>
      <c r="C372" s="1251"/>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4">
        <f t="shared" si="236"/>
        <v>0</v>
      </c>
      <c r="AW372" s="794">
        <f t="shared" si="237"/>
        <v>0</v>
      </c>
      <c r="AX372" s="794">
        <f t="shared" si="238"/>
        <v>0</v>
      </c>
      <c r="AY372" s="1178">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3"/>
      <c r="B373" s="1251"/>
      <c r="C373" s="1251"/>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4">
        <f t="shared" si="236"/>
        <v>0</v>
      </c>
      <c r="AW373" s="794">
        <f t="shared" si="237"/>
        <v>0</v>
      </c>
      <c r="AX373" s="794">
        <f t="shared" si="238"/>
        <v>0</v>
      </c>
      <c r="AY373" s="1178">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3"/>
      <c r="B374" s="1251"/>
      <c r="C374" s="1251"/>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4">
        <f t="shared" si="236"/>
        <v>0</v>
      </c>
      <c r="AW374" s="794">
        <f t="shared" si="237"/>
        <v>0</v>
      </c>
      <c r="AX374" s="794">
        <f t="shared" si="238"/>
        <v>0</v>
      </c>
      <c r="AY374" s="1178">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3"/>
      <c r="B375" s="1251"/>
      <c r="C375" s="1251"/>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4">
        <f t="shared" si="236"/>
        <v>0</v>
      </c>
      <c r="AW375" s="794">
        <f t="shared" si="237"/>
        <v>0</v>
      </c>
      <c r="AX375" s="794">
        <f t="shared" si="238"/>
        <v>0</v>
      </c>
      <c r="AY375" s="1178">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3"/>
      <c r="B376" s="1251"/>
      <c r="C376" s="1251"/>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4">
        <f t="shared" si="236"/>
        <v>0</v>
      </c>
      <c r="AW376" s="794">
        <f t="shared" si="237"/>
        <v>0</v>
      </c>
      <c r="AX376" s="794">
        <f t="shared" si="238"/>
        <v>0</v>
      </c>
      <c r="AY376" s="1178">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3"/>
      <c r="B377" s="1251"/>
      <c r="C377" s="1251"/>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4">
        <f t="shared" si="236"/>
        <v>0</v>
      </c>
      <c r="AW377" s="794">
        <f t="shared" si="237"/>
        <v>0</v>
      </c>
      <c r="AX377" s="794">
        <f t="shared" si="238"/>
        <v>0</v>
      </c>
      <c r="AY377" s="1178">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3"/>
      <c r="B378" s="1251"/>
      <c r="C378" s="1251"/>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4">
        <f t="shared" si="236"/>
        <v>0</v>
      </c>
      <c r="AW378" s="794">
        <f t="shared" si="237"/>
        <v>0</v>
      </c>
      <c r="AX378" s="794">
        <f t="shared" si="238"/>
        <v>0</v>
      </c>
      <c r="AY378" s="1178">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3"/>
      <c r="B379" s="1251"/>
      <c r="C379" s="1251"/>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4">
        <f t="shared" si="236"/>
        <v>0</v>
      </c>
      <c r="AW379" s="794">
        <f t="shared" si="237"/>
        <v>0</v>
      </c>
      <c r="AX379" s="794">
        <f t="shared" si="238"/>
        <v>0</v>
      </c>
      <c r="AY379" s="1178">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3"/>
      <c r="B380" s="1251"/>
      <c r="C380" s="1251"/>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4">
        <f t="shared" si="236"/>
        <v>0</v>
      </c>
      <c r="AW380" s="794">
        <f t="shared" si="237"/>
        <v>0</v>
      </c>
      <c r="AX380" s="794">
        <f t="shared" si="238"/>
        <v>0</v>
      </c>
      <c r="AY380" s="1178">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3"/>
      <c r="B381" s="1251"/>
      <c r="C381" s="1251"/>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4">
        <f t="shared" si="236"/>
        <v>0</v>
      </c>
      <c r="AW381" s="794">
        <f t="shared" si="237"/>
        <v>0</v>
      </c>
      <c r="AX381" s="794">
        <f t="shared" si="238"/>
        <v>0</v>
      </c>
      <c r="AY381" s="1178">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3"/>
      <c r="B382" s="1251"/>
      <c r="C382" s="1251"/>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4">
        <f t="shared" si="236"/>
        <v>0</v>
      </c>
      <c r="AW382" s="794">
        <f t="shared" si="237"/>
        <v>0</v>
      </c>
      <c r="AX382" s="794">
        <f t="shared" si="238"/>
        <v>0</v>
      </c>
      <c r="AY382" s="1178">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3"/>
      <c r="B383" s="1251"/>
      <c r="C383" s="1251"/>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4">
        <f t="shared" si="236"/>
        <v>0</v>
      </c>
      <c r="AW383" s="794">
        <f t="shared" si="237"/>
        <v>0</v>
      </c>
      <c r="AX383" s="794">
        <f t="shared" si="238"/>
        <v>0</v>
      </c>
      <c r="AY383" s="1178">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3"/>
      <c r="B384" s="1251"/>
      <c r="C384" s="1251"/>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4">
        <f t="shared" si="236"/>
        <v>0</v>
      </c>
      <c r="AW384" s="794">
        <f t="shared" si="237"/>
        <v>0</v>
      </c>
      <c r="AX384" s="794">
        <f t="shared" si="238"/>
        <v>0</v>
      </c>
      <c r="AY384" s="1178">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3"/>
      <c r="B385" s="1251"/>
      <c r="C385" s="1251"/>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4">
        <f t="shared" si="236"/>
        <v>0</v>
      </c>
      <c r="AW385" s="794">
        <f t="shared" si="237"/>
        <v>0</v>
      </c>
      <c r="AX385" s="794">
        <f t="shared" si="238"/>
        <v>0</v>
      </c>
      <c r="AY385" s="1178">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3"/>
      <c r="B386" s="1251"/>
      <c r="C386" s="1251"/>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4">
        <f t="shared" si="236"/>
        <v>0</v>
      </c>
      <c r="AW386" s="794">
        <f t="shared" si="237"/>
        <v>0</v>
      </c>
      <c r="AX386" s="794">
        <f t="shared" si="238"/>
        <v>0</v>
      </c>
      <c r="AY386" s="1178">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3"/>
      <c r="B387" s="1251"/>
      <c r="C387" s="1251"/>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4">
        <f t="shared" si="236"/>
        <v>0</v>
      </c>
      <c r="AW387" s="794">
        <f t="shared" si="237"/>
        <v>0</v>
      </c>
      <c r="AX387" s="794">
        <f t="shared" si="238"/>
        <v>0</v>
      </c>
      <c r="AY387" s="1178">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3"/>
      <c r="B388" s="1251"/>
      <c r="C388" s="1251"/>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4">
        <f t="shared" si="236"/>
        <v>0</v>
      </c>
      <c r="AW388" s="794">
        <f t="shared" si="237"/>
        <v>0</v>
      </c>
      <c r="AX388" s="794">
        <f t="shared" si="238"/>
        <v>0</v>
      </c>
      <c r="AY388" s="1178">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3"/>
      <c r="B389" s="1251"/>
      <c r="C389" s="1251"/>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4">
        <f t="shared" si="236"/>
        <v>0</v>
      </c>
      <c r="AW389" s="794">
        <f t="shared" si="237"/>
        <v>0</v>
      </c>
      <c r="AX389" s="794">
        <f t="shared" si="238"/>
        <v>0</v>
      </c>
      <c r="AY389" s="1178">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3"/>
      <c r="B390" s="1251"/>
      <c r="C390" s="1251"/>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4">
        <f t="shared" si="236"/>
        <v>0</v>
      </c>
      <c r="AW390" s="794">
        <f t="shared" si="237"/>
        <v>0</v>
      </c>
      <c r="AX390" s="794">
        <f t="shared" si="238"/>
        <v>0</v>
      </c>
      <c r="AY390" s="1178">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3"/>
      <c r="B391" s="1251"/>
      <c r="C391" s="1251"/>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4">
        <f t="shared" si="236"/>
        <v>0</v>
      </c>
      <c r="AW391" s="794">
        <f t="shared" si="237"/>
        <v>0</v>
      </c>
      <c r="AX391" s="794">
        <f t="shared" si="238"/>
        <v>0</v>
      </c>
      <c r="AY391" s="1178">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3"/>
      <c r="B392" s="1251"/>
      <c r="C392" s="1251"/>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4">
        <f t="shared" si="236"/>
        <v>0</v>
      </c>
      <c r="AW392" s="794">
        <f t="shared" si="237"/>
        <v>0</v>
      </c>
      <c r="AX392" s="794">
        <f t="shared" si="238"/>
        <v>0</v>
      </c>
      <c r="AY392" s="1178">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3"/>
      <c r="B393" s="1251"/>
      <c r="C393" s="1251"/>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4">
        <f t="shared" si="236"/>
        <v>0</v>
      </c>
      <c r="AW393" s="794">
        <f t="shared" si="237"/>
        <v>0</v>
      </c>
      <c r="AX393" s="794">
        <f t="shared" si="238"/>
        <v>0</v>
      </c>
      <c r="AY393" s="1178">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3"/>
      <c r="B394" s="1251"/>
      <c r="C394" s="1251"/>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4">
        <f t="shared" si="236"/>
        <v>0</v>
      </c>
      <c r="AW394" s="794">
        <f t="shared" si="237"/>
        <v>0</v>
      </c>
      <c r="AX394" s="794">
        <f t="shared" si="238"/>
        <v>0</v>
      </c>
      <c r="AY394" s="1178">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3"/>
      <c r="B395" s="1243"/>
      <c r="C395" s="1243"/>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6"/>
      <c r="AV395" s="794">
        <f t="shared" si="236"/>
        <v>0</v>
      </c>
      <c r="AW395" s="794">
        <f t="shared" si="237"/>
        <v>0</v>
      </c>
      <c r="AX395" s="794">
        <f t="shared" si="238"/>
        <v>0</v>
      </c>
      <c r="AY395" s="1178">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3"/>
      <c r="B396" s="1243"/>
      <c r="C396" s="1243"/>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6"/>
      <c r="AV396" s="794">
        <f t="shared" si="236"/>
        <v>0</v>
      </c>
      <c r="AW396" s="794">
        <f t="shared" si="237"/>
        <v>0</v>
      </c>
      <c r="AX396" s="794">
        <f t="shared" si="238"/>
        <v>0</v>
      </c>
      <c r="AY396" s="1178">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3"/>
      <c r="B397" s="1243"/>
      <c r="C397" s="1243"/>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6"/>
      <c r="AV397" s="794">
        <f t="shared" si="236"/>
        <v>0</v>
      </c>
      <c r="AW397" s="794">
        <f t="shared" si="237"/>
        <v>0</v>
      </c>
      <c r="AX397" s="794">
        <f t="shared" si="238"/>
        <v>0</v>
      </c>
      <c r="AY397" s="1178">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3"/>
      <c r="B398" s="1251"/>
      <c r="C398" s="1251"/>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4">
        <f t="shared" ref="AV398:AV492" si="243">A398</f>
        <v>0</v>
      </c>
      <c r="AW398" s="794">
        <f t="shared" ref="AW398:AW492" si="244">B398</f>
        <v>0</v>
      </c>
      <c r="AX398" s="794">
        <f t="shared" ref="AX398:AX492" si="245">C398</f>
        <v>0</v>
      </c>
      <c r="AY398" s="1178">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3"/>
      <c r="B399" s="1251"/>
      <c r="C399" s="1251"/>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4">
        <f t="shared" si="243"/>
        <v>0</v>
      </c>
      <c r="AW399" s="794">
        <f t="shared" si="244"/>
        <v>0</v>
      </c>
      <c r="AX399" s="794">
        <f t="shared" si="245"/>
        <v>0</v>
      </c>
      <c r="AY399" s="1178">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3"/>
      <c r="B400" s="1251"/>
      <c r="C400" s="1251"/>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4">
        <f t="shared" si="243"/>
        <v>0</v>
      </c>
      <c r="AW400" s="794">
        <f t="shared" si="244"/>
        <v>0</v>
      </c>
      <c r="AX400" s="794">
        <f t="shared" si="245"/>
        <v>0</v>
      </c>
      <c r="AY400" s="1178">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3"/>
      <c r="B401" s="1251"/>
      <c r="C401" s="1251"/>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4">
        <f t="shared" si="243"/>
        <v>0</v>
      </c>
      <c r="AW401" s="794">
        <f t="shared" si="244"/>
        <v>0</v>
      </c>
      <c r="AX401" s="794">
        <f t="shared" si="245"/>
        <v>0</v>
      </c>
      <c r="AY401" s="1178">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3"/>
      <c r="B402" s="1251"/>
      <c r="C402" s="1251"/>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4">
        <f t="shared" si="243"/>
        <v>0</v>
      </c>
      <c r="AW402" s="794">
        <f t="shared" si="244"/>
        <v>0</v>
      </c>
      <c r="AX402" s="794">
        <f t="shared" si="245"/>
        <v>0</v>
      </c>
      <c r="AY402" s="1178">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3"/>
      <c r="B403" s="1251"/>
      <c r="C403" s="1251"/>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4">
        <f t="shared" si="243"/>
        <v>0</v>
      </c>
      <c r="AW403" s="794">
        <f t="shared" si="244"/>
        <v>0</v>
      </c>
      <c r="AX403" s="794">
        <f t="shared" si="245"/>
        <v>0</v>
      </c>
      <c r="AY403" s="1178">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3"/>
      <c r="B404" s="1251"/>
      <c r="C404" s="1251"/>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4">
        <f t="shared" si="243"/>
        <v>0</v>
      </c>
      <c r="AW404" s="794">
        <f t="shared" si="244"/>
        <v>0</v>
      </c>
      <c r="AX404" s="794">
        <f t="shared" si="245"/>
        <v>0</v>
      </c>
      <c r="AY404" s="1178">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3"/>
      <c r="B405" s="1251"/>
      <c r="C405" s="1251"/>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4">
        <f t="shared" si="243"/>
        <v>0</v>
      </c>
      <c r="AW405" s="794">
        <f t="shared" si="244"/>
        <v>0</v>
      </c>
      <c r="AX405" s="794">
        <f t="shared" si="245"/>
        <v>0</v>
      </c>
      <c r="AY405" s="1178">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3"/>
      <c r="B406" s="1251"/>
      <c r="C406" s="1251"/>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4">
        <f t="shared" si="243"/>
        <v>0</v>
      </c>
      <c r="AW406" s="794">
        <f t="shared" si="244"/>
        <v>0</v>
      </c>
      <c r="AX406" s="794">
        <f t="shared" si="245"/>
        <v>0</v>
      </c>
      <c r="AY406" s="1178">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3"/>
      <c r="B407" s="1251"/>
      <c r="C407" s="1251"/>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4">
        <f t="shared" si="243"/>
        <v>0</v>
      </c>
      <c r="AW407" s="794">
        <f t="shared" si="244"/>
        <v>0</v>
      </c>
      <c r="AX407" s="794">
        <f t="shared" si="245"/>
        <v>0</v>
      </c>
      <c r="AY407" s="1178">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3"/>
      <c r="B408" s="1251"/>
      <c r="C408" s="1251"/>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4">
        <f t="shared" si="243"/>
        <v>0</v>
      </c>
      <c r="AW408" s="794">
        <f t="shared" si="244"/>
        <v>0</v>
      </c>
      <c r="AX408" s="794">
        <f t="shared" si="245"/>
        <v>0</v>
      </c>
      <c r="AY408" s="1178">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3"/>
      <c r="B409" s="1251"/>
      <c r="C409" s="1251"/>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4">
        <f t="shared" si="243"/>
        <v>0</v>
      </c>
      <c r="AW409" s="794">
        <f t="shared" si="244"/>
        <v>0</v>
      </c>
      <c r="AX409" s="794">
        <f t="shared" si="245"/>
        <v>0</v>
      </c>
      <c r="AY409" s="1178">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3"/>
      <c r="B410" s="1251"/>
      <c r="C410" s="1251"/>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4">
        <f t="shared" si="243"/>
        <v>0</v>
      </c>
      <c r="AW410" s="794">
        <f t="shared" si="244"/>
        <v>0</v>
      </c>
      <c r="AX410" s="794">
        <f t="shared" si="245"/>
        <v>0</v>
      </c>
      <c r="AY410" s="1178">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3"/>
      <c r="B411" s="1251"/>
      <c r="C411" s="1251"/>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4">
        <f t="shared" si="243"/>
        <v>0</v>
      </c>
      <c r="AW411" s="794">
        <f t="shared" si="244"/>
        <v>0</v>
      </c>
      <c r="AX411" s="794">
        <f t="shared" si="245"/>
        <v>0</v>
      </c>
      <c r="AY411" s="1178">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3"/>
      <c r="B412" s="1251"/>
      <c r="C412" s="1251"/>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4">
        <f t="shared" si="243"/>
        <v>0</v>
      </c>
      <c r="AW412" s="794">
        <f t="shared" si="244"/>
        <v>0</v>
      </c>
      <c r="AX412" s="794">
        <f t="shared" si="245"/>
        <v>0</v>
      </c>
      <c r="AY412" s="1178">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3"/>
      <c r="B413" s="1251"/>
      <c r="C413" s="1251"/>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4">
        <f t="shared" si="243"/>
        <v>0</v>
      </c>
      <c r="AW413" s="794">
        <f t="shared" si="244"/>
        <v>0</v>
      </c>
      <c r="AX413" s="794">
        <f t="shared" si="245"/>
        <v>0</v>
      </c>
      <c r="AY413" s="1178">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3"/>
      <c r="B414" s="1251"/>
      <c r="C414" s="1251"/>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4">
        <f t="shared" si="243"/>
        <v>0</v>
      </c>
      <c r="AW414" s="794">
        <f t="shared" si="244"/>
        <v>0</v>
      </c>
      <c r="AX414" s="794">
        <f t="shared" si="245"/>
        <v>0</v>
      </c>
      <c r="AY414" s="1178">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3"/>
      <c r="B415" s="1251"/>
      <c r="C415" s="1251"/>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4">
        <f t="shared" si="243"/>
        <v>0</v>
      </c>
      <c r="AW415" s="794">
        <f t="shared" si="244"/>
        <v>0</v>
      </c>
      <c r="AX415" s="794">
        <f t="shared" si="245"/>
        <v>0</v>
      </c>
      <c r="AY415" s="1178">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3"/>
      <c r="B416" s="1251"/>
      <c r="C416" s="1251"/>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4">
        <f t="shared" si="243"/>
        <v>0</v>
      </c>
      <c r="AW416" s="794">
        <f t="shared" si="244"/>
        <v>0</v>
      </c>
      <c r="AX416" s="794">
        <f t="shared" si="245"/>
        <v>0</v>
      </c>
      <c r="AY416" s="1178">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3"/>
      <c r="B417" s="1251"/>
      <c r="C417" s="1251"/>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4">
        <f t="shared" si="243"/>
        <v>0</v>
      </c>
      <c r="AW417" s="794">
        <f t="shared" si="244"/>
        <v>0</v>
      </c>
      <c r="AX417" s="794">
        <f t="shared" si="245"/>
        <v>0</v>
      </c>
      <c r="AY417" s="1178">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3"/>
      <c r="B418" s="1251"/>
      <c r="C418" s="1251"/>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4">
        <f t="shared" si="243"/>
        <v>0</v>
      </c>
      <c r="AW418" s="794">
        <f t="shared" si="244"/>
        <v>0</v>
      </c>
      <c r="AX418" s="794">
        <f t="shared" si="245"/>
        <v>0</v>
      </c>
      <c r="AY418" s="1178">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3"/>
      <c r="B419" s="1251"/>
      <c r="C419" s="1251"/>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4">
        <f t="shared" si="243"/>
        <v>0</v>
      </c>
      <c r="AW419" s="794">
        <f t="shared" si="244"/>
        <v>0</v>
      </c>
      <c r="AX419" s="794">
        <f t="shared" si="245"/>
        <v>0</v>
      </c>
      <c r="AY419" s="1178">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3"/>
      <c r="B420" s="1251"/>
      <c r="C420" s="1251"/>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4">
        <f t="shared" si="243"/>
        <v>0</v>
      </c>
      <c r="AW420" s="794">
        <f t="shared" si="244"/>
        <v>0</v>
      </c>
      <c r="AX420" s="794">
        <f t="shared" si="245"/>
        <v>0</v>
      </c>
      <c r="AY420" s="1178">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3"/>
      <c r="B421" s="1251"/>
      <c r="C421" s="1251"/>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4">
        <f t="shared" si="243"/>
        <v>0</v>
      </c>
      <c r="AW421" s="794">
        <f t="shared" si="244"/>
        <v>0</v>
      </c>
      <c r="AX421" s="794">
        <f t="shared" si="245"/>
        <v>0</v>
      </c>
      <c r="AY421" s="1178">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3"/>
      <c r="B422" s="1251"/>
      <c r="C422" s="1251"/>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4">
        <f t="shared" si="243"/>
        <v>0</v>
      </c>
      <c r="AW422" s="794">
        <f t="shared" si="244"/>
        <v>0</v>
      </c>
      <c r="AX422" s="794">
        <f t="shared" si="245"/>
        <v>0</v>
      </c>
      <c r="AY422" s="1178">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3"/>
      <c r="B423" s="1251"/>
      <c r="C423" s="1251"/>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4">
        <f t="shared" si="243"/>
        <v>0</v>
      </c>
      <c r="AW423" s="794">
        <f t="shared" si="244"/>
        <v>0</v>
      </c>
      <c r="AX423" s="794">
        <f t="shared" si="245"/>
        <v>0</v>
      </c>
      <c r="AY423" s="1178">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3"/>
      <c r="B424" s="1251"/>
      <c r="C424" s="1251"/>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4">
        <f t="shared" si="243"/>
        <v>0</v>
      </c>
      <c r="AW424" s="794">
        <f t="shared" si="244"/>
        <v>0</v>
      </c>
      <c r="AX424" s="794">
        <f t="shared" si="245"/>
        <v>0</v>
      </c>
      <c r="AY424" s="1178">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3"/>
      <c r="B425" s="1251"/>
      <c r="C425" s="1251"/>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4">
        <f t="shared" si="243"/>
        <v>0</v>
      </c>
      <c r="AW425" s="794">
        <f t="shared" si="244"/>
        <v>0</v>
      </c>
      <c r="AX425" s="794">
        <f t="shared" si="245"/>
        <v>0</v>
      </c>
      <c r="AY425" s="1178">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3"/>
      <c r="B426" s="1251"/>
      <c r="C426" s="1251"/>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4">
        <f t="shared" si="243"/>
        <v>0</v>
      </c>
      <c r="AW426" s="794">
        <f t="shared" si="244"/>
        <v>0</v>
      </c>
      <c r="AX426" s="794">
        <f t="shared" si="245"/>
        <v>0</v>
      </c>
      <c r="AY426" s="1178">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3"/>
      <c r="B427" s="1251"/>
      <c r="C427" s="1251"/>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4">
        <f t="shared" si="243"/>
        <v>0</v>
      </c>
      <c r="AW427" s="794">
        <f t="shared" si="244"/>
        <v>0</v>
      </c>
      <c r="AX427" s="794">
        <f t="shared" si="245"/>
        <v>0</v>
      </c>
      <c r="AY427" s="1178">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3"/>
      <c r="B428" s="1251"/>
      <c r="C428" s="1251"/>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4">
        <f t="shared" si="243"/>
        <v>0</v>
      </c>
      <c r="AW428" s="794">
        <f t="shared" si="244"/>
        <v>0</v>
      </c>
      <c r="AX428" s="794">
        <f t="shared" si="245"/>
        <v>0</v>
      </c>
      <c r="AY428" s="1178">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3"/>
      <c r="B429" s="1251"/>
      <c r="C429" s="1251"/>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4">
        <f t="shared" si="243"/>
        <v>0</v>
      </c>
      <c r="AW429" s="794">
        <f t="shared" si="244"/>
        <v>0</v>
      </c>
      <c r="AX429" s="794">
        <f t="shared" si="245"/>
        <v>0</v>
      </c>
      <c r="AY429" s="1178">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3"/>
      <c r="B430" s="1251"/>
      <c r="C430" s="1251"/>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4">
        <f t="shared" si="243"/>
        <v>0</v>
      </c>
      <c r="AW430" s="794">
        <f t="shared" si="244"/>
        <v>0</v>
      </c>
      <c r="AX430" s="794">
        <f t="shared" si="245"/>
        <v>0</v>
      </c>
      <c r="AY430" s="1178">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3"/>
      <c r="B431" s="1251"/>
      <c r="C431" s="1251"/>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4">
        <f t="shared" si="243"/>
        <v>0</v>
      </c>
      <c r="AW431" s="794">
        <f t="shared" si="244"/>
        <v>0</v>
      </c>
      <c r="AX431" s="794">
        <f t="shared" si="245"/>
        <v>0</v>
      </c>
      <c r="AY431" s="1178">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3"/>
      <c r="B432" s="1251"/>
      <c r="C432" s="1251"/>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4">
        <f t="shared" si="243"/>
        <v>0</v>
      </c>
      <c r="AW432" s="794">
        <f t="shared" si="244"/>
        <v>0</v>
      </c>
      <c r="AX432" s="794">
        <f t="shared" si="245"/>
        <v>0</v>
      </c>
      <c r="AY432" s="1178">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3"/>
      <c r="B433" s="1251"/>
      <c r="C433" s="1251"/>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4">
        <f t="shared" si="243"/>
        <v>0</v>
      </c>
      <c r="AW433" s="794">
        <f t="shared" si="244"/>
        <v>0</v>
      </c>
      <c r="AX433" s="794">
        <f t="shared" si="245"/>
        <v>0</v>
      </c>
      <c r="AY433" s="1178">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3"/>
      <c r="B434" s="1251"/>
      <c r="C434" s="1251"/>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4">
        <f t="shared" si="243"/>
        <v>0</v>
      </c>
      <c r="AW434" s="794">
        <f t="shared" si="244"/>
        <v>0</v>
      </c>
      <c r="AX434" s="794">
        <f t="shared" si="245"/>
        <v>0</v>
      </c>
      <c r="AY434" s="1178">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3"/>
      <c r="B435" s="1251"/>
      <c r="C435" s="1251"/>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4">
        <f t="shared" si="243"/>
        <v>0</v>
      </c>
      <c r="AW435" s="794">
        <f t="shared" si="244"/>
        <v>0</v>
      </c>
      <c r="AX435" s="794">
        <f t="shared" si="245"/>
        <v>0</v>
      </c>
      <c r="AY435" s="1178">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3"/>
      <c r="B436" s="1251"/>
      <c r="C436" s="1251"/>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4">
        <f t="shared" si="243"/>
        <v>0</v>
      </c>
      <c r="AW436" s="794">
        <f t="shared" si="244"/>
        <v>0</v>
      </c>
      <c r="AX436" s="794">
        <f t="shared" si="245"/>
        <v>0</v>
      </c>
      <c r="AY436" s="1178">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3"/>
      <c r="B437" s="1251"/>
      <c r="C437" s="1251"/>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4">
        <f t="shared" si="243"/>
        <v>0</v>
      </c>
      <c r="AW437" s="794">
        <f t="shared" si="244"/>
        <v>0</v>
      </c>
      <c r="AX437" s="794">
        <f t="shared" si="245"/>
        <v>0</v>
      </c>
      <c r="AY437" s="1178">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3"/>
      <c r="B438" s="1251"/>
      <c r="C438" s="1251"/>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4">
        <f t="shared" si="243"/>
        <v>0</v>
      </c>
      <c r="AW438" s="794">
        <f t="shared" si="244"/>
        <v>0</v>
      </c>
      <c r="AX438" s="794">
        <f t="shared" si="245"/>
        <v>0</v>
      </c>
      <c r="AY438" s="1178">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3"/>
      <c r="B439" s="1251"/>
      <c r="C439" s="1251"/>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4">
        <f t="shared" si="243"/>
        <v>0</v>
      </c>
      <c r="AW439" s="794">
        <f t="shared" si="244"/>
        <v>0</v>
      </c>
      <c r="AX439" s="794">
        <f t="shared" si="245"/>
        <v>0</v>
      </c>
      <c r="AY439" s="1178">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3"/>
      <c r="B440" s="1251"/>
      <c r="C440" s="1251"/>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4">
        <f t="shared" si="243"/>
        <v>0</v>
      </c>
      <c r="AW440" s="794">
        <f t="shared" si="244"/>
        <v>0</v>
      </c>
      <c r="AX440" s="794">
        <f t="shared" si="245"/>
        <v>0</v>
      </c>
      <c r="AY440" s="1178">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3"/>
      <c r="B441" s="1251"/>
      <c r="C441" s="1251"/>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4">
        <f t="shared" si="243"/>
        <v>0</v>
      </c>
      <c r="AW441" s="794">
        <f t="shared" si="244"/>
        <v>0</v>
      </c>
      <c r="AX441" s="794">
        <f t="shared" si="245"/>
        <v>0</v>
      </c>
      <c r="AY441" s="1178">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3"/>
      <c r="B442" s="1251"/>
      <c r="C442" s="1251"/>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4">
        <f t="shared" si="243"/>
        <v>0</v>
      </c>
      <c r="AW442" s="794">
        <f t="shared" si="244"/>
        <v>0</v>
      </c>
      <c r="AX442" s="794">
        <f t="shared" si="245"/>
        <v>0</v>
      </c>
      <c r="AY442" s="1178">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3"/>
      <c r="B443" s="1251"/>
      <c r="C443" s="1251"/>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4">
        <f t="shared" si="243"/>
        <v>0</v>
      </c>
      <c r="AW443" s="794">
        <f t="shared" si="244"/>
        <v>0</v>
      </c>
      <c r="AX443" s="794">
        <f t="shared" si="245"/>
        <v>0</v>
      </c>
      <c r="AY443" s="1178">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3"/>
      <c r="B444" s="1251"/>
      <c r="C444" s="1251"/>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4">
        <f t="shared" si="243"/>
        <v>0</v>
      </c>
      <c r="AW444" s="794">
        <f t="shared" si="244"/>
        <v>0</v>
      </c>
      <c r="AX444" s="794">
        <f t="shared" si="245"/>
        <v>0</v>
      </c>
      <c r="AY444" s="1178">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3"/>
      <c r="B445" s="1251"/>
      <c r="C445" s="1251"/>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4">
        <f t="shared" si="243"/>
        <v>0</v>
      </c>
      <c r="AW445" s="794">
        <f t="shared" si="244"/>
        <v>0</v>
      </c>
      <c r="AX445" s="794">
        <f t="shared" si="245"/>
        <v>0</v>
      </c>
      <c r="AY445" s="1178">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3"/>
      <c r="B446" s="1251"/>
      <c r="C446" s="1251"/>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4">
        <f t="shared" si="243"/>
        <v>0</v>
      </c>
      <c r="AW446" s="794">
        <f t="shared" si="244"/>
        <v>0</v>
      </c>
      <c r="AX446" s="794">
        <f t="shared" si="245"/>
        <v>0</v>
      </c>
      <c r="AY446" s="1178">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3"/>
      <c r="B447" s="1251"/>
      <c r="C447" s="1251"/>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4">
        <f t="shared" si="243"/>
        <v>0</v>
      </c>
      <c r="AW447" s="794">
        <f t="shared" si="244"/>
        <v>0</v>
      </c>
      <c r="AX447" s="794">
        <f t="shared" si="245"/>
        <v>0</v>
      </c>
      <c r="AY447" s="1178">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3"/>
      <c r="B448" s="1251"/>
      <c r="C448" s="1251"/>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4">
        <f t="shared" si="243"/>
        <v>0</v>
      </c>
      <c r="AW448" s="794">
        <f t="shared" si="244"/>
        <v>0</v>
      </c>
      <c r="AX448" s="794">
        <f t="shared" si="245"/>
        <v>0</v>
      </c>
      <c r="AY448" s="1178">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3"/>
      <c r="B449" s="1251"/>
      <c r="C449" s="1251"/>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4">
        <f t="shared" si="243"/>
        <v>0</v>
      </c>
      <c r="AW449" s="794">
        <f t="shared" si="244"/>
        <v>0</v>
      </c>
      <c r="AX449" s="794">
        <f t="shared" si="245"/>
        <v>0</v>
      </c>
      <c r="AY449" s="1178">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3"/>
      <c r="B450" s="1251"/>
      <c r="C450" s="1251"/>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4">
        <f t="shared" si="243"/>
        <v>0</v>
      </c>
      <c r="AW450" s="794">
        <f t="shared" si="244"/>
        <v>0</v>
      </c>
      <c r="AX450" s="794">
        <f t="shared" si="245"/>
        <v>0</v>
      </c>
      <c r="AY450" s="1178">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3"/>
      <c r="B451" s="1251"/>
      <c r="C451" s="1251"/>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4">
        <f t="shared" si="243"/>
        <v>0</v>
      </c>
      <c r="AW451" s="794">
        <f t="shared" si="244"/>
        <v>0</v>
      </c>
      <c r="AX451" s="794">
        <f t="shared" si="245"/>
        <v>0</v>
      </c>
      <c r="AY451" s="1178">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3"/>
      <c r="B452" s="1251"/>
      <c r="C452" s="1251"/>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4">
        <f t="shared" si="243"/>
        <v>0</v>
      </c>
      <c r="AW452" s="794">
        <f t="shared" si="244"/>
        <v>0</v>
      </c>
      <c r="AX452" s="794">
        <f t="shared" si="245"/>
        <v>0</v>
      </c>
      <c r="AY452" s="1178">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3"/>
      <c r="B453" s="1251"/>
      <c r="C453" s="1251"/>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4">
        <f t="shared" si="243"/>
        <v>0</v>
      </c>
      <c r="AW453" s="794">
        <f t="shared" si="244"/>
        <v>0</v>
      </c>
      <c r="AX453" s="794">
        <f t="shared" si="245"/>
        <v>0</v>
      </c>
      <c r="AY453" s="1178">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3"/>
      <c r="B454" s="1251"/>
      <c r="C454" s="1251"/>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4">
        <f t="shared" si="243"/>
        <v>0</v>
      </c>
      <c r="AW454" s="794">
        <f t="shared" si="244"/>
        <v>0</v>
      </c>
      <c r="AX454" s="794">
        <f t="shared" si="245"/>
        <v>0</v>
      </c>
      <c r="AY454" s="1178">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3"/>
      <c r="B455" s="1251"/>
      <c r="C455" s="1251"/>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4">
        <f t="shared" si="243"/>
        <v>0</v>
      </c>
      <c r="AW455" s="794">
        <f t="shared" si="244"/>
        <v>0</v>
      </c>
      <c r="AX455" s="794">
        <f t="shared" si="245"/>
        <v>0</v>
      </c>
      <c r="AY455" s="1178">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3"/>
      <c r="B456" s="1251"/>
      <c r="C456" s="1251"/>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4">
        <f t="shared" si="243"/>
        <v>0</v>
      </c>
      <c r="AW456" s="794">
        <f t="shared" si="244"/>
        <v>0</v>
      </c>
      <c r="AX456" s="794">
        <f t="shared" si="245"/>
        <v>0</v>
      </c>
      <c r="AY456" s="1178">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3"/>
      <c r="B457" s="1251"/>
      <c r="C457" s="1251"/>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4">
        <f t="shared" si="243"/>
        <v>0</v>
      </c>
      <c r="AW457" s="794">
        <f t="shared" si="244"/>
        <v>0</v>
      </c>
      <c r="AX457" s="794">
        <f t="shared" si="245"/>
        <v>0</v>
      </c>
      <c r="AY457" s="1178">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3"/>
      <c r="B458" s="1251"/>
      <c r="C458" s="1251"/>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4">
        <f t="shared" si="243"/>
        <v>0</v>
      </c>
      <c r="AW458" s="794">
        <f t="shared" si="244"/>
        <v>0</v>
      </c>
      <c r="AX458" s="794">
        <f t="shared" si="245"/>
        <v>0</v>
      </c>
      <c r="AY458" s="1178">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3"/>
      <c r="B459" s="1251"/>
      <c r="C459" s="1251"/>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4">
        <f t="shared" si="243"/>
        <v>0</v>
      </c>
      <c r="AW459" s="794">
        <f t="shared" si="244"/>
        <v>0</v>
      </c>
      <c r="AX459" s="794">
        <f t="shared" si="245"/>
        <v>0</v>
      </c>
      <c r="AY459" s="1178">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3"/>
      <c r="B460" s="1251"/>
      <c r="C460" s="1251"/>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4">
        <f t="shared" si="243"/>
        <v>0</v>
      </c>
      <c r="AW460" s="794">
        <f t="shared" si="244"/>
        <v>0</v>
      </c>
      <c r="AX460" s="794">
        <f t="shared" si="245"/>
        <v>0</v>
      </c>
      <c r="AY460" s="1178">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3"/>
      <c r="B461" s="1251"/>
      <c r="C461" s="1251"/>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4">
        <f t="shared" si="243"/>
        <v>0</v>
      </c>
      <c r="AW461" s="794">
        <f t="shared" si="244"/>
        <v>0</v>
      </c>
      <c r="AX461" s="794">
        <f t="shared" si="245"/>
        <v>0</v>
      </c>
      <c r="AY461" s="1178">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3"/>
      <c r="B462" s="1251"/>
      <c r="C462" s="1251"/>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4">
        <f t="shared" si="243"/>
        <v>0</v>
      </c>
      <c r="AW462" s="794">
        <f t="shared" si="244"/>
        <v>0</v>
      </c>
      <c r="AX462" s="794">
        <f t="shared" si="245"/>
        <v>0</v>
      </c>
      <c r="AY462" s="1178">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3"/>
      <c r="B463" s="1251"/>
      <c r="C463" s="1251"/>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4">
        <f t="shared" si="243"/>
        <v>0</v>
      </c>
      <c r="AW463" s="794">
        <f t="shared" si="244"/>
        <v>0</v>
      </c>
      <c r="AX463" s="794">
        <f t="shared" si="245"/>
        <v>0</v>
      </c>
      <c r="AY463" s="1178">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3"/>
      <c r="B464" s="1251"/>
      <c r="C464" s="1251"/>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4">
        <f t="shared" si="243"/>
        <v>0</v>
      </c>
      <c r="AW464" s="794">
        <f t="shared" si="244"/>
        <v>0</v>
      </c>
      <c r="AX464" s="794">
        <f t="shared" si="245"/>
        <v>0</v>
      </c>
      <c r="AY464" s="1178">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3"/>
      <c r="B465" s="1251"/>
      <c r="C465" s="1251"/>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4">
        <f t="shared" si="243"/>
        <v>0</v>
      </c>
      <c r="AW465" s="794">
        <f t="shared" si="244"/>
        <v>0</v>
      </c>
      <c r="AX465" s="794">
        <f t="shared" si="245"/>
        <v>0</v>
      </c>
      <c r="AY465" s="1178">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3"/>
      <c r="B466" s="1251"/>
      <c r="C466" s="1251"/>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4">
        <f t="shared" si="243"/>
        <v>0</v>
      </c>
      <c r="AW466" s="794">
        <f t="shared" si="244"/>
        <v>0</v>
      </c>
      <c r="AX466" s="794">
        <f t="shared" si="245"/>
        <v>0</v>
      </c>
      <c r="AY466" s="1178">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3"/>
      <c r="B467" s="1251"/>
      <c r="C467" s="1251"/>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4">
        <f t="shared" si="243"/>
        <v>0</v>
      </c>
      <c r="AW467" s="794">
        <f t="shared" si="244"/>
        <v>0</v>
      </c>
      <c r="AX467" s="794">
        <f t="shared" si="245"/>
        <v>0</v>
      </c>
      <c r="AY467" s="1178">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3"/>
      <c r="B468" s="1251"/>
      <c r="C468" s="1251"/>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4">
        <f t="shared" si="243"/>
        <v>0</v>
      </c>
      <c r="AW468" s="794">
        <f t="shared" si="244"/>
        <v>0</v>
      </c>
      <c r="AX468" s="794">
        <f t="shared" si="245"/>
        <v>0</v>
      </c>
      <c r="AY468" s="1178">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3"/>
      <c r="B469" s="1251"/>
      <c r="C469" s="1251"/>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4">
        <f t="shared" si="243"/>
        <v>0</v>
      </c>
      <c r="AW469" s="794">
        <f t="shared" si="244"/>
        <v>0</v>
      </c>
      <c r="AX469" s="794">
        <f t="shared" si="245"/>
        <v>0</v>
      </c>
      <c r="AY469" s="1178">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3"/>
      <c r="B470" s="1251"/>
      <c r="C470" s="1251"/>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4">
        <f t="shared" si="243"/>
        <v>0</v>
      </c>
      <c r="AW470" s="794">
        <f t="shared" si="244"/>
        <v>0</v>
      </c>
      <c r="AX470" s="794">
        <f t="shared" si="245"/>
        <v>0</v>
      </c>
      <c r="AY470" s="1178">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3"/>
      <c r="B471" s="1251"/>
      <c r="C471" s="1251"/>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4">
        <f t="shared" si="243"/>
        <v>0</v>
      </c>
      <c r="AW471" s="794">
        <f t="shared" si="244"/>
        <v>0</v>
      </c>
      <c r="AX471" s="794">
        <f t="shared" si="245"/>
        <v>0</v>
      </c>
      <c r="AY471" s="1178">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3"/>
      <c r="B472" s="1251"/>
      <c r="C472" s="1251"/>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4">
        <f t="shared" si="243"/>
        <v>0</v>
      </c>
      <c r="AW472" s="794">
        <f t="shared" si="244"/>
        <v>0</v>
      </c>
      <c r="AX472" s="794">
        <f t="shared" si="245"/>
        <v>0</v>
      </c>
      <c r="AY472" s="1178">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3"/>
      <c r="B473" s="1251"/>
      <c r="C473" s="1251"/>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4">
        <f t="shared" si="243"/>
        <v>0</v>
      </c>
      <c r="AW473" s="794">
        <f t="shared" si="244"/>
        <v>0</v>
      </c>
      <c r="AX473" s="794">
        <f t="shared" si="245"/>
        <v>0</v>
      </c>
      <c r="AY473" s="1178">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3"/>
      <c r="B474" s="1251"/>
      <c r="C474" s="1251"/>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4">
        <f t="shared" si="243"/>
        <v>0</v>
      </c>
      <c r="AW474" s="794">
        <f t="shared" si="244"/>
        <v>0</v>
      </c>
      <c r="AX474" s="794">
        <f t="shared" si="245"/>
        <v>0</v>
      </c>
      <c r="AY474" s="1178">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3"/>
      <c r="B475" s="1251"/>
      <c r="C475" s="1251"/>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4">
        <f t="shared" si="243"/>
        <v>0</v>
      </c>
      <c r="AW475" s="794">
        <f t="shared" si="244"/>
        <v>0</v>
      </c>
      <c r="AX475" s="794">
        <f t="shared" si="245"/>
        <v>0</v>
      </c>
      <c r="AY475" s="1178">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3"/>
      <c r="B476" s="1251"/>
      <c r="C476" s="1251"/>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4">
        <f t="shared" si="243"/>
        <v>0</v>
      </c>
      <c r="AW476" s="794">
        <f t="shared" si="244"/>
        <v>0</v>
      </c>
      <c r="AX476" s="794">
        <f t="shared" si="245"/>
        <v>0</v>
      </c>
      <c r="AY476" s="1178">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3"/>
      <c r="B477" s="1251"/>
      <c r="C477" s="1251"/>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4">
        <f t="shared" si="243"/>
        <v>0</v>
      </c>
      <c r="AW477" s="794">
        <f t="shared" si="244"/>
        <v>0</v>
      </c>
      <c r="AX477" s="794">
        <f t="shared" si="245"/>
        <v>0</v>
      </c>
      <c r="AY477" s="1178">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3"/>
      <c r="B478" s="1251"/>
      <c r="C478" s="1251"/>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4">
        <f t="shared" si="243"/>
        <v>0</v>
      </c>
      <c r="AW478" s="794">
        <f t="shared" si="244"/>
        <v>0</v>
      </c>
      <c r="AX478" s="794">
        <f t="shared" si="245"/>
        <v>0</v>
      </c>
      <c r="AY478" s="1178">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3"/>
      <c r="B479" s="1251"/>
      <c r="C479" s="1251"/>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4">
        <f t="shared" si="243"/>
        <v>0</v>
      </c>
      <c r="AW479" s="794">
        <f t="shared" si="244"/>
        <v>0</v>
      </c>
      <c r="AX479" s="794">
        <f t="shared" si="245"/>
        <v>0</v>
      </c>
      <c r="AY479" s="1178">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3"/>
      <c r="B480" s="1251"/>
      <c r="C480" s="1251"/>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4">
        <f t="shared" si="243"/>
        <v>0</v>
      </c>
      <c r="AW480" s="794">
        <f t="shared" si="244"/>
        <v>0</v>
      </c>
      <c r="AX480" s="794">
        <f t="shared" si="245"/>
        <v>0</v>
      </c>
      <c r="AY480" s="1178">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3"/>
      <c r="B481" s="1251"/>
      <c r="C481" s="1251"/>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4">
        <f t="shared" si="243"/>
        <v>0</v>
      </c>
      <c r="AW481" s="794">
        <f t="shared" si="244"/>
        <v>0</v>
      </c>
      <c r="AX481" s="794">
        <f t="shared" si="245"/>
        <v>0</v>
      </c>
      <c r="AY481" s="1178">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3"/>
      <c r="B482" s="1251"/>
      <c r="C482" s="1251"/>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4">
        <f t="shared" si="243"/>
        <v>0</v>
      </c>
      <c r="AW482" s="794">
        <f t="shared" si="244"/>
        <v>0</v>
      </c>
      <c r="AX482" s="794">
        <f t="shared" si="245"/>
        <v>0</v>
      </c>
      <c r="AY482" s="1178">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3"/>
      <c r="B483" s="1251"/>
      <c r="C483" s="1251"/>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4">
        <f t="shared" si="243"/>
        <v>0</v>
      </c>
      <c r="AW483" s="794">
        <f t="shared" si="244"/>
        <v>0</v>
      </c>
      <c r="AX483" s="794">
        <f t="shared" si="245"/>
        <v>0</v>
      </c>
      <c r="AY483" s="1178">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3"/>
      <c r="B484" s="1251"/>
      <c r="C484" s="1251"/>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4">
        <f t="shared" si="243"/>
        <v>0</v>
      </c>
      <c r="AW484" s="794">
        <f t="shared" si="244"/>
        <v>0</v>
      </c>
      <c r="AX484" s="794">
        <f t="shared" si="245"/>
        <v>0</v>
      </c>
      <c r="AY484" s="1178">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3"/>
      <c r="B485" s="1251"/>
      <c r="C485" s="1251"/>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4">
        <f t="shared" si="243"/>
        <v>0</v>
      </c>
      <c r="AW485" s="794">
        <f t="shared" si="244"/>
        <v>0</v>
      </c>
      <c r="AX485" s="794">
        <f t="shared" si="245"/>
        <v>0</v>
      </c>
      <c r="AY485" s="1178">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3"/>
      <c r="B486" s="1251"/>
      <c r="C486" s="1251"/>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4">
        <f t="shared" si="243"/>
        <v>0</v>
      </c>
      <c r="AW486" s="794">
        <f t="shared" si="244"/>
        <v>0</v>
      </c>
      <c r="AX486" s="794">
        <f t="shared" si="245"/>
        <v>0</v>
      </c>
      <c r="AY486" s="1178">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3"/>
      <c r="B487" s="1251"/>
      <c r="C487" s="1251"/>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4">
        <f t="shared" si="243"/>
        <v>0</v>
      </c>
      <c r="AW487" s="794">
        <f t="shared" si="244"/>
        <v>0</v>
      </c>
      <c r="AX487" s="794">
        <f t="shared" si="245"/>
        <v>0</v>
      </c>
      <c r="AY487" s="1178">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3"/>
      <c r="B488" s="1251"/>
      <c r="C488" s="1251"/>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4">
        <f t="shared" si="243"/>
        <v>0</v>
      </c>
      <c r="AW488" s="794">
        <f t="shared" si="244"/>
        <v>0</v>
      </c>
      <c r="AX488" s="794">
        <f t="shared" si="245"/>
        <v>0</v>
      </c>
      <c r="AY488" s="1178">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3"/>
      <c r="B489" s="1251"/>
      <c r="C489" s="1251"/>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4">
        <f t="shared" si="243"/>
        <v>0</v>
      </c>
      <c r="AW489" s="794">
        <f t="shared" si="244"/>
        <v>0</v>
      </c>
      <c r="AX489" s="794">
        <f t="shared" si="245"/>
        <v>0</v>
      </c>
      <c r="AY489" s="1178">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3"/>
      <c r="B490" s="1243"/>
      <c r="C490" s="1243"/>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6"/>
      <c r="AV490" s="794">
        <f t="shared" si="243"/>
        <v>0</v>
      </c>
      <c r="AW490" s="794">
        <f t="shared" si="244"/>
        <v>0</v>
      </c>
      <c r="AX490" s="794">
        <f t="shared" si="245"/>
        <v>0</v>
      </c>
      <c r="AY490" s="1178">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3"/>
      <c r="B491" s="1243"/>
      <c r="C491" s="1243"/>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6"/>
      <c r="AV491" s="794">
        <f t="shared" si="243"/>
        <v>0</v>
      </c>
      <c r="AW491" s="794">
        <f t="shared" si="244"/>
        <v>0</v>
      </c>
      <c r="AX491" s="794">
        <f t="shared" si="245"/>
        <v>0</v>
      </c>
      <c r="AY491" s="1178">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3"/>
      <c r="B492" s="1243"/>
      <c r="C492" s="1243"/>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6"/>
      <c r="AV492" s="794">
        <f t="shared" si="243"/>
        <v>0</v>
      </c>
      <c r="AW492" s="794">
        <f t="shared" si="244"/>
        <v>0</v>
      </c>
      <c r="AX492" s="794">
        <f t="shared" si="245"/>
        <v>0</v>
      </c>
      <c r="AY492" s="1178">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3"/>
      <c r="B493" s="1251"/>
      <c r="C493" s="1251"/>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4">
        <f t="shared" ref="AV493:AV520" si="294">A493</f>
        <v>0</v>
      </c>
      <c r="AW493" s="794">
        <f t="shared" ref="AW493:AW520" si="295">B493</f>
        <v>0</v>
      </c>
      <c r="AX493" s="794">
        <f t="shared" ref="AX493:AX520" si="296">C493</f>
        <v>0</v>
      </c>
      <c r="AY493" s="1178">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3"/>
      <c r="B494" s="1251"/>
      <c r="C494" s="1251"/>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4">
        <f t="shared" si="294"/>
        <v>0</v>
      </c>
      <c r="AW494" s="794">
        <f t="shared" si="295"/>
        <v>0</v>
      </c>
      <c r="AX494" s="794">
        <f t="shared" si="296"/>
        <v>0</v>
      </c>
      <c r="AY494" s="1178">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3"/>
      <c r="B495" s="1251"/>
      <c r="C495" s="1251"/>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4">
        <f t="shared" si="294"/>
        <v>0</v>
      </c>
      <c r="AW495" s="794">
        <f t="shared" si="295"/>
        <v>0</v>
      </c>
      <c r="AX495" s="794">
        <f t="shared" si="296"/>
        <v>0</v>
      </c>
      <c r="AY495" s="1178">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3"/>
      <c r="B496" s="1251"/>
      <c r="C496" s="1251"/>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4">
        <f t="shared" si="294"/>
        <v>0</v>
      </c>
      <c r="AW496" s="794">
        <f t="shared" si="295"/>
        <v>0</v>
      </c>
      <c r="AX496" s="794">
        <f t="shared" si="296"/>
        <v>0</v>
      </c>
      <c r="AY496" s="1178">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3"/>
      <c r="B497" s="1251"/>
      <c r="C497" s="1251"/>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4">
        <f t="shared" si="294"/>
        <v>0</v>
      </c>
      <c r="AW497" s="794">
        <f t="shared" si="295"/>
        <v>0</v>
      </c>
      <c r="AX497" s="794">
        <f t="shared" si="296"/>
        <v>0</v>
      </c>
      <c r="AY497" s="1178">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3"/>
      <c r="B498" s="1251"/>
      <c r="C498" s="1251"/>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4">
        <f t="shared" si="294"/>
        <v>0</v>
      </c>
      <c r="AW498" s="794">
        <f t="shared" si="295"/>
        <v>0</v>
      </c>
      <c r="AX498" s="794">
        <f t="shared" si="296"/>
        <v>0</v>
      </c>
      <c r="AY498" s="1178">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3"/>
      <c r="B499" s="1251"/>
      <c r="C499" s="1251"/>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4">
        <f t="shared" si="294"/>
        <v>0</v>
      </c>
      <c r="AW499" s="794">
        <f t="shared" si="295"/>
        <v>0</v>
      </c>
      <c r="AX499" s="794">
        <f t="shared" si="296"/>
        <v>0</v>
      </c>
      <c r="AY499" s="1178">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3"/>
      <c r="B500" s="1251"/>
      <c r="C500" s="1251"/>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4">
        <f t="shared" si="294"/>
        <v>0</v>
      </c>
      <c r="AW500" s="794">
        <f t="shared" si="295"/>
        <v>0</v>
      </c>
      <c r="AX500" s="794">
        <f t="shared" si="296"/>
        <v>0</v>
      </c>
      <c r="AY500" s="1178">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3"/>
      <c r="B501" s="1251"/>
      <c r="C501" s="1251"/>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4">
        <f t="shared" si="294"/>
        <v>0</v>
      </c>
      <c r="AW501" s="794">
        <f t="shared" si="295"/>
        <v>0</v>
      </c>
      <c r="AX501" s="794">
        <f t="shared" si="296"/>
        <v>0</v>
      </c>
      <c r="AY501" s="1178">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3"/>
      <c r="B502" s="1251"/>
      <c r="C502" s="1251"/>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4">
        <f t="shared" si="294"/>
        <v>0</v>
      </c>
      <c r="AW502" s="794">
        <f t="shared" si="295"/>
        <v>0</v>
      </c>
      <c r="AX502" s="794">
        <f t="shared" si="296"/>
        <v>0</v>
      </c>
      <c r="AY502" s="1178">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3"/>
      <c r="B503" s="1251"/>
      <c r="C503" s="1251"/>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4">
        <f t="shared" si="294"/>
        <v>0</v>
      </c>
      <c r="AW503" s="794">
        <f t="shared" si="295"/>
        <v>0</v>
      </c>
      <c r="AX503" s="794">
        <f t="shared" si="296"/>
        <v>0</v>
      </c>
      <c r="AY503" s="1178">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3"/>
      <c r="B504" s="1251"/>
      <c r="C504" s="1251"/>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4">
        <f t="shared" si="294"/>
        <v>0</v>
      </c>
      <c r="AW504" s="794">
        <f t="shared" si="295"/>
        <v>0</v>
      </c>
      <c r="AX504" s="794">
        <f t="shared" si="296"/>
        <v>0</v>
      </c>
      <c r="AY504" s="1178">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3"/>
      <c r="B505" s="1251"/>
      <c r="C505" s="1251"/>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4">
        <f t="shared" si="294"/>
        <v>0</v>
      </c>
      <c r="AW505" s="794">
        <f t="shared" si="295"/>
        <v>0</v>
      </c>
      <c r="AX505" s="794">
        <f t="shared" si="296"/>
        <v>0</v>
      </c>
      <c r="AY505" s="1178">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3"/>
      <c r="B506" s="1251"/>
      <c r="C506" s="1251"/>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4">
        <f t="shared" si="294"/>
        <v>0</v>
      </c>
      <c r="AW506" s="794">
        <f t="shared" si="295"/>
        <v>0</v>
      </c>
      <c r="AX506" s="794">
        <f t="shared" si="296"/>
        <v>0</v>
      </c>
      <c r="AY506" s="1178">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3"/>
      <c r="B507" s="1251"/>
      <c r="C507" s="1251"/>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4">
        <f t="shared" si="294"/>
        <v>0</v>
      </c>
      <c r="AW507" s="794">
        <f t="shared" si="295"/>
        <v>0</v>
      </c>
      <c r="AX507" s="794">
        <f t="shared" si="296"/>
        <v>0</v>
      </c>
      <c r="AY507" s="1178">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3"/>
      <c r="B508" s="1251"/>
      <c r="C508" s="1251"/>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4">
        <f t="shared" si="294"/>
        <v>0</v>
      </c>
      <c r="AW508" s="794">
        <f t="shared" si="295"/>
        <v>0</v>
      </c>
      <c r="AX508" s="794">
        <f t="shared" si="296"/>
        <v>0</v>
      </c>
      <c r="AY508" s="1178">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3"/>
      <c r="B509" s="1251"/>
      <c r="C509" s="1251"/>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4">
        <f t="shared" si="294"/>
        <v>0</v>
      </c>
      <c r="AW509" s="794">
        <f t="shared" si="295"/>
        <v>0</v>
      </c>
      <c r="AX509" s="794">
        <f t="shared" si="296"/>
        <v>0</v>
      </c>
      <c r="AY509" s="1178">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3"/>
      <c r="B510" s="1251"/>
      <c r="C510" s="1251"/>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4">
        <f t="shared" si="294"/>
        <v>0</v>
      </c>
      <c r="AW510" s="794">
        <f t="shared" si="295"/>
        <v>0</v>
      </c>
      <c r="AX510" s="794">
        <f t="shared" si="296"/>
        <v>0</v>
      </c>
      <c r="AY510" s="1178">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3"/>
      <c r="B511" s="1251"/>
      <c r="C511" s="1251"/>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4">
        <f t="shared" si="294"/>
        <v>0</v>
      </c>
      <c r="AW511" s="794">
        <f t="shared" si="295"/>
        <v>0</v>
      </c>
      <c r="AX511" s="794">
        <f t="shared" si="296"/>
        <v>0</v>
      </c>
      <c r="AY511" s="1178">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3"/>
      <c r="B512" s="1251"/>
      <c r="C512" s="1251"/>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4">
        <f t="shared" si="294"/>
        <v>0</v>
      </c>
      <c r="AW512" s="794">
        <f t="shared" si="295"/>
        <v>0</v>
      </c>
      <c r="AX512" s="794">
        <f t="shared" si="296"/>
        <v>0</v>
      </c>
      <c r="AY512" s="1178">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3"/>
      <c r="B513" s="1251"/>
      <c r="C513" s="1251"/>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4">
        <f t="shared" si="294"/>
        <v>0</v>
      </c>
      <c r="AW513" s="794">
        <f t="shared" si="295"/>
        <v>0</v>
      </c>
      <c r="AX513" s="794">
        <f t="shared" si="296"/>
        <v>0</v>
      </c>
      <c r="AY513" s="1178">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3"/>
      <c r="B514" s="1251"/>
      <c r="C514" s="1251"/>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4">
        <f t="shared" si="294"/>
        <v>0</v>
      </c>
      <c r="AW514" s="794">
        <f t="shared" si="295"/>
        <v>0</v>
      </c>
      <c r="AX514" s="794">
        <f t="shared" si="296"/>
        <v>0</v>
      </c>
      <c r="AY514" s="1178">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3"/>
      <c r="B515" s="1251"/>
      <c r="C515" s="1251"/>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4">
        <f t="shared" si="294"/>
        <v>0</v>
      </c>
      <c r="AW515" s="794">
        <f t="shared" si="295"/>
        <v>0</v>
      </c>
      <c r="AX515" s="794">
        <f t="shared" si="296"/>
        <v>0</v>
      </c>
      <c r="AY515" s="1178">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3"/>
      <c r="B516" s="1251"/>
      <c r="C516" s="1251"/>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4">
        <f t="shared" si="294"/>
        <v>0</v>
      </c>
      <c r="AW516" s="794">
        <f t="shared" si="295"/>
        <v>0</v>
      </c>
      <c r="AX516" s="794">
        <f t="shared" si="296"/>
        <v>0</v>
      </c>
      <c r="AY516" s="1178">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3"/>
      <c r="B517" s="1251"/>
      <c r="C517" s="1251"/>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4">
        <f t="shared" si="294"/>
        <v>0</v>
      </c>
      <c r="AW517" s="794">
        <f t="shared" si="295"/>
        <v>0</v>
      </c>
      <c r="AX517" s="794">
        <f t="shared" si="296"/>
        <v>0</v>
      </c>
      <c r="AY517" s="1178">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3"/>
      <c r="B518" s="1251"/>
      <c r="C518" s="1251"/>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4">
        <f t="shared" si="294"/>
        <v>0</v>
      </c>
      <c r="AW518" s="794">
        <f t="shared" si="295"/>
        <v>0</v>
      </c>
      <c r="AX518" s="794">
        <f t="shared" si="296"/>
        <v>0</v>
      </c>
      <c r="AY518" s="1178">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3"/>
      <c r="B519" s="1251"/>
      <c r="C519" s="1251"/>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4">
        <f t="shared" si="294"/>
        <v>0</v>
      </c>
      <c r="AW519" s="794">
        <f t="shared" si="295"/>
        <v>0</v>
      </c>
      <c r="AX519" s="794">
        <f t="shared" si="296"/>
        <v>0</v>
      </c>
      <c r="AY519" s="1178">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3"/>
      <c r="B520" s="1251"/>
      <c r="C520" s="1251"/>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4">
        <f t="shared" si="294"/>
        <v>0</v>
      </c>
      <c r="AW520" s="794">
        <f t="shared" si="295"/>
        <v>0</v>
      </c>
      <c r="AX520" s="794">
        <f t="shared" si="296"/>
        <v>0</v>
      </c>
      <c r="AY520" s="1178">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3"/>
      <c r="B521" s="1251"/>
      <c r="C521" s="1251"/>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4">
        <f t="shared" ref="AV521:AV552" si="298">A521</f>
        <v>0</v>
      </c>
      <c r="AW521" s="794">
        <f t="shared" ref="AW521:AW552" si="299">B521</f>
        <v>0</v>
      </c>
      <c r="AX521" s="794">
        <f t="shared" ref="AX521:AX552" si="300">C521</f>
        <v>0</v>
      </c>
      <c r="AY521" s="1178">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3"/>
      <c r="B522" s="1251"/>
      <c r="C522" s="1251"/>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4">
        <f t="shared" si="298"/>
        <v>0</v>
      </c>
      <c r="AW522" s="794">
        <f t="shared" si="299"/>
        <v>0</v>
      </c>
      <c r="AX522" s="794">
        <f t="shared" si="300"/>
        <v>0</v>
      </c>
      <c r="AY522" s="1178">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3"/>
      <c r="B523" s="1251"/>
      <c r="C523" s="1251"/>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4">
        <f t="shared" si="298"/>
        <v>0</v>
      </c>
      <c r="AW523" s="794">
        <f t="shared" si="299"/>
        <v>0</v>
      </c>
      <c r="AX523" s="794">
        <f t="shared" si="300"/>
        <v>0</v>
      </c>
      <c r="AY523" s="1178">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3"/>
      <c r="B524" s="1251"/>
      <c r="C524" s="1251"/>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4">
        <f t="shared" si="298"/>
        <v>0</v>
      </c>
      <c r="AW524" s="794">
        <f t="shared" si="299"/>
        <v>0</v>
      </c>
      <c r="AX524" s="794">
        <f t="shared" si="300"/>
        <v>0</v>
      </c>
      <c r="AY524" s="1178">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3"/>
      <c r="B525" s="1251"/>
      <c r="C525" s="1251"/>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4">
        <f t="shared" si="298"/>
        <v>0</v>
      </c>
      <c r="AW525" s="794">
        <f t="shared" si="299"/>
        <v>0</v>
      </c>
      <c r="AX525" s="794">
        <f t="shared" si="300"/>
        <v>0</v>
      </c>
      <c r="AY525" s="1178">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3"/>
      <c r="B526" s="1251"/>
      <c r="C526" s="1251"/>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4">
        <f t="shared" si="298"/>
        <v>0</v>
      </c>
      <c r="AW526" s="794">
        <f t="shared" si="299"/>
        <v>0</v>
      </c>
      <c r="AX526" s="794">
        <f t="shared" si="300"/>
        <v>0</v>
      </c>
      <c r="AY526" s="1178">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3"/>
      <c r="B527" s="1251"/>
      <c r="C527" s="1251"/>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4">
        <f t="shared" si="298"/>
        <v>0</v>
      </c>
      <c r="AW527" s="794">
        <f t="shared" si="299"/>
        <v>0</v>
      </c>
      <c r="AX527" s="794">
        <f t="shared" si="300"/>
        <v>0</v>
      </c>
      <c r="AY527" s="1178">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3"/>
      <c r="B528" s="1251"/>
      <c r="C528" s="1251"/>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4">
        <f t="shared" si="298"/>
        <v>0</v>
      </c>
      <c r="AW528" s="794">
        <f t="shared" si="299"/>
        <v>0</v>
      </c>
      <c r="AX528" s="794">
        <f t="shared" si="300"/>
        <v>0</v>
      </c>
      <c r="AY528" s="1178">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3"/>
      <c r="B529" s="1251"/>
      <c r="C529" s="1251"/>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4">
        <f t="shared" si="298"/>
        <v>0</v>
      </c>
      <c r="AW529" s="794">
        <f t="shared" si="299"/>
        <v>0</v>
      </c>
      <c r="AX529" s="794">
        <f t="shared" si="300"/>
        <v>0</v>
      </c>
      <c r="AY529" s="1178">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3"/>
      <c r="B530" s="1251"/>
      <c r="C530" s="1251"/>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4">
        <f t="shared" si="298"/>
        <v>0</v>
      </c>
      <c r="AW530" s="794">
        <f t="shared" si="299"/>
        <v>0</v>
      </c>
      <c r="AX530" s="794">
        <f t="shared" si="300"/>
        <v>0</v>
      </c>
      <c r="AY530" s="1178">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3"/>
      <c r="B531" s="1251"/>
      <c r="C531" s="1251"/>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4">
        <f t="shared" si="298"/>
        <v>0</v>
      </c>
      <c r="AW531" s="794">
        <f t="shared" si="299"/>
        <v>0</v>
      </c>
      <c r="AX531" s="794">
        <f t="shared" si="300"/>
        <v>0</v>
      </c>
      <c r="AY531" s="1178">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3"/>
      <c r="B532" s="1251"/>
      <c r="C532" s="1251"/>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4">
        <f t="shared" si="298"/>
        <v>0</v>
      </c>
      <c r="AW532" s="794">
        <f t="shared" si="299"/>
        <v>0</v>
      </c>
      <c r="AX532" s="794">
        <f t="shared" si="300"/>
        <v>0</v>
      </c>
      <c r="AY532" s="1178">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3"/>
      <c r="B533" s="1251"/>
      <c r="C533" s="1251"/>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4">
        <f t="shared" si="298"/>
        <v>0</v>
      </c>
      <c r="AW533" s="794">
        <f t="shared" si="299"/>
        <v>0</v>
      </c>
      <c r="AX533" s="794">
        <f t="shared" si="300"/>
        <v>0</v>
      </c>
      <c r="AY533" s="1178">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3"/>
      <c r="B534" s="1251"/>
      <c r="C534" s="1251"/>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4">
        <f t="shared" si="298"/>
        <v>0</v>
      </c>
      <c r="AW534" s="794">
        <f t="shared" si="299"/>
        <v>0</v>
      </c>
      <c r="AX534" s="794">
        <f t="shared" si="300"/>
        <v>0</v>
      </c>
      <c r="AY534" s="1178">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3"/>
      <c r="B535" s="1251"/>
      <c r="C535" s="1251"/>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4">
        <f t="shared" si="298"/>
        <v>0</v>
      </c>
      <c r="AW535" s="794">
        <f t="shared" si="299"/>
        <v>0</v>
      </c>
      <c r="AX535" s="794">
        <f t="shared" si="300"/>
        <v>0</v>
      </c>
      <c r="AY535" s="1178">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3"/>
      <c r="B536" s="1251"/>
      <c r="C536" s="1251"/>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4">
        <f t="shared" si="298"/>
        <v>0</v>
      </c>
      <c r="AW536" s="794">
        <f t="shared" si="299"/>
        <v>0</v>
      </c>
      <c r="AX536" s="794">
        <f t="shared" si="300"/>
        <v>0</v>
      </c>
      <c r="AY536" s="1178">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3"/>
      <c r="B537" s="1251"/>
      <c r="C537" s="1251"/>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4">
        <f t="shared" si="298"/>
        <v>0</v>
      </c>
      <c r="AW537" s="794">
        <f t="shared" si="299"/>
        <v>0</v>
      </c>
      <c r="AX537" s="794">
        <f t="shared" si="300"/>
        <v>0</v>
      </c>
      <c r="AY537" s="1178">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3"/>
      <c r="B538" s="1251"/>
      <c r="C538" s="1251"/>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4">
        <f t="shared" si="298"/>
        <v>0</v>
      </c>
      <c r="AW538" s="794">
        <f t="shared" si="299"/>
        <v>0</v>
      </c>
      <c r="AX538" s="794">
        <f t="shared" si="300"/>
        <v>0</v>
      </c>
      <c r="AY538" s="1178">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3"/>
      <c r="B539" s="1251"/>
      <c r="C539" s="1251"/>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4">
        <f t="shared" si="298"/>
        <v>0</v>
      </c>
      <c r="AW539" s="794">
        <f t="shared" si="299"/>
        <v>0</v>
      </c>
      <c r="AX539" s="794">
        <f t="shared" si="300"/>
        <v>0</v>
      </c>
      <c r="AY539" s="1178">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3"/>
      <c r="B540" s="1251"/>
      <c r="C540" s="1251"/>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4">
        <f t="shared" si="298"/>
        <v>0</v>
      </c>
      <c r="AW540" s="794">
        <f t="shared" si="299"/>
        <v>0</v>
      </c>
      <c r="AX540" s="794">
        <f t="shared" si="300"/>
        <v>0</v>
      </c>
      <c r="AY540" s="1178">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3"/>
      <c r="B541" s="1251"/>
      <c r="C541" s="1251"/>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4">
        <f t="shared" si="298"/>
        <v>0</v>
      </c>
      <c r="AW541" s="794">
        <f t="shared" si="299"/>
        <v>0</v>
      </c>
      <c r="AX541" s="794">
        <f t="shared" si="300"/>
        <v>0</v>
      </c>
      <c r="AY541" s="1178">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3"/>
      <c r="B542" s="1251"/>
      <c r="C542" s="1251"/>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4">
        <f t="shared" si="298"/>
        <v>0</v>
      </c>
      <c r="AW542" s="794">
        <f t="shared" si="299"/>
        <v>0</v>
      </c>
      <c r="AX542" s="794">
        <f t="shared" si="300"/>
        <v>0</v>
      </c>
      <c r="AY542" s="1178">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3"/>
      <c r="B543" s="1251"/>
      <c r="C543" s="1251"/>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4">
        <f t="shared" si="298"/>
        <v>0</v>
      </c>
      <c r="AW543" s="794">
        <f t="shared" si="299"/>
        <v>0</v>
      </c>
      <c r="AX543" s="794">
        <f t="shared" si="300"/>
        <v>0</v>
      </c>
      <c r="AY543" s="1178">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3"/>
      <c r="B544" s="1251"/>
      <c r="C544" s="1251"/>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4">
        <f t="shared" si="298"/>
        <v>0</v>
      </c>
      <c r="AW544" s="794">
        <f t="shared" si="299"/>
        <v>0</v>
      </c>
      <c r="AX544" s="794">
        <f t="shared" si="300"/>
        <v>0</v>
      </c>
      <c r="AY544" s="1178">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3"/>
      <c r="B545" s="1251"/>
      <c r="C545" s="1251"/>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4">
        <f t="shared" si="298"/>
        <v>0</v>
      </c>
      <c r="AW545" s="794">
        <f t="shared" si="299"/>
        <v>0</v>
      </c>
      <c r="AX545" s="794">
        <f t="shared" si="300"/>
        <v>0</v>
      </c>
      <c r="AY545" s="1178">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3"/>
      <c r="B546" s="1251"/>
      <c r="C546" s="1251"/>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4">
        <f t="shared" si="298"/>
        <v>0</v>
      </c>
      <c r="AW546" s="794">
        <f t="shared" si="299"/>
        <v>0</v>
      </c>
      <c r="AX546" s="794">
        <f t="shared" si="300"/>
        <v>0</v>
      </c>
      <c r="AY546" s="1178">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3"/>
      <c r="B547" s="1251"/>
      <c r="C547" s="1251"/>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4">
        <f t="shared" si="298"/>
        <v>0</v>
      </c>
      <c r="AW547" s="794">
        <f t="shared" si="299"/>
        <v>0</v>
      </c>
      <c r="AX547" s="794">
        <f t="shared" si="300"/>
        <v>0</v>
      </c>
      <c r="AY547" s="1178">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3"/>
      <c r="B548" s="1251"/>
      <c r="C548" s="1251"/>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4">
        <f t="shared" si="298"/>
        <v>0</v>
      </c>
      <c r="AW548" s="794">
        <f t="shared" si="299"/>
        <v>0</v>
      </c>
      <c r="AX548" s="794">
        <f t="shared" si="300"/>
        <v>0</v>
      </c>
      <c r="AY548" s="1178">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3"/>
      <c r="B549" s="1251"/>
      <c r="C549" s="1251"/>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4">
        <f t="shared" si="298"/>
        <v>0</v>
      </c>
      <c r="AW549" s="794">
        <f t="shared" si="299"/>
        <v>0</v>
      </c>
      <c r="AX549" s="794">
        <f t="shared" si="300"/>
        <v>0</v>
      </c>
      <c r="AY549" s="1178">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3"/>
      <c r="B550" s="1251"/>
      <c r="C550" s="1251"/>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4">
        <f t="shared" si="298"/>
        <v>0</v>
      </c>
      <c r="AW550" s="794">
        <f t="shared" si="299"/>
        <v>0</v>
      </c>
      <c r="AX550" s="794">
        <f t="shared" si="300"/>
        <v>0</v>
      </c>
      <c r="AY550" s="1178">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3"/>
      <c r="B551" s="1251"/>
      <c r="C551" s="1251"/>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4">
        <f t="shared" si="298"/>
        <v>0</v>
      </c>
      <c r="AW551" s="794">
        <f t="shared" si="299"/>
        <v>0</v>
      </c>
      <c r="AX551" s="794">
        <f t="shared" si="300"/>
        <v>0</v>
      </c>
      <c r="AY551" s="1178">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3"/>
      <c r="B552" s="1251"/>
      <c r="C552" s="1251"/>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4">
        <f t="shared" si="298"/>
        <v>0</v>
      </c>
      <c r="AW552" s="794">
        <f t="shared" si="299"/>
        <v>0</v>
      </c>
      <c r="AX552" s="794">
        <f t="shared" si="300"/>
        <v>0</v>
      </c>
      <c r="AY552" s="1178">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3"/>
      <c r="B553" s="1251"/>
      <c r="C553" s="1251"/>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4">
        <f t="shared" ref="AV553:AV587" si="330">A553</f>
        <v>0</v>
      </c>
      <c r="AW553" s="794">
        <f t="shared" ref="AW553:AW587" si="331">B553</f>
        <v>0</v>
      </c>
      <c r="AX553" s="794">
        <f t="shared" ref="AX553:AX587" si="332">C553</f>
        <v>0</v>
      </c>
      <c r="AY553" s="1178">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3"/>
      <c r="B554" s="1251"/>
      <c r="C554" s="1251"/>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4">
        <f t="shared" si="330"/>
        <v>0</v>
      </c>
      <c r="AW554" s="794">
        <f t="shared" si="331"/>
        <v>0</v>
      </c>
      <c r="AX554" s="794">
        <f t="shared" si="332"/>
        <v>0</v>
      </c>
      <c r="AY554" s="1178">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3"/>
      <c r="B555" s="1251"/>
      <c r="C555" s="1251"/>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4">
        <f t="shared" si="330"/>
        <v>0</v>
      </c>
      <c r="AW555" s="794">
        <f t="shared" si="331"/>
        <v>0</v>
      </c>
      <c r="AX555" s="794">
        <f t="shared" si="332"/>
        <v>0</v>
      </c>
      <c r="AY555" s="1178">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3"/>
      <c r="B556" s="1251"/>
      <c r="C556" s="1251"/>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4">
        <f t="shared" si="330"/>
        <v>0</v>
      </c>
      <c r="AW556" s="794">
        <f t="shared" si="331"/>
        <v>0</v>
      </c>
      <c r="AX556" s="794">
        <f t="shared" si="332"/>
        <v>0</v>
      </c>
      <c r="AY556" s="1178">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3"/>
      <c r="B557" s="1251"/>
      <c r="C557" s="1251"/>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4">
        <f t="shared" si="330"/>
        <v>0</v>
      </c>
      <c r="AW557" s="794">
        <f t="shared" si="331"/>
        <v>0</v>
      </c>
      <c r="AX557" s="794">
        <f t="shared" si="332"/>
        <v>0</v>
      </c>
      <c r="AY557" s="1178">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3"/>
      <c r="B558" s="1251"/>
      <c r="C558" s="1251"/>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4">
        <f t="shared" si="330"/>
        <v>0</v>
      </c>
      <c r="AW558" s="794">
        <f t="shared" si="331"/>
        <v>0</v>
      </c>
      <c r="AX558" s="794">
        <f t="shared" si="332"/>
        <v>0</v>
      </c>
      <c r="AY558" s="1178">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3"/>
      <c r="B559" s="1251"/>
      <c r="C559" s="1251"/>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4">
        <f t="shared" si="330"/>
        <v>0</v>
      </c>
      <c r="AW559" s="794">
        <f t="shared" si="331"/>
        <v>0</v>
      </c>
      <c r="AX559" s="794">
        <f t="shared" si="332"/>
        <v>0</v>
      </c>
      <c r="AY559" s="1178">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3"/>
      <c r="B560" s="1251"/>
      <c r="C560" s="1251"/>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4">
        <f t="shared" si="330"/>
        <v>0</v>
      </c>
      <c r="AW560" s="794">
        <f t="shared" si="331"/>
        <v>0</v>
      </c>
      <c r="AX560" s="794">
        <f t="shared" si="332"/>
        <v>0</v>
      </c>
      <c r="AY560" s="1178">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3"/>
      <c r="B561" s="1251"/>
      <c r="C561" s="1251"/>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4">
        <f t="shared" si="330"/>
        <v>0</v>
      </c>
      <c r="AW561" s="794">
        <f t="shared" si="331"/>
        <v>0</v>
      </c>
      <c r="AX561" s="794">
        <f t="shared" si="332"/>
        <v>0</v>
      </c>
      <c r="AY561" s="1178">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3"/>
      <c r="B562" s="1251"/>
      <c r="C562" s="1251"/>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4">
        <f t="shared" si="330"/>
        <v>0</v>
      </c>
      <c r="AW562" s="794">
        <f t="shared" si="331"/>
        <v>0</v>
      </c>
      <c r="AX562" s="794">
        <f t="shared" si="332"/>
        <v>0</v>
      </c>
      <c r="AY562" s="1178">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3"/>
      <c r="B563" s="1251"/>
      <c r="C563" s="1251"/>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4">
        <f t="shared" si="330"/>
        <v>0</v>
      </c>
      <c r="AW563" s="794">
        <f t="shared" si="331"/>
        <v>0</v>
      </c>
      <c r="AX563" s="794">
        <f t="shared" si="332"/>
        <v>0</v>
      </c>
      <c r="AY563" s="1178">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3"/>
      <c r="B564" s="1251"/>
      <c r="C564" s="1251"/>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4">
        <f t="shared" si="330"/>
        <v>0</v>
      </c>
      <c r="AW564" s="794">
        <f t="shared" si="331"/>
        <v>0</v>
      </c>
      <c r="AX564" s="794">
        <f t="shared" si="332"/>
        <v>0</v>
      </c>
      <c r="AY564" s="1178">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3"/>
      <c r="B565" s="1251"/>
      <c r="C565" s="1251"/>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4">
        <f t="shared" si="330"/>
        <v>0</v>
      </c>
      <c r="AW565" s="794">
        <f t="shared" si="331"/>
        <v>0</v>
      </c>
      <c r="AX565" s="794">
        <f t="shared" si="332"/>
        <v>0</v>
      </c>
      <c r="AY565" s="1178">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3"/>
      <c r="B566" s="1251"/>
      <c r="C566" s="1251"/>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4">
        <f t="shared" si="330"/>
        <v>0</v>
      </c>
      <c r="AW566" s="794">
        <f t="shared" si="331"/>
        <v>0</v>
      </c>
      <c r="AX566" s="794">
        <f t="shared" si="332"/>
        <v>0</v>
      </c>
      <c r="AY566" s="1178">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3"/>
      <c r="B567" s="1251"/>
      <c r="C567" s="1251"/>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4">
        <f t="shared" si="330"/>
        <v>0</v>
      </c>
      <c r="AW567" s="794">
        <f t="shared" si="331"/>
        <v>0</v>
      </c>
      <c r="AX567" s="794">
        <f t="shared" si="332"/>
        <v>0</v>
      </c>
      <c r="AY567" s="1178">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3"/>
      <c r="B568" s="1251"/>
      <c r="C568" s="1251"/>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4">
        <f t="shared" si="330"/>
        <v>0</v>
      </c>
      <c r="AW568" s="794">
        <f t="shared" si="331"/>
        <v>0</v>
      </c>
      <c r="AX568" s="794">
        <f t="shared" si="332"/>
        <v>0</v>
      </c>
      <c r="AY568" s="1178">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3"/>
      <c r="B569" s="1251"/>
      <c r="C569" s="1251"/>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4">
        <f t="shared" si="330"/>
        <v>0</v>
      </c>
      <c r="AW569" s="794">
        <f t="shared" si="331"/>
        <v>0</v>
      </c>
      <c r="AX569" s="794">
        <f t="shared" si="332"/>
        <v>0</v>
      </c>
      <c r="AY569" s="1178">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3"/>
      <c r="B570" s="1251"/>
      <c r="C570" s="1251"/>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4">
        <f t="shared" si="330"/>
        <v>0</v>
      </c>
      <c r="AW570" s="794">
        <f t="shared" si="331"/>
        <v>0</v>
      </c>
      <c r="AX570" s="794">
        <f t="shared" si="332"/>
        <v>0</v>
      </c>
      <c r="AY570" s="1178">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3"/>
      <c r="B571" s="1251"/>
      <c r="C571" s="1251"/>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4">
        <f t="shared" si="330"/>
        <v>0</v>
      </c>
      <c r="AW571" s="794">
        <f t="shared" si="331"/>
        <v>0</v>
      </c>
      <c r="AX571" s="794">
        <f t="shared" si="332"/>
        <v>0</v>
      </c>
      <c r="AY571" s="1178">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3"/>
      <c r="B572" s="1251"/>
      <c r="C572" s="1251"/>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4">
        <f t="shared" si="330"/>
        <v>0</v>
      </c>
      <c r="AW572" s="794">
        <f t="shared" si="331"/>
        <v>0</v>
      </c>
      <c r="AX572" s="794">
        <f t="shared" si="332"/>
        <v>0</v>
      </c>
      <c r="AY572" s="1178">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3"/>
      <c r="B573" s="1251"/>
      <c r="C573" s="1251"/>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4">
        <f t="shared" si="330"/>
        <v>0</v>
      </c>
      <c r="AW573" s="794">
        <f t="shared" si="331"/>
        <v>0</v>
      </c>
      <c r="AX573" s="794">
        <f t="shared" si="332"/>
        <v>0</v>
      </c>
      <c r="AY573" s="1178">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3"/>
      <c r="B574" s="1251"/>
      <c r="C574" s="1251"/>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4">
        <f t="shared" si="330"/>
        <v>0</v>
      </c>
      <c r="AW574" s="794">
        <f t="shared" si="331"/>
        <v>0</v>
      </c>
      <c r="AX574" s="794">
        <f t="shared" si="332"/>
        <v>0</v>
      </c>
      <c r="AY574" s="1178">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3"/>
      <c r="B575" s="1251"/>
      <c r="C575" s="1251"/>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4">
        <f t="shared" si="330"/>
        <v>0</v>
      </c>
      <c r="AW575" s="794">
        <f t="shared" si="331"/>
        <v>0</v>
      </c>
      <c r="AX575" s="794">
        <f t="shared" si="332"/>
        <v>0</v>
      </c>
      <c r="AY575" s="1178">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3"/>
      <c r="B576" s="1251"/>
      <c r="C576" s="1251"/>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4">
        <f t="shared" si="330"/>
        <v>0</v>
      </c>
      <c r="AW576" s="794">
        <f t="shared" si="331"/>
        <v>0</v>
      </c>
      <c r="AX576" s="794">
        <f t="shared" si="332"/>
        <v>0</v>
      </c>
      <c r="AY576" s="1178">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3"/>
      <c r="B577" s="1251"/>
      <c r="C577" s="1251"/>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4">
        <f t="shared" si="330"/>
        <v>0</v>
      </c>
      <c r="AW577" s="794">
        <f t="shared" si="331"/>
        <v>0</v>
      </c>
      <c r="AX577" s="794">
        <f t="shared" si="332"/>
        <v>0</v>
      </c>
      <c r="AY577" s="1178">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3"/>
      <c r="B578" s="1251"/>
      <c r="C578" s="1251"/>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4">
        <f t="shared" si="330"/>
        <v>0</v>
      </c>
      <c r="AW578" s="794">
        <f t="shared" si="331"/>
        <v>0</v>
      </c>
      <c r="AX578" s="794">
        <f t="shared" si="332"/>
        <v>0</v>
      </c>
      <c r="AY578" s="1178">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3"/>
      <c r="B579" s="1251"/>
      <c r="C579" s="1251"/>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4">
        <f t="shared" si="330"/>
        <v>0</v>
      </c>
      <c r="AW579" s="794">
        <f t="shared" si="331"/>
        <v>0</v>
      </c>
      <c r="AX579" s="794">
        <f t="shared" si="332"/>
        <v>0</v>
      </c>
      <c r="AY579" s="1178">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3"/>
      <c r="B580" s="1251"/>
      <c r="C580" s="1251"/>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4">
        <f t="shared" si="330"/>
        <v>0</v>
      </c>
      <c r="AW580" s="794">
        <f t="shared" si="331"/>
        <v>0</v>
      </c>
      <c r="AX580" s="794">
        <f t="shared" si="332"/>
        <v>0</v>
      </c>
      <c r="AY580" s="1178">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3"/>
      <c r="B581" s="1251"/>
      <c r="C581" s="1251"/>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4">
        <f t="shared" si="330"/>
        <v>0</v>
      </c>
      <c r="AW581" s="794">
        <f t="shared" si="331"/>
        <v>0</v>
      </c>
      <c r="AX581" s="794">
        <f t="shared" si="332"/>
        <v>0</v>
      </c>
      <c r="AY581" s="1178">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3"/>
      <c r="B582" s="1251"/>
      <c r="C582" s="1251"/>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4">
        <f t="shared" si="330"/>
        <v>0</v>
      </c>
      <c r="AW582" s="794">
        <f t="shared" si="331"/>
        <v>0</v>
      </c>
      <c r="AX582" s="794">
        <f t="shared" si="332"/>
        <v>0</v>
      </c>
      <c r="AY582" s="1178">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3"/>
      <c r="B583" s="1251"/>
      <c r="C583" s="1251"/>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4">
        <f t="shared" si="330"/>
        <v>0</v>
      </c>
      <c r="AW583" s="794">
        <f t="shared" si="331"/>
        <v>0</v>
      </c>
      <c r="AX583" s="794">
        <f t="shared" si="332"/>
        <v>0</v>
      </c>
      <c r="AY583" s="1178">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3"/>
      <c r="B584" s="1251"/>
      <c r="C584" s="1251"/>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4">
        <f t="shared" si="330"/>
        <v>0</v>
      </c>
      <c r="AW584" s="794">
        <f t="shared" si="331"/>
        <v>0</v>
      </c>
      <c r="AX584" s="794">
        <f t="shared" si="332"/>
        <v>0</v>
      </c>
      <c r="AY584" s="1178">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3"/>
      <c r="B585" s="1243"/>
      <c r="C585" s="1243"/>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6"/>
      <c r="AV585" s="794">
        <f t="shared" si="330"/>
        <v>0</v>
      </c>
      <c r="AW585" s="794">
        <f t="shared" si="331"/>
        <v>0</v>
      </c>
      <c r="AX585" s="794">
        <f t="shared" si="332"/>
        <v>0</v>
      </c>
      <c r="AY585" s="1178">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3"/>
      <c r="B586" s="1243"/>
      <c r="C586" s="1243"/>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6"/>
      <c r="AV586" s="794">
        <f t="shared" si="330"/>
        <v>0</v>
      </c>
      <c r="AW586" s="794">
        <f t="shared" si="331"/>
        <v>0</v>
      </c>
      <c r="AX586" s="794">
        <f t="shared" si="332"/>
        <v>0</v>
      </c>
      <c r="AY586" s="1178">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3"/>
      <c r="B587" s="1243"/>
      <c r="C587" s="1243"/>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6"/>
      <c r="AV587" s="794">
        <f t="shared" si="330"/>
        <v>0</v>
      </c>
      <c r="AW587" s="794">
        <f t="shared" si="331"/>
        <v>0</v>
      </c>
      <c r="AX587" s="794">
        <f t="shared" si="332"/>
        <v>0</v>
      </c>
      <c r="AY587" s="1178">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70" t="s">
        <v>605</v>
      </c>
      <c r="B2" s="3270"/>
      <c r="C2" s="3270"/>
      <c r="D2" s="2099" t="s">
        <v>606</v>
      </c>
      <c r="E2" s="2730" t="s">
        <v>607</v>
      </c>
      <c r="F2" s="2592"/>
      <c r="G2" s="2731"/>
      <c r="H2" s="2732"/>
      <c r="I2" s="2431" t="s">
        <v>608</v>
      </c>
      <c r="J2" s="2592"/>
      <c r="K2" s="2592"/>
      <c r="L2" s="2592"/>
      <c r="M2" s="2592"/>
      <c r="N2" s="1180"/>
      <c r="O2" s="2592"/>
      <c r="P2" s="2592"/>
    </row>
    <row r="3" spans="1:16" ht="14.4">
      <c r="A3" s="3271" t="s">
        <v>609</v>
      </c>
      <c r="B3" s="3271"/>
      <c r="C3" s="3271"/>
      <c r="D3" s="2733">
        <f>'数据-基础表'!AY6</f>
        <v>0</v>
      </c>
      <c r="E3" s="2733">
        <f>'数据-基础表'!AZ5</f>
        <v>922.16</v>
      </c>
      <c r="F3" s="2592"/>
      <c r="G3" s="2734"/>
      <c r="H3" s="2242" t="s">
        <v>610</v>
      </c>
      <c r="I3" s="2179" t="e">
        <f>ROUND('数据-基础表'!B3/'数据-基础表'!A3,2)</f>
        <v>#DIV/0!</v>
      </c>
      <c r="J3" s="2592"/>
      <c r="K3" s="2592"/>
      <c r="L3" s="2592"/>
      <c r="M3" s="2592"/>
      <c r="N3" s="1180"/>
      <c r="O3" s="2592"/>
      <c r="P3" s="2592"/>
    </row>
    <row r="4" spans="1:16" ht="14.4">
      <c r="A4" s="3272"/>
      <c r="B4" s="3273"/>
      <c r="C4" s="3274"/>
      <c r="D4" s="2735" t="s">
        <v>606</v>
      </c>
      <c r="E4" s="2736" t="s">
        <v>607</v>
      </c>
      <c r="F4" s="2592"/>
      <c r="G4" s="2737" t="s">
        <v>611</v>
      </c>
      <c r="H4" s="2242" t="s">
        <v>612</v>
      </c>
      <c r="I4" s="2179" t="e">
        <f>ROUND(SUMIF('数据-基础表'!I9:AS9,"地上",'数据-基础表'!I5:AS5)/'数据-基础表'!A3,2)</f>
        <v>#DIV/0!</v>
      </c>
      <c r="J4" s="2592"/>
      <c r="K4" s="2592"/>
      <c r="L4" s="2592"/>
      <c r="M4" s="2592"/>
      <c r="N4" s="1180"/>
      <c r="O4" s="2592"/>
      <c r="P4" s="2592"/>
    </row>
    <row r="5" spans="1:16" ht="14.4">
      <c r="A5" s="2734" t="s">
        <v>613</v>
      </c>
      <c r="B5" s="3275" t="s">
        <v>614</v>
      </c>
      <c r="C5" s="3275"/>
      <c r="D5" s="2242">
        <f>ROUND($D$3*E5/$E$3,2)</f>
        <v>0</v>
      </c>
      <c r="E5" s="2738">
        <f>SUMIF('数据-基础表'!$11:$11,"住宅",'数据-基础表'!$5:$5)</f>
        <v>0</v>
      </c>
      <c r="F5" s="2592"/>
      <c r="G5" s="2734"/>
      <c r="H5" s="2242" t="s">
        <v>610</v>
      </c>
      <c r="I5" s="2179" t="e">
        <f>ROUND(E31/D31,2)</f>
        <v>#DIV/0!</v>
      </c>
      <c r="J5" s="2592"/>
      <c r="K5" s="2592"/>
      <c r="L5" s="2592"/>
      <c r="M5" s="2592"/>
      <c r="N5" s="2592"/>
      <c r="O5" s="2592"/>
      <c r="P5" s="2592"/>
    </row>
    <row r="6" spans="1:16" ht="14.4">
      <c r="A6" s="2739"/>
      <c r="B6" s="3275" t="s">
        <v>615</v>
      </c>
      <c r="C6" s="3275"/>
      <c r="D6" s="2242">
        <f>ROUND($D$3*E6/$E$3,2)</f>
        <v>0</v>
      </c>
      <c r="E6" s="2738">
        <f>E3-E5</f>
        <v>922.16</v>
      </c>
      <c r="F6" s="2592"/>
      <c r="G6" s="2740" t="s">
        <v>616</v>
      </c>
      <c r="H6" s="2741" t="s">
        <v>612</v>
      </c>
      <c r="I6" s="2780" t="e">
        <f>ROUND(F31/D31,2)</f>
        <v>#DIV/0!</v>
      </c>
      <c r="J6" s="2592"/>
      <c r="K6" s="2592"/>
      <c r="L6" s="2592"/>
      <c r="M6" s="2592"/>
      <c r="N6" s="2592"/>
      <c r="O6" s="2592"/>
      <c r="P6" s="2592"/>
    </row>
    <row r="7" spans="1:16" ht="14.4">
      <c r="A7" s="3261"/>
      <c r="B7" s="3262"/>
      <c r="C7" s="3263"/>
      <c r="D7" s="2735" t="s">
        <v>606</v>
      </c>
      <c r="E7" s="2742" t="s">
        <v>617</v>
      </c>
      <c r="F7" s="2592"/>
      <c r="G7" s="2743" t="s">
        <v>618</v>
      </c>
      <c r="H7" s="2710"/>
      <c r="I7" s="2781">
        <v>2.5</v>
      </c>
      <c r="J7" s="2592"/>
      <c r="K7" s="2592"/>
      <c r="L7" s="2592"/>
      <c r="M7" s="2592"/>
      <c r="N7" s="2592"/>
      <c r="O7" s="2592"/>
      <c r="P7" s="2592"/>
    </row>
    <row r="8" spans="1:16" ht="14.4">
      <c r="A8" s="2734" t="s">
        <v>619</v>
      </c>
      <c r="B8" s="2741" t="s">
        <v>620</v>
      </c>
      <c r="C8" s="2242" t="s">
        <v>621</v>
      </c>
      <c r="D8" s="2242">
        <f t="shared" ref="D8:D15" si="0">ROUND($D$3*E8/$E$3,2)</f>
        <v>0</v>
      </c>
      <c r="E8" s="2744">
        <f>SUMIF('数据-基础表'!BB10:BK10,"地上",'数据-基础表'!BB5:BK5)</f>
        <v>922.16</v>
      </c>
      <c r="F8" s="2592"/>
      <c r="G8" s="2592"/>
      <c r="H8" s="2592"/>
      <c r="I8" s="2592"/>
      <c r="J8" s="2592"/>
      <c r="K8" s="2592"/>
      <c r="L8" s="2592"/>
      <c r="M8" s="2592"/>
      <c r="N8" s="2592"/>
      <c r="O8" s="2592"/>
      <c r="P8" s="2592"/>
    </row>
    <row r="9" spans="1:16" ht="14.4">
      <c r="A9" s="2740"/>
      <c r="B9" s="2745"/>
      <c r="C9" s="2242" t="s">
        <v>622</v>
      </c>
      <c r="D9" s="2242">
        <f t="shared" si="0"/>
        <v>0</v>
      </c>
      <c r="E9" s="2746">
        <v>0</v>
      </c>
      <c r="F9" s="2592"/>
      <c r="G9" s="2592"/>
      <c r="H9" s="2592"/>
      <c r="I9" s="2592"/>
      <c r="J9" s="2592"/>
      <c r="K9" s="2592"/>
      <c r="L9" s="2592"/>
      <c r="M9" s="2592"/>
      <c r="N9" s="2592"/>
      <c r="O9" s="2592"/>
      <c r="P9" s="2592"/>
    </row>
    <row r="10" spans="1:16" ht="14.4">
      <c r="A10" s="2740"/>
      <c r="B10" s="2745"/>
      <c r="C10" s="2242" t="s">
        <v>623</v>
      </c>
      <c r="D10" s="2242">
        <f t="shared" si="0"/>
        <v>0</v>
      </c>
      <c r="E10" s="2744">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0"/>
      <c r="B11" s="2745"/>
      <c r="C11" s="2242" t="s">
        <v>624</v>
      </c>
      <c r="D11" s="2242">
        <f t="shared" si="0"/>
        <v>0</v>
      </c>
      <c r="E11" s="274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0"/>
      <c r="B12" s="2745"/>
      <c r="C12" s="2242" t="s">
        <v>625</v>
      </c>
      <c r="D12" s="2242">
        <f t="shared" si="0"/>
        <v>0</v>
      </c>
      <c r="E12" s="2744">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0"/>
      <c r="B13" s="2745"/>
      <c r="C13" s="2242" t="s">
        <v>626</v>
      </c>
      <c r="D13" s="2242">
        <f t="shared" si="0"/>
        <v>0</v>
      </c>
      <c r="E13" s="2744">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0"/>
      <c r="B14" s="2745"/>
      <c r="C14" s="2242" t="s">
        <v>627</v>
      </c>
      <c r="D14" s="2242">
        <f t="shared" si="0"/>
        <v>0</v>
      </c>
      <c r="E14" s="2744">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0"/>
      <c r="B15" s="2745"/>
      <c r="C15" s="2242" t="s">
        <v>628</v>
      </c>
      <c r="D15" s="2242">
        <f t="shared" si="0"/>
        <v>0</v>
      </c>
      <c r="E15" s="2744">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39"/>
      <c r="B16" s="2745"/>
      <c r="C16" s="2741" t="s">
        <v>629</v>
      </c>
      <c r="D16" s="2741">
        <f>SUM(D8:D15)</f>
        <v>0</v>
      </c>
      <c r="E16" s="2747">
        <f>SUM(E8:E15)</f>
        <v>922.16</v>
      </c>
      <c r="F16" s="2592"/>
      <c r="G16" s="2592"/>
      <c r="H16" s="2748" t="s">
        <v>630</v>
      </c>
      <c r="I16" s="2782"/>
      <c r="J16" s="2289"/>
      <c r="K16" s="3264" t="s">
        <v>630</v>
      </c>
      <c r="L16" s="3265"/>
      <c r="M16" s="3265"/>
      <c r="N16" s="3265"/>
      <c r="O16" s="3265"/>
      <c r="P16" s="3266"/>
    </row>
    <row r="17" spans="1:19" ht="14.4">
      <c r="A17" s="2701" t="s">
        <v>631</v>
      </c>
      <c r="B17" s="2749" t="s">
        <v>632</v>
      </c>
      <c r="C17" s="2263" t="s">
        <v>633</v>
      </c>
      <c r="D17" s="2750" t="s">
        <v>606</v>
      </c>
      <c r="E17" s="2751" t="s">
        <v>607</v>
      </c>
      <c r="F17" s="2752"/>
      <c r="G17" s="2753"/>
      <c r="H17" s="2754" t="s">
        <v>634</v>
      </c>
      <c r="I17" s="2783" t="s">
        <v>635</v>
      </c>
      <c r="J17" s="2289"/>
      <c r="K17" s="3267" t="s">
        <v>636</v>
      </c>
      <c r="L17" s="3268"/>
      <c r="M17" s="3269"/>
      <c r="N17" s="3267" t="s">
        <v>637</v>
      </c>
      <c r="O17" s="3268"/>
      <c r="P17" s="3269"/>
      <c r="R17" s="2134" t="s">
        <v>638</v>
      </c>
      <c r="S17" s="2232"/>
    </row>
    <row r="18" spans="1:19" ht="14.4">
      <c r="A18" s="2740"/>
      <c r="B18" s="2755"/>
      <c r="C18" s="2235"/>
      <c r="D18" s="2756"/>
      <c r="E18" s="2757" t="s">
        <v>639</v>
      </c>
      <c r="F18" s="2758" t="s">
        <v>612</v>
      </c>
      <c r="G18" s="2759" t="s">
        <v>640</v>
      </c>
      <c r="H18" s="2705" t="s">
        <v>641</v>
      </c>
      <c r="I18" s="2784" t="s">
        <v>642</v>
      </c>
      <c r="J18" s="2289"/>
      <c r="K18" s="2705" t="s">
        <v>643</v>
      </c>
      <c r="L18" s="2444" t="s">
        <v>644</v>
      </c>
      <c r="M18" s="2179" t="s">
        <v>645</v>
      </c>
      <c r="N18" s="2705" t="s">
        <v>643</v>
      </c>
      <c r="O18" s="2444" t="s">
        <v>644</v>
      </c>
      <c r="P18" s="2179" t="s">
        <v>645</v>
      </c>
      <c r="R18" s="2242" t="s">
        <v>641</v>
      </c>
      <c r="S18" s="2242" t="s">
        <v>642</v>
      </c>
    </row>
    <row r="19" spans="1:19" ht="14.4">
      <c r="A19" s="2760"/>
      <c r="B19" s="2741" t="s">
        <v>646</v>
      </c>
      <c r="C19" s="2761" t="s">
        <v>2893</v>
      </c>
      <c r="D19" s="2242">
        <f>ROUND($D$3*E19/$E$3,2)</f>
        <v>0</v>
      </c>
      <c r="E19" s="2762">
        <f t="shared" ref="E19:E26" si="1">SUM(F19:G19)</f>
        <v>261.08</v>
      </c>
      <c r="F19" s="2763">
        <f>'数据-基础表'!I13</f>
        <v>261.08</v>
      </c>
      <c r="G19" s="2275"/>
      <c r="H19" s="2692">
        <f>ROUND($D$3*I19/$E$3,2)</f>
        <v>0</v>
      </c>
      <c r="I19" s="2744">
        <f t="shared" ref="I19:I26" si="2">IF($I$17="自定义",P19,M19)</f>
        <v>0</v>
      </c>
      <c r="J19" s="2289"/>
      <c r="K19" s="2692">
        <f t="shared" ref="K19:K26" si="3">ROUND(E$28*E19/E$27,2)</f>
        <v>0</v>
      </c>
      <c r="L19" s="2242">
        <f t="shared" ref="L19:L26" si="4">ROUND(IF(COUNTIF(C19,"*住宅*")&gt;0,E$29*E19/E$32,0),2)</f>
        <v>0</v>
      </c>
      <c r="M19" s="2744">
        <f>K19+L19</f>
        <v>0</v>
      </c>
      <c r="N19" s="2785"/>
      <c r="O19" s="2786"/>
      <c r="P19" s="2744">
        <f>N19+O19</f>
        <v>0</v>
      </c>
      <c r="R19" s="2242">
        <f t="shared" ref="R19:S26" si="5">D19+H19</f>
        <v>0</v>
      </c>
      <c r="S19" s="2762">
        <f t="shared" si="5"/>
        <v>261.08</v>
      </c>
    </row>
    <row r="20" spans="1:19" ht="14.4">
      <c r="A20" s="2760"/>
      <c r="B20" s="2741" t="s">
        <v>646</v>
      </c>
      <c r="C20" s="2761" t="str">
        <f>'数据-基础表'!C14</f>
        <v>商业40</v>
      </c>
      <c r="D20" s="2242">
        <f t="shared" ref="D20:D26" si="6">ROUND($D$3*E20/$E$3,2)</f>
        <v>0</v>
      </c>
      <c r="E20" s="2762">
        <f t="shared" si="1"/>
        <v>214.62</v>
      </c>
      <c r="F20" s="2763">
        <f>'数据-基础表'!I14</f>
        <v>214.62</v>
      </c>
      <c r="G20" s="2275"/>
      <c r="H20" s="2692">
        <f t="shared" ref="H20:H26" si="7">ROUND($D$3*I20/$E$3,2)</f>
        <v>0</v>
      </c>
      <c r="I20" s="2744">
        <f t="shared" si="2"/>
        <v>0</v>
      </c>
      <c r="J20" s="2289"/>
      <c r="K20" s="2692">
        <f t="shared" si="3"/>
        <v>0</v>
      </c>
      <c r="L20" s="2242">
        <f t="shared" si="4"/>
        <v>0</v>
      </c>
      <c r="M20" s="2744">
        <f t="shared" ref="M20:M26" si="8">K20+L20</f>
        <v>0</v>
      </c>
      <c r="N20" s="2785"/>
      <c r="O20" s="2786"/>
      <c r="P20" s="2744">
        <f t="shared" ref="P20:P26" si="9">N20+O20</f>
        <v>0</v>
      </c>
      <c r="R20" s="2242">
        <f t="shared" si="5"/>
        <v>0</v>
      </c>
      <c r="S20" s="2762">
        <f t="shared" si="5"/>
        <v>214.62</v>
      </c>
    </row>
    <row r="21" spans="1:19" ht="14.4">
      <c r="A21" s="2760"/>
      <c r="B21" s="2741" t="s">
        <v>646</v>
      </c>
      <c r="C21" s="2761" t="str">
        <f>'数据-基础表'!C15</f>
        <v>商业43</v>
      </c>
      <c r="D21" s="2242">
        <f t="shared" si="6"/>
        <v>0</v>
      </c>
      <c r="E21" s="2762">
        <f t="shared" si="1"/>
        <v>446.46</v>
      </c>
      <c r="F21" s="2763">
        <f>'数据-基础表'!I15</f>
        <v>446.46</v>
      </c>
      <c r="G21" s="2275"/>
      <c r="H21" s="2692">
        <f t="shared" si="7"/>
        <v>0</v>
      </c>
      <c r="I21" s="2744">
        <f t="shared" si="2"/>
        <v>0</v>
      </c>
      <c r="J21" s="2289"/>
      <c r="K21" s="2692">
        <f t="shared" si="3"/>
        <v>0</v>
      </c>
      <c r="L21" s="2242">
        <f t="shared" si="4"/>
        <v>0</v>
      </c>
      <c r="M21" s="2744">
        <f t="shared" si="8"/>
        <v>0</v>
      </c>
      <c r="N21" s="2785"/>
      <c r="O21" s="2786"/>
      <c r="P21" s="2744">
        <f t="shared" si="9"/>
        <v>0</v>
      </c>
      <c r="R21" s="2242">
        <f t="shared" si="5"/>
        <v>0</v>
      </c>
      <c r="S21" s="2762">
        <f t="shared" si="5"/>
        <v>446.46</v>
      </c>
    </row>
    <row r="22" spans="1:19" ht="14.4">
      <c r="A22" s="2760"/>
      <c r="B22" s="2741" t="s">
        <v>646</v>
      </c>
      <c r="C22" s="2764"/>
      <c r="D22" s="2242">
        <f t="shared" si="6"/>
        <v>0</v>
      </c>
      <c r="E22" s="2762">
        <f t="shared" si="1"/>
        <v>0</v>
      </c>
      <c r="F22" s="2765"/>
      <c r="G22" s="2766"/>
      <c r="H22" s="2692">
        <f t="shared" si="7"/>
        <v>0</v>
      </c>
      <c r="I22" s="2744">
        <f t="shared" si="2"/>
        <v>0</v>
      </c>
      <c r="J22" s="2289"/>
      <c r="K22" s="2692">
        <f t="shared" si="3"/>
        <v>0</v>
      </c>
      <c r="L22" s="2242">
        <f t="shared" si="4"/>
        <v>0</v>
      </c>
      <c r="M22" s="2744">
        <f t="shared" si="8"/>
        <v>0</v>
      </c>
      <c r="N22" s="2785"/>
      <c r="O22" s="2786"/>
      <c r="P22" s="2744">
        <f t="shared" si="9"/>
        <v>0</v>
      </c>
      <c r="R22" s="2242">
        <f t="shared" si="5"/>
        <v>0</v>
      </c>
      <c r="S22" s="2762">
        <f t="shared" si="5"/>
        <v>0</v>
      </c>
    </row>
    <row r="23" spans="1:19" ht="14.4">
      <c r="A23" s="2760"/>
      <c r="B23" s="2741" t="s">
        <v>646</v>
      </c>
      <c r="C23" s="2764"/>
      <c r="D23" s="2242">
        <f t="shared" si="6"/>
        <v>0</v>
      </c>
      <c r="E23" s="2762">
        <f t="shared" si="1"/>
        <v>0</v>
      </c>
      <c r="F23" s="2765"/>
      <c r="G23" s="2766"/>
      <c r="H23" s="2692">
        <f t="shared" si="7"/>
        <v>0</v>
      </c>
      <c r="I23" s="2744">
        <f t="shared" si="2"/>
        <v>0</v>
      </c>
      <c r="J23" s="2289"/>
      <c r="K23" s="2692">
        <f t="shared" si="3"/>
        <v>0</v>
      </c>
      <c r="L23" s="2242">
        <f t="shared" si="4"/>
        <v>0</v>
      </c>
      <c r="M23" s="2744">
        <f t="shared" si="8"/>
        <v>0</v>
      </c>
      <c r="N23" s="2785"/>
      <c r="O23" s="2786"/>
      <c r="P23" s="2744">
        <f t="shared" si="9"/>
        <v>0</v>
      </c>
      <c r="R23" s="2242">
        <f t="shared" si="5"/>
        <v>0</v>
      </c>
      <c r="S23" s="2762">
        <f t="shared" si="5"/>
        <v>0</v>
      </c>
    </row>
    <row r="24" spans="1:19" ht="14.4">
      <c r="A24" s="2760"/>
      <c r="B24" s="2741" t="s">
        <v>646</v>
      </c>
      <c r="C24" s="2764"/>
      <c r="D24" s="2242">
        <f t="shared" si="6"/>
        <v>0</v>
      </c>
      <c r="E24" s="2762">
        <f t="shared" si="1"/>
        <v>0</v>
      </c>
      <c r="F24" s="2765"/>
      <c r="G24" s="2766"/>
      <c r="H24" s="2692">
        <f t="shared" si="7"/>
        <v>0</v>
      </c>
      <c r="I24" s="2744">
        <f t="shared" si="2"/>
        <v>0</v>
      </c>
      <c r="J24" s="2289"/>
      <c r="K24" s="2692">
        <f t="shared" si="3"/>
        <v>0</v>
      </c>
      <c r="L24" s="2242">
        <f t="shared" si="4"/>
        <v>0</v>
      </c>
      <c r="M24" s="2744">
        <f t="shared" si="8"/>
        <v>0</v>
      </c>
      <c r="N24" s="2785"/>
      <c r="O24" s="2786"/>
      <c r="P24" s="2744">
        <f t="shared" si="9"/>
        <v>0</v>
      </c>
      <c r="R24" s="2242">
        <f t="shared" si="5"/>
        <v>0</v>
      </c>
      <c r="S24" s="2762">
        <f t="shared" si="5"/>
        <v>0</v>
      </c>
    </row>
    <row r="25" spans="1:19" ht="14.4">
      <c r="A25" s="2760"/>
      <c r="B25" s="2741" t="s">
        <v>646</v>
      </c>
      <c r="C25" s="2764"/>
      <c r="D25" s="2242">
        <f t="shared" si="6"/>
        <v>0</v>
      </c>
      <c r="E25" s="2762">
        <f t="shared" si="1"/>
        <v>0</v>
      </c>
      <c r="F25" s="2765"/>
      <c r="G25" s="2766"/>
      <c r="H25" s="2734">
        <f t="shared" si="7"/>
        <v>0</v>
      </c>
      <c r="I25" s="2744">
        <f t="shared" si="2"/>
        <v>0</v>
      </c>
      <c r="J25" s="2289"/>
      <c r="K25" s="2692">
        <f t="shared" si="3"/>
        <v>0</v>
      </c>
      <c r="L25" s="2242">
        <f t="shared" si="4"/>
        <v>0</v>
      </c>
      <c r="M25" s="2744">
        <f t="shared" si="8"/>
        <v>0</v>
      </c>
      <c r="N25" s="2785"/>
      <c r="O25" s="2786"/>
      <c r="P25" s="2744">
        <f t="shared" si="9"/>
        <v>0</v>
      </c>
      <c r="R25" s="2242">
        <f t="shared" si="5"/>
        <v>0</v>
      </c>
      <c r="S25" s="2762">
        <f t="shared" si="5"/>
        <v>0</v>
      </c>
    </row>
    <row r="26" spans="1:19" ht="14.4">
      <c r="A26" s="2760"/>
      <c r="B26" s="2741" t="s">
        <v>646</v>
      </c>
      <c r="C26" s="2767"/>
      <c r="D26" s="2242">
        <f t="shared" si="6"/>
        <v>0</v>
      </c>
      <c r="E26" s="2762">
        <f t="shared" si="1"/>
        <v>0</v>
      </c>
      <c r="F26" s="2765"/>
      <c r="G26" s="2766"/>
      <c r="H26" s="2734">
        <f t="shared" si="7"/>
        <v>0</v>
      </c>
      <c r="I26" s="2744">
        <f t="shared" si="2"/>
        <v>0</v>
      </c>
      <c r="J26" s="2289"/>
      <c r="K26" s="2734">
        <f t="shared" si="3"/>
        <v>0</v>
      </c>
      <c r="L26" s="2741">
        <f t="shared" si="4"/>
        <v>0</v>
      </c>
      <c r="M26" s="2747">
        <f t="shared" si="8"/>
        <v>0</v>
      </c>
      <c r="N26" s="2787"/>
      <c r="O26" s="2788"/>
      <c r="P26" s="2747">
        <f t="shared" si="9"/>
        <v>0</v>
      </c>
      <c r="R26" s="2242">
        <f t="shared" si="5"/>
        <v>0</v>
      </c>
      <c r="S26" s="2762">
        <f t="shared" si="5"/>
        <v>0</v>
      </c>
    </row>
    <row r="27" spans="1:19" ht="14.4">
      <c r="A27" s="2760"/>
      <c r="B27" s="2242"/>
      <c r="C27" s="2434" t="s">
        <v>647</v>
      </c>
      <c r="D27" s="2768">
        <f>SUM(D19:D26)</f>
        <v>0</v>
      </c>
      <c r="E27" s="2769">
        <f>IF(SUM(E19:E26)='数据-基础表'!BA5,SUM(E19:E26),IF(F27="地上面积有误","面积有误","地下面积有误"))</f>
        <v>922.16</v>
      </c>
      <c r="F27" s="2768">
        <f>IF(SUM(F19:F26)=E8,SUM(F19:F26),"地上面积有误")</f>
        <v>922.16</v>
      </c>
      <c r="G27" s="2770">
        <f>SUM(G19:G26)</f>
        <v>0</v>
      </c>
      <c r="H27" s="2771">
        <f>SUM(H19:H26)</f>
        <v>0</v>
      </c>
      <c r="I27" s="2789">
        <f>SUM(I19:I26)</f>
        <v>0</v>
      </c>
      <c r="J27" s="2289"/>
      <c r="K27" s="2790">
        <f>SUM(K19:K26)</f>
        <v>0</v>
      </c>
      <c r="L27" s="2141">
        <f>SUM(L19:L26)</f>
        <v>0</v>
      </c>
      <c r="M27" s="2791">
        <f>SUM(M19:M26)</f>
        <v>0</v>
      </c>
      <c r="N27" s="2790">
        <f t="shared" ref="N27:P27" si="10">SUM(N19:N26)</f>
        <v>0</v>
      </c>
      <c r="O27" s="2141">
        <f t="shared" si="10"/>
        <v>0</v>
      </c>
      <c r="P27" s="2709">
        <f t="shared" si="10"/>
        <v>0</v>
      </c>
      <c r="R27" s="2724">
        <f>IF(SUM(R19:R26)=$D$3,SUM(R19:R26),SUM(R19:R26)&amp;"误差"&amp;ROUND(SUM(R19:R26)-$D$3,2))</f>
        <v>0</v>
      </c>
      <c r="S27" s="2242">
        <f>IF(SUM(S19:S26)=$E$3,SUM(S19:S26),SUM(S19:S26)&amp;"误差"&amp;ROUND(SUM(S19:S26)-E3,2))</f>
        <v>922.16</v>
      </c>
    </row>
    <row r="28" spans="1:19" ht="14.4">
      <c r="A28" s="2760"/>
      <c r="B28" s="2741" t="s">
        <v>648</v>
      </c>
      <c r="C28" s="2232" t="s">
        <v>649</v>
      </c>
      <c r="D28" s="2242">
        <f>ROUND($D$3*E28/$E$3,2)</f>
        <v>0</v>
      </c>
      <c r="E28" s="2762">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0"/>
      <c r="B29" s="2741" t="s">
        <v>648</v>
      </c>
      <c r="C29" s="2287" t="s">
        <v>650</v>
      </c>
      <c r="D29" s="2242">
        <f>ROUND($D$3*E29/$E$3,2)</f>
        <v>0</v>
      </c>
      <c r="E29" s="2762">
        <f>SUM(F29:G29)</f>
        <v>0</v>
      </c>
      <c r="F29" s="2772">
        <f>'数据-基础表'!BM5+'数据-基础表'!BO5</f>
        <v>0</v>
      </c>
      <c r="G29" s="2747">
        <f>'数据-基础表'!BN5+'数据-基础表'!BP5</f>
        <v>0</v>
      </c>
      <c r="H29" s="2592"/>
      <c r="I29" s="2592"/>
      <c r="J29" s="2592"/>
      <c r="K29" s="2592"/>
      <c r="L29" s="2592"/>
      <c r="M29" s="2592"/>
      <c r="N29" s="2592"/>
      <c r="O29" s="2592"/>
      <c r="P29" s="2592"/>
    </row>
    <row r="30" spans="1:19" ht="14.4">
      <c r="A30" s="2760"/>
      <c r="B30" s="2741"/>
      <c r="C30" s="2773" t="s">
        <v>647</v>
      </c>
      <c r="D30" s="2768">
        <f>SUM(D28:D29)</f>
        <v>0</v>
      </c>
      <c r="E30" s="2768">
        <f>SUM(E28:E29)</f>
        <v>0</v>
      </c>
      <c r="F30" s="2768">
        <f>SUM(F28:F29)</f>
        <v>0</v>
      </c>
      <c r="G30" s="2770">
        <f>SUM(G28:G29)</f>
        <v>0</v>
      </c>
      <c r="H30" s="2592"/>
      <c r="I30" s="2592"/>
      <c r="J30" s="2592"/>
      <c r="K30" s="2592"/>
      <c r="L30" s="2592"/>
      <c r="M30" s="2592"/>
      <c r="N30" s="2592"/>
      <c r="O30" s="2592"/>
      <c r="P30" s="2592"/>
    </row>
    <row r="31" spans="1:19" ht="14.4">
      <c r="A31" s="2774"/>
      <c r="B31" s="2700"/>
      <c r="C31" s="2141" t="s">
        <v>651</v>
      </c>
      <c r="D31" s="2775">
        <f>D27+D30</f>
        <v>0</v>
      </c>
      <c r="E31" s="2775">
        <f>E27+E30</f>
        <v>922.16</v>
      </c>
      <c r="F31" s="2776">
        <f>F27+F30</f>
        <v>922.16</v>
      </c>
      <c r="G31" s="2777">
        <f>G27+G30</f>
        <v>0</v>
      </c>
      <c r="H31" s="2592"/>
      <c r="I31" s="2592"/>
      <c r="J31" s="2592"/>
      <c r="K31" s="2592"/>
      <c r="L31" s="2592"/>
      <c r="M31" s="2592"/>
      <c r="N31" s="2592"/>
      <c r="O31" s="2592"/>
      <c r="P31" s="2592"/>
    </row>
    <row r="32" spans="1:19" ht="14.4">
      <c r="A32" s="2755"/>
      <c r="B32" s="2755" t="s">
        <v>652</v>
      </c>
      <c r="C32" s="2755"/>
      <c r="D32" s="2755"/>
      <c r="E32" s="2778">
        <f>SUMIF(C19:C26,"*住宅*",E19:E26)</f>
        <v>0</v>
      </c>
      <c r="F32" s="2755"/>
      <c r="G32" s="2755"/>
      <c r="H32" s="2592"/>
      <c r="I32" s="2592"/>
      <c r="J32" s="2592"/>
      <c r="K32" s="2592"/>
      <c r="L32" s="2592"/>
      <c r="M32" s="2592"/>
      <c r="N32" s="2592"/>
      <c r="O32" s="2592"/>
      <c r="P32" s="2592"/>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N22" sqref="N22"/>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1" t="s">
        <v>660</v>
      </c>
      <c r="AF4" s="2263"/>
      <c r="AG4" s="2711"/>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2" t="s">
        <v>691</v>
      </c>
      <c r="AO5" s="2723" t="s">
        <v>692</v>
      </c>
      <c r="AP5" s="2724" t="s">
        <v>693</v>
      </c>
      <c r="AQ5" s="2725" t="s">
        <v>694</v>
      </c>
      <c r="AR5" s="2725"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0.77</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5.2</v>
      </c>
      <c r="V6" s="2686">
        <v>0.02</v>
      </c>
      <c r="W6" s="2686">
        <v>0.1</v>
      </c>
      <c r="X6" s="2687"/>
      <c r="Y6" s="2702">
        <f>N6</f>
        <v>0.77</v>
      </c>
      <c r="Z6" s="2703"/>
      <c r="AA6" s="2580"/>
      <c r="AB6" s="2580"/>
      <c r="AC6" s="2687"/>
      <c r="AD6" s="2704"/>
      <c r="AE6" s="2705">
        <f ca="1">IF(AN6="",0,SUMIF(INDIRECT("'"&amp;AN6&amp;"'"&amp;"!E:E"),$AE$5,INDIRECT("'"&amp;AN6&amp;"'"&amp;"!F:F")))</f>
        <v>27.47</v>
      </c>
      <c r="AF6" s="2229"/>
      <c r="AG6" s="1577">
        <f>IF(AF6="",0,AE6-AF6)</f>
        <v>0</v>
      </c>
      <c r="AH6" s="2713"/>
      <c r="AI6" s="2714">
        <v>365</v>
      </c>
      <c r="AJ6" s="2229"/>
      <c r="AK6" s="2717">
        <v>5.0000000000000001E-3</v>
      </c>
      <c r="AL6" s="2715">
        <v>1E-3</v>
      </c>
      <c r="AM6" s="2718">
        <v>0.01</v>
      </c>
      <c r="AN6" s="2716" t="s">
        <v>285</v>
      </c>
      <c r="AO6" s="1235">
        <f ca="1">SUMIF(INDIRECT("'"&amp;AN6&amp;"'"&amp;"!A:A"),"总价",INDIRECT("'"&amp;AN6&amp;"'"&amp;"!B:B"))</f>
        <v>627.28530000000001</v>
      </c>
      <c r="AP6" s="2726">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0.77</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3.8</v>
      </c>
      <c r="V7" s="2686">
        <v>0.02</v>
      </c>
      <c r="W7" s="2686">
        <v>0.1</v>
      </c>
      <c r="X7" s="2687"/>
      <c r="Y7" s="2702">
        <f>Y6</f>
        <v>0.77</v>
      </c>
      <c r="Z7" s="2703"/>
      <c r="AA7" s="2580"/>
      <c r="AB7" s="2580"/>
      <c r="AC7" s="2687"/>
      <c r="AD7" s="2704"/>
      <c r="AE7" s="2705">
        <f t="shared" ref="AE7:AE13" ca="1" si="6">IF(AN7="",0,SUMIF(INDIRECT("'"&amp;AN7&amp;"'"&amp;"!E:E"),$AE$5,INDIRECT("'"&amp;AN7&amp;"'"&amp;"!F:F")))</f>
        <v>27.47</v>
      </c>
      <c r="AF7" s="2229"/>
      <c r="AG7" s="1577">
        <f t="shared" ref="AG7:AG13" si="7">IF(AF7="",0,AE7-AF7)</f>
        <v>0</v>
      </c>
      <c r="AH7" s="2713"/>
      <c r="AI7" s="2714">
        <v>365</v>
      </c>
      <c r="AJ7" s="2229"/>
      <c r="AK7" s="2717">
        <v>5.0000000000000001E-3</v>
      </c>
      <c r="AL7" s="2715">
        <v>1E-3</v>
      </c>
      <c r="AM7" s="2718">
        <v>0.01</v>
      </c>
      <c r="AN7" s="2716" t="s">
        <v>2905</v>
      </c>
      <c r="AO7" s="1235">
        <f t="shared" ref="AO7:AO13" ca="1" si="8">SUMIF(INDIRECT("'"&amp;AN7&amp;"'"&amp;"!A:A"),"总价",INDIRECT("'"&amp;AN7&amp;"'"&amp;"!B:B"))</f>
        <v>375.32619999999997</v>
      </c>
      <c r="AP7" s="2726">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0.77</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5">
        <f>U7</f>
        <v>3.8</v>
      </c>
      <c r="V8" s="2688">
        <f>V7</f>
        <v>0.02</v>
      </c>
      <c r="W8" s="2688">
        <f>W7</f>
        <v>0.1</v>
      </c>
      <c r="X8" s="2687"/>
      <c r="Y8" s="2702">
        <f>Y7</f>
        <v>0.77</v>
      </c>
      <c r="Z8" s="2703"/>
      <c r="AA8" s="2580"/>
      <c r="AB8" s="2580"/>
      <c r="AC8" s="2687"/>
      <c r="AD8" s="2704"/>
      <c r="AE8" s="2705">
        <f t="shared" ca="1" si="6"/>
        <v>27.47</v>
      </c>
      <c r="AF8" s="2229"/>
      <c r="AG8" s="1577">
        <f t="shared" si="7"/>
        <v>0</v>
      </c>
      <c r="AH8" s="2719"/>
      <c r="AI8" s="2714">
        <v>365</v>
      </c>
      <c r="AJ8" s="2229"/>
      <c r="AK8" s="2717">
        <v>5.0000000000000001E-3</v>
      </c>
      <c r="AL8" s="2715">
        <v>1E-3</v>
      </c>
      <c r="AM8" s="2718">
        <v>0.01</v>
      </c>
      <c r="AN8" s="2716" t="s">
        <v>2909</v>
      </c>
      <c r="AO8" s="1235">
        <f t="shared" ca="1" si="8"/>
        <v>780.76570000000004</v>
      </c>
      <c r="AP8" s="2726">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89"/>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2"/>
      <c r="Z9" s="2703"/>
      <c r="AA9" s="2580"/>
      <c r="AB9" s="2580"/>
      <c r="AC9" s="2687"/>
      <c r="AD9" s="2704"/>
      <c r="AE9" s="2705">
        <f t="shared" ca="1" si="6"/>
        <v>0</v>
      </c>
      <c r="AF9" s="2229"/>
      <c r="AG9" s="1577">
        <f t="shared" si="7"/>
        <v>0</v>
      </c>
      <c r="AH9" s="2713"/>
      <c r="AI9" s="2714"/>
      <c r="AJ9" s="2229"/>
      <c r="AK9" s="2717"/>
      <c r="AL9" s="2715"/>
      <c r="AM9" s="2718"/>
      <c r="AN9" s="2716"/>
      <c r="AO9" s="1235" t="e">
        <f t="shared" ca="1" si="8"/>
        <v>#REF!</v>
      </c>
      <c r="AP9" s="2726">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89"/>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2"/>
      <c r="Z10" s="2703"/>
      <c r="AA10" s="2580"/>
      <c r="AB10" s="2580"/>
      <c r="AC10" s="2687"/>
      <c r="AD10" s="2704"/>
      <c r="AE10" s="2705">
        <f t="shared" ca="1" si="6"/>
        <v>0</v>
      </c>
      <c r="AF10" s="2229"/>
      <c r="AG10" s="1577">
        <f t="shared" si="7"/>
        <v>0</v>
      </c>
      <c r="AH10" s="2713"/>
      <c r="AI10" s="2714"/>
      <c r="AJ10" s="2229"/>
      <c r="AK10" s="2717"/>
      <c r="AL10" s="2715"/>
      <c r="AM10" s="2718"/>
      <c r="AN10" s="2716"/>
      <c r="AO10" s="1235" t="e">
        <f t="shared" ca="1" si="8"/>
        <v>#REF!</v>
      </c>
      <c r="AP10" s="2726">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89"/>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2"/>
      <c r="Z11" s="2706"/>
      <c r="AA11" s="2580"/>
      <c r="AB11" s="2580"/>
      <c r="AC11" s="2687"/>
      <c r="AD11" s="2704"/>
      <c r="AE11" s="2705">
        <f t="shared" ca="1" si="6"/>
        <v>0</v>
      </c>
      <c r="AF11" s="2229"/>
      <c r="AG11" s="1577">
        <f t="shared" si="7"/>
        <v>0</v>
      </c>
      <c r="AH11" s="2713"/>
      <c r="AI11" s="2714"/>
      <c r="AJ11" s="2229"/>
      <c r="AK11" s="2717"/>
      <c r="AL11" s="2715"/>
      <c r="AM11" s="2718"/>
      <c r="AN11" s="2716"/>
      <c r="AO11" s="1235" t="e">
        <f t="shared" ca="1" si="8"/>
        <v>#REF!</v>
      </c>
      <c r="AP11" s="2726">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89"/>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2"/>
      <c r="Z12" s="2706"/>
      <c r="AA12" s="2580"/>
      <c r="AB12" s="2580"/>
      <c r="AC12" s="2687"/>
      <c r="AD12" s="2704"/>
      <c r="AE12" s="2705">
        <f t="shared" ca="1" si="6"/>
        <v>0</v>
      </c>
      <c r="AF12" s="2229"/>
      <c r="AG12" s="1577">
        <f t="shared" si="7"/>
        <v>0</v>
      </c>
      <c r="AH12" s="2713"/>
      <c r="AI12" s="2714"/>
      <c r="AJ12" s="2229"/>
      <c r="AK12" s="2717"/>
      <c r="AL12" s="2715"/>
      <c r="AM12" s="2718"/>
      <c r="AN12" s="2716"/>
      <c r="AO12" s="1235" t="e">
        <f t="shared" ca="1" si="8"/>
        <v>#REF!</v>
      </c>
      <c r="AP12" s="2726">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89"/>
      <c r="R13" s="2682">
        <f ca="1">SUMIF('数据-汇总表'!C$19:C$33,A13,'数据-汇总表'!R$19:R$27)</f>
        <v>0</v>
      </c>
      <c r="S13" s="2683">
        <f>IF('数据-汇总表'!$I$17="按面积比例",SUMIF('数据-汇总表'!C$19:C$33,A13,'数据-汇总表'!K$19:K$33),SUMIF('数据-汇总表'!C$19:C$33,A13,'数据-汇总表'!N$19:N$33))</f>
        <v>0</v>
      </c>
      <c r="T13" s="2684">
        <f t="shared" si="5"/>
        <v>0</v>
      </c>
      <c r="U13" s="2690"/>
      <c r="V13" s="2686"/>
      <c r="W13" s="2686"/>
      <c r="X13" s="2687"/>
      <c r="Y13" s="2702"/>
      <c r="Z13" s="2703"/>
      <c r="AA13" s="2580"/>
      <c r="AB13" s="2580"/>
      <c r="AC13" s="2687"/>
      <c r="AD13" s="2704"/>
      <c r="AE13" s="2705">
        <f t="shared" ca="1" si="6"/>
        <v>0</v>
      </c>
      <c r="AF13" s="2229"/>
      <c r="AG13" s="1577">
        <f t="shared" si="7"/>
        <v>0</v>
      </c>
      <c r="AH13" s="2713"/>
      <c r="AI13" s="2714"/>
      <c r="AJ13" s="2229"/>
      <c r="AK13" s="2717"/>
      <c r="AL13" s="2715"/>
      <c r="AM13" s="2718"/>
      <c r="AN13" s="2716"/>
      <c r="AO13" s="1235" t="e">
        <f t="shared" ca="1" si="8"/>
        <v>#REF!</v>
      </c>
      <c r="AP13" s="2726">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1"/>
      <c r="R14" s="2682"/>
      <c r="S14" s="2683"/>
      <c r="T14" s="2684"/>
      <c r="U14" s="2692"/>
      <c r="V14" s="2693"/>
      <c r="W14" s="2693"/>
      <c r="X14" s="2694"/>
      <c r="Y14" s="2707"/>
      <c r="Z14" s="2232"/>
      <c r="AA14" s="2708"/>
      <c r="AB14" s="2708"/>
      <c r="AC14" s="2687"/>
      <c r="AD14" s="2694"/>
      <c r="AE14" s="2705"/>
      <c r="AF14" s="1235"/>
      <c r="AG14" s="1577"/>
      <c r="AH14" s="2705"/>
      <c r="AI14" s="1226"/>
      <c r="AJ14" s="1235"/>
      <c r="AK14" s="2720"/>
      <c r="AL14" s="2721"/>
      <c r="AM14" s="2722"/>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1"/>
      <c r="R15" s="2682"/>
      <c r="S15" s="2683"/>
      <c r="T15" s="2684"/>
      <c r="U15" s="2692"/>
      <c r="V15" s="2693"/>
      <c r="W15" s="2693"/>
      <c r="X15" s="2694"/>
      <c r="Y15" s="2707"/>
      <c r="Z15" s="2232"/>
      <c r="AA15" s="2708"/>
      <c r="AB15" s="2708"/>
      <c r="AC15" s="2687"/>
      <c r="AD15" s="2694"/>
      <c r="AE15" s="2705"/>
      <c r="AF15" s="1235"/>
      <c r="AG15" s="1577"/>
      <c r="AH15" s="2705"/>
      <c r="AI15" s="1226"/>
      <c r="AJ15" s="1235"/>
      <c r="AK15" s="2720"/>
      <c r="AL15" s="2721"/>
      <c r="AM15" s="2722"/>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0.77</v>
      </c>
      <c r="O16" s="2673">
        <f>SUM(O6:O14)</f>
        <v>0</v>
      </c>
      <c r="P16" s="2673">
        <f>SUM(P6:P14)</f>
        <v>0</v>
      </c>
      <c r="Q16" s="2695">
        <f>ROUND(SUMPRODUCT(Q6:Q13,K6:K13)/SUMPRODUCT((Q6:Q13&gt;0)*(K6:K13)),2)</f>
        <v>0.15</v>
      </c>
      <c r="R16" s="2696">
        <f ca="1">SUM(R6:R13)</f>
        <v>0</v>
      </c>
      <c r="S16" s="2697">
        <f>SUM(S6:S13)</f>
        <v>0</v>
      </c>
      <c r="T16" s="2698">
        <f>IF(SUMIF(T6:T13,"&lt;9E307")=M14,SUMIF(T6:T13,"&lt;9E307"),"有误，请检查")</f>
        <v>0</v>
      </c>
      <c r="U16" s="2699"/>
      <c r="V16" s="2244"/>
      <c r="W16" s="2244"/>
      <c r="X16" s="2700"/>
      <c r="Y16" s="2709"/>
      <c r="Z16" s="2710"/>
      <c r="AA16" s="2244"/>
      <c r="AB16" s="2244"/>
      <c r="AC16" s="2700"/>
      <c r="AD16" s="2700"/>
      <c r="AE16" s="2699"/>
      <c r="AF16" s="2244"/>
      <c r="AG16" s="2709"/>
      <c r="AH16" s="2699"/>
      <c r="AI16" s="2710"/>
      <c r="AJ16" s="2710"/>
      <c r="AK16" s="2244"/>
      <c r="AL16" s="2244"/>
      <c r="AM16" s="2709"/>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ROUND((N19+N20)/2,2)</f>
        <v>0.77</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7"/>
      <c r="K69" s="987"/>
      <c r="L69" s="987"/>
    </row>
    <row r="70" spans="1:44" s="898" customFormat="1">
      <c r="A70" s="2480"/>
      <c r="D70" s="2727"/>
      <c r="K70" s="987"/>
      <c r="L70" s="987"/>
    </row>
    <row r="71" spans="1:44" s="898" customFormat="1">
      <c r="A71" s="2480"/>
      <c r="D71" s="2727"/>
      <c r="K71" s="987"/>
      <c r="L71" s="987"/>
    </row>
    <row r="72" spans="1:44" s="898" customFormat="1">
      <c r="A72" s="2480"/>
      <c r="D72" s="2727"/>
      <c r="K72" s="987"/>
      <c r="L72" s="987"/>
    </row>
    <row r="73" spans="1:44" s="898" customFormat="1">
      <c r="A73" s="2480"/>
      <c r="D73" s="2727"/>
      <c r="K73" s="987"/>
      <c r="L73" s="987"/>
    </row>
    <row r="74" spans="1:44" s="898" customFormat="1">
      <c r="A74" s="2480"/>
      <c r="D74" s="2727"/>
      <c r="K74" s="987"/>
      <c r="L74" s="987"/>
    </row>
    <row r="75" spans="1:44" s="898" customFormat="1">
      <c r="A75" s="2480"/>
      <c r="D75" s="2727"/>
      <c r="K75" s="987"/>
      <c r="L75" s="987"/>
    </row>
    <row r="76" spans="1:44" s="898" customFormat="1">
      <c r="A76" s="2480"/>
      <c r="D76" s="2727"/>
      <c r="K76" s="987"/>
      <c r="L76" s="987"/>
    </row>
    <row r="77" spans="1:44" s="898" customFormat="1">
      <c r="A77" s="2480"/>
      <c r="D77" s="2727"/>
      <c r="K77" s="987"/>
      <c r="L77" s="987"/>
    </row>
    <row r="78" spans="1:44" s="898" customFormat="1">
      <c r="A78" s="2480"/>
      <c r="D78" s="2727"/>
      <c r="K78" s="987"/>
      <c r="L78" s="987"/>
    </row>
    <row r="79" spans="1:44" s="898" customFormat="1">
      <c r="A79" s="2480"/>
      <c r="D79" s="2727"/>
      <c r="K79" s="987"/>
      <c r="L79" s="987"/>
    </row>
    <row r="80" spans="1:44" s="898" customFormat="1">
      <c r="A80" s="2480"/>
      <c r="D80" s="2727"/>
      <c r="K80" s="987"/>
      <c r="L80" s="987"/>
    </row>
    <row r="81" spans="1:12" s="898" customFormat="1">
      <c r="A81" s="2480"/>
      <c r="D81" s="2727"/>
      <c r="K81" s="987"/>
      <c r="L81" s="987"/>
    </row>
    <row r="82" spans="1:12" s="898" customFormat="1">
      <c r="A82" s="2480"/>
      <c r="D82" s="2727"/>
      <c r="K82" s="987"/>
      <c r="L82" s="987"/>
    </row>
    <row r="83" spans="1:12" s="898" customFormat="1">
      <c r="A83" s="2480"/>
      <c r="D83" s="2727"/>
      <c r="K83" s="987"/>
      <c r="L83" s="987"/>
    </row>
    <row r="84" spans="1:12" s="898" customFormat="1">
      <c r="A84" s="2480"/>
      <c r="D84" s="2727"/>
      <c r="K84" s="987"/>
      <c r="L84" s="987"/>
    </row>
    <row r="85" spans="1:12" s="898" customFormat="1">
      <c r="A85" s="2480"/>
      <c r="D85" s="2727"/>
      <c r="K85" s="987"/>
      <c r="L85" s="987"/>
    </row>
    <row r="86" spans="1:12" s="898" customFormat="1">
      <c r="A86" s="2480"/>
      <c r="D86" s="2727"/>
      <c r="K86" s="987"/>
      <c r="L86" s="987"/>
    </row>
    <row r="87" spans="1:12" s="898" customFormat="1">
      <c r="A87" s="2480"/>
      <c r="D87" s="2727"/>
      <c r="K87" s="987"/>
      <c r="L87" s="987"/>
    </row>
    <row r="88" spans="1:12" s="898" customFormat="1">
      <c r="A88" s="2480"/>
      <c r="D88" s="2727"/>
      <c r="K88" s="987"/>
      <c r="L88" s="987"/>
    </row>
    <row r="89" spans="1:12" s="898" customFormat="1">
      <c r="A89" s="2480"/>
      <c r="D89" s="2727"/>
      <c r="K89" s="987"/>
      <c r="L89" s="987"/>
    </row>
    <row r="90" spans="1:12" s="898" customFormat="1">
      <c r="A90" s="2480"/>
      <c r="D90" s="2727"/>
      <c r="K90" s="987"/>
      <c r="L90" s="987"/>
    </row>
    <row r="91" spans="1:12" s="898" customFormat="1">
      <c r="A91" s="2480"/>
      <c r="D91" s="2727"/>
      <c r="K91" s="987"/>
      <c r="L91" s="987"/>
    </row>
    <row r="92" spans="1:12" s="898" customFormat="1">
      <c r="A92" s="2480"/>
      <c r="D92" s="2727"/>
      <c r="K92" s="987"/>
      <c r="L92" s="987"/>
    </row>
    <row r="93" spans="1:12" s="898" customFormat="1">
      <c r="A93" s="2480"/>
      <c r="D93" s="2727"/>
      <c r="K93" s="987"/>
      <c r="L93" s="987"/>
    </row>
    <row r="94" spans="1:12" s="898" customFormat="1">
      <c r="A94" s="2480"/>
      <c r="D94" s="2727"/>
      <c r="K94" s="987"/>
      <c r="L94" s="987"/>
    </row>
    <row r="95" spans="1:12" s="898" customFormat="1">
      <c r="A95" s="2480"/>
      <c r="D95" s="2727"/>
      <c r="K95" s="987"/>
      <c r="L95" s="987"/>
    </row>
    <row r="96" spans="1:12" s="898" customFormat="1">
      <c r="A96" s="2480"/>
      <c r="D96" s="2727"/>
      <c r="K96" s="987"/>
      <c r="L96" s="987"/>
    </row>
    <row r="97" spans="1:12" s="898" customFormat="1">
      <c r="A97" s="2480"/>
      <c r="D97" s="2727"/>
      <c r="K97" s="987"/>
      <c r="L97" s="987"/>
    </row>
    <row r="98" spans="1:12" s="898" customFormat="1">
      <c r="A98" s="2480"/>
      <c r="D98" s="2727"/>
      <c r="K98" s="987"/>
      <c r="L98" s="987"/>
    </row>
    <row r="99" spans="1:12" s="898" customFormat="1">
      <c r="A99" s="2480"/>
      <c r="D99" s="2727"/>
      <c r="K99" s="987"/>
      <c r="L99" s="987"/>
    </row>
    <row r="100" spans="1:12" s="898" customFormat="1">
      <c r="A100" s="2480"/>
      <c r="D100" s="2727"/>
      <c r="K100" s="987"/>
      <c r="L100" s="987"/>
    </row>
    <row r="101" spans="1:12" s="898" customFormat="1">
      <c r="A101" s="2480"/>
      <c r="D101" s="2727"/>
      <c r="K101" s="987"/>
      <c r="L101" s="987"/>
    </row>
    <row r="102" spans="1:12" s="898" customFormat="1">
      <c r="A102" s="2480"/>
      <c r="D102" s="2727"/>
      <c r="K102" s="987"/>
      <c r="L102" s="987"/>
    </row>
    <row r="103" spans="1:12" s="898" customFormat="1">
      <c r="A103" s="2480"/>
      <c r="D103" s="2727"/>
      <c r="K103" s="987"/>
      <c r="L103" s="987"/>
    </row>
    <row r="104" spans="1:12" s="898" customFormat="1">
      <c r="A104" s="2480"/>
      <c r="D104" s="2727"/>
      <c r="K104" s="987"/>
      <c r="L104" s="987"/>
    </row>
    <row r="105" spans="1:12" s="898" customFormat="1">
      <c r="A105" s="2480"/>
      <c r="D105" s="2727"/>
      <c r="K105" s="987"/>
      <c r="L105" s="987"/>
    </row>
    <row r="106" spans="1:12" s="898" customFormat="1">
      <c r="A106" s="2480"/>
      <c r="D106" s="2727"/>
      <c r="K106" s="987"/>
      <c r="L106" s="987"/>
    </row>
    <row r="107" spans="1:12" s="898" customFormat="1">
      <c r="A107" s="2480"/>
      <c r="D107" s="2727"/>
      <c r="K107" s="987"/>
      <c r="L107" s="987"/>
    </row>
    <row r="108" spans="1:12" s="898" customFormat="1">
      <c r="A108" s="2480"/>
      <c r="D108" s="2727"/>
      <c r="K108" s="987"/>
      <c r="L108" s="987"/>
    </row>
    <row r="109" spans="1:12" s="898" customFormat="1">
      <c r="A109" s="2480"/>
      <c r="D109" s="2727"/>
      <c r="K109" s="987"/>
      <c r="L109" s="987"/>
    </row>
    <row r="110" spans="1:12" s="898" customFormat="1">
      <c r="A110" s="2480"/>
      <c r="D110" s="2727"/>
      <c r="K110" s="987"/>
      <c r="L110" s="987"/>
    </row>
    <row r="111" spans="1:12" s="898" customFormat="1">
      <c r="A111" s="2480"/>
      <c r="D111" s="2727"/>
      <c r="K111" s="987"/>
      <c r="L111" s="987"/>
    </row>
    <row r="112" spans="1:12" s="898" customFormat="1">
      <c r="A112" s="2480"/>
      <c r="D112" s="2727"/>
      <c r="K112" s="987"/>
      <c r="L112" s="987"/>
    </row>
    <row r="113" spans="1:12" s="898" customFormat="1">
      <c r="A113" s="2480"/>
      <c r="D113" s="2727"/>
      <c r="K113" s="987"/>
      <c r="L113" s="987"/>
    </row>
    <row r="114" spans="1:12" s="898" customFormat="1">
      <c r="A114" s="2480"/>
      <c r="D114" s="2727"/>
      <c r="K114" s="987"/>
      <c r="L114" s="987"/>
    </row>
    <row r="115" spans="1:12" s="898" customFormat="1">
      <c r="A115" s="2480"/>
      <c r="D115" s="2727"/>
      <c r="K115" s="987"/>
      <c r="L115" s="987"/>
    </row>
    <row r="116" spans="1:12" s="898" customFormat="1">
      <c r="A116" s="2480"/>
      <c r="D116" s="2727"/>
      <c r="K116" s="987"/>
      <c r="L116" s="987"/>
    </row>
    <row r="117" spans="1:12" s="898" customFormat="1">
      <c r="A117" s="2480"/>
      <c r="D117" s="2727"/>
      <c r="K117" s="987"/>
      <c r="L117" s="987"/>
    </row>
    <row r="118" spans="1:12" s="898" customFormat="1">
      <c r="A118" s="2480"/>
      <c r="D118" s="2727"/>
      <c r="K118" s="987"/>
      <c r="L118" s="987"/>
    </row>
    <row r="119" spans="1:12" s="898" customFormat="1">
      <c r="A119" s="2480"/>
      <c r="D119" s="2727"/>
      <c r="K119" s="987"/>
      <c r="L119" s="987"/>
    </row>
    <row r="120" spans="1:12" s="898" customFormat="1">
      <c r="A120" s="2480"/>
      <c r="D120" s="2727"/>
      <c r="K120" s="987"/>
      <c r="L120" s="987"/>
    </row>
    <row r="121" spans="1:12" s="898" customFormat="1">
      <c r="A121" s="2480"/>
      <c r="D121" s="2727"/>
      <c r="K121" s="987"/>
      <c r="L121" s="987"/>
    </row>
    <row r="122" spans="1:12" s="898" customFormat="1">
      <c r="A122" s="2480"/>
      <c r="D122" s="2727"/>
      <c r="K122" s="987"/>
      <c r="L122" s="987"/>
    </row>
    <row r="123" spans="1:12" s="898" customFormat="1">
      <c r="A123" s="2480"/>
      <c r="D123" s="2727"/>
      <c r="K123" s="987"/>
      <c r="L123" s="987"/>
    </row>
    <row r="124" spans="1:12" s="898" customFormat="1">
      <c r="A124" s="2480"/>
      <c r="D124" s="2727"/>
      <c r="K124" s="987"/>
      <c r="L124" s="987"/>
    </row>
    <row r="125" spans="1:12" s="898" customFormat="1">
      <c r="A125" s="2480"/>
      <c r="D125" s="2727"/>
      <c r="K125" s="987"/>
      <c r="L125" s="987"/>
    </row>
    <row r="126" spans="1:12" s="898" customFormat="1">
      <c r="A126" s="2480"/>
      <c r="D126" s="2727"/>
      <c r="K126" s="987"/>
      <c r="L126" s="987"/>
    </row>
    <row r="127" spans="1:12" s="898" customFormat="1">
      <c r="A127" s="2480"/>
      <c r="D127" s="2727"/>
      <c r="K127" s="987"/>
      <c r="L127" s="987"/>
    </row>
    <row r="128" spans="1:12" s="898" customFormat="1">
      <c r="A128" s="2480"/>
      <c r="D128" s="2727"/>
      <c r="K128" s="987"/>
      <c r="L128" s="987"/>
    </row>
    <row r="129" spans="1:12" s="898" customFormat="1">
      <c r="A129" s="2480"/>
      <c r="D129" s="2727"/>
      <c r="K129" s="987"/>
      <c r="L129" s="987"/>
    </row>
    <row r="130" spans="1:12" s="898" customFormat="1">
      <c r="A130" s="2480"/>
      <c r="D130" s="2727"/>
      <c r="K130" s="987"/>
      <c r="L130" s="987"/>
    </row>
    <row r="131" spans="1:12" s="898" customFormat="1">
      <c r="A131" s="2480"/>
      <c r="D131" s="2727"/>
      <c r="K131" s="987"/>
      <c r="L131" s="987"/>
    </row>
    <row r="132" spans="1:12" s="898" customFormat="1">
      <c r="A132" s="2480"/>
      <c r="D132" s="2727"/>
      <c r="K132" s="987"/>
      <c r="L132" s="987"/>
    </row>
    <row r="133" spans="1:12" s="898" customFormat="1">
      <c r="A133" s="2480"/>
      <c r="D133" s="2727"/>
      <c r="K133" s="987"/>
      <c r="L133" s="987"/>
    </row>
    <row r="134" spans="1:12" s="897" customFormat="1">
      <c r="A134" s="2728"/>
      <c r="D134" s="2729"/>
      <c r="K134" s="894"/>
      <c r="L134" s="894"/>
    </row>
    <row r="135" spans="1:12" s="897" customFormat="1">
      <c r="A135" s="2728"/>
      <c r="D135" s="2729"/>
      <c r="K135" s="894"/>
      <c r="L135" s="894"/>
    </row>
    <row r="136" spans="1:12" s="897" customFormat="1">
      <c r="A136" s="2728"/>
      <c r="D136" s="2729"/>
      <c r="K136" s="894"/>
      <c r="L136" s="894"/>
    </row>
    <row r="137" spans="1:12" s="897" customFormat="1">
      <c r="A137" s="2728"/>
      <c r="D137" s="2729"/>
      <c r="K137" s="894"/>
      <c r="L137" s="894"/>
    </row>
    <row r="138" spans="1:12" s="897" customFormat="1">
      <c r="A138" s="2728"/>
      <c r="D138" s="2729"/>
      <c r="K138" s="894"/>
      <c r="L138" s="894"/>
    </row>
    <row r="139" spans="1:12" s="897" customFormat="1">
      <c r="A139" s="2728"/>
      <c r="D139" s="2729"/>
      <c r="K139" s="894"/>
      <c r="L139" s="894"/>
    </row>
    <row r="140" spans="1:12" s="897" customFormat="1">
      <c r="A140" s="2728"/>
      <c r="D140" s="2729"/>
      <c r="K140" s="894"/>
      <c r="L140" s="894"/>
    </row>
    <row r="141" spans="1:12" s="897" customFormat="1">
      <c r="A141" s="2728"/>
      <c r="D141" s="2729"/>
      <c r="K141" s="894"/>
      <c r="L141" s="894"/>
    </row>
    <row r="142" spans="1:12" s="897" customFormat="1">
      <c r="A142" s="2728"/>
      <c r="D142" s="2729"/>
      <c r="K142" s="894"/>
      <c r="L142" s="894"/>
    </row>
    <row r="143" spans="1:12" s="897" customFormat="1">
      <c r="A143" s="2728"/>
      <c r="D143" s="2729"/>
      <c r="K143" s="894"/>
      <c r="L143" s="894"/>
    </row>
    <row r="144" spans="1:12" s="897" customFormat="1">
      <c r="A144" s="2728"/>
      <c r="D144" s="2729"/>
      <c r="K144" s="894"/>
      <c r="L144" s="894"/>
    </row>
    <row r="145" spans="1:12" s="897" customFormat="1">
      <c r="A145" s="2728"/>
      <c r="D145" s="2729"/>
      <c r="K145" s="894"/>
      <c r="L145" s="894"/>
    </row>
    <row r="146" spans="1:12" s="897" customFormat="1">
      <c r="A146" s="2728"/>
      <c r="D146" s="2729"/>
      <c r="K146" s="894"/>
      <c r="L146" s="894"/>
    </row>
    <row r="147" spans="1:12" s="897" customFormat="1">
      <c r="A147" s="2728"/>
      <c r="D147" s="2729"/>
      <c r="K147" s="894"/>
      <c r="L147" s="894"/>
    </row>
    <row r="148" spans="1:12" s="897" customFormat="1">
      <c r="A148" s="2728"/>
      <c r="D148" s="2729"/>
      <c r="K148" s="894"/>
      <c r="L148" s="894"/>
    </row>
    <row r="149" spans="1:12" s="897" customFormat="1">
      <c r="A149" s="2728"/>
      <c r="D149" s="2729"/>
      <c r="K149" s="894"/>
      <c r="L149" s="894"/>
    </row>
    <row r="150" spans="1:12" s="897" customFormat="1">
      <c r="A150" s="2728"/>
      <c r="D150" s="2729"/>
      <c r="K150" s="894"/>
      <c r="L150" s="894"/>
    </row>
    <row r="151" spans="1:12" s="897" customFormat="1">
      <c r="A151" s="2728"/>
      <c r="D151" s="2729"/>
      <c r="K151" s="894"/>
      <c r="L151" s="894"/>
    </row>
    <row r="152" spans="1:12" s="897" customFormat="1">
      <c r="A152" s="2728"/>
      <c r="D152" s="2729"/>
      <c r="K152" s="894"/>
      <c r="L152" s="894"/>
    </row>
    <row r="153" spans="1:12" s="897" customFormat="1">
      <c r="A153" s="2728"/>
      <c r="D153" s="2729"/>
      <c r="K153" s="894"/>
      <c r="L153" s="894"/>
    </row>
    <row r="154" spans="1:12" s="897" customFormat="1">
      <c r="A154" s="2728"/>
      <c r="D154" s="2729"/>
      <c r="K154" s="894"/>
      <c r="L154" s="894"/>
    </row>
    <row r="155" spans="1:12" s="897" customFormat="1">
      <c r="A155" s="2728"/>
      <c r="D155" s="2729"/>
      <c r="K155" s="894"/>
      <c r="L155" s="894"/>
    </row>
    <row r="156" spans="1:12" s="897" customFormat="1">
      <c r="A156" s="2728"/>
      <c r="D156" s="2729"/>
      <c r="K156" s="894"/>
      <c r="L156" s="894"/>
    </row>
    <row r="157" spans="1:12" s="897" customFormat="1">
      <c r="A157" s="2728"/>
      <c r="D157" s="2729"/>
      <c r="K157" s="894"/>
      <c r="L157" s="894"/>
    </row>
    <row r="158" spans="1:12" s="897" customFormat="1">
      <c r="A158" s="2728"/>
      <c r="D158" s="2729"/>
      <c r="K158" s="894"/>
      <c r="L158" s="894"/>
    </row>
    <row r="159" spans="1:12" s="897" customFormat="1">
      <c r="A159" s="2728"/>
      <c r="D159" s="2729"/>
      <c r="K159" s="894"/>
      <c r="L159" s="894"/>
    </row>
    <row r="160" spans="1:12" s="897" customFormat="1">
      <c r="A160" s="2728"/>
      <c r="D160" s="2729"/>
      <c r="K160" s="894"/>
      <c r="L160" s="894"/>
    </row>
    <row r="161" spans="1:12" s="897" customFormat="1">
      <c r="A161" s="2728"/>
      <c r="D161" s="2729"/>
      <c r="K161" s="894"/>
      <c r="L161" s="894"/>
    </row>
    <row r="162" spans="1:12" s="897" customFormat="1">
      <c r="A162" s="2728"/>
      <c r="D162" s="2729"/>
      <c r="K162" s="894"/>
      <c r="L162" s="894"/>
    </row>
    <row r="163" spans="1:12" s="897" customFormat="1">
      <c r="A163" s="2728"/>
      <c r="D163" s="2729"/>
      <c r="K163" s="894"/>
      <c r="L163" s="894"/>
    </row>
    <row r="164" spans="1:12" s="897" customFormat="1">
      <c r="A164" s="2728"/>
      <c r="D164" s="2729"/>
      <c r="K164" s="894"/>
      <c r="L164" s="894"/>
    </row>
    <row r="165" spans="1:12" s="897" customFormat="1">
      <c r="A165" s="2728"/>
      <c r="D165" s="2729"/>
      <c r="K165" s="894"/>
      <c r="L165" s="894"/>
    </row>
    <row r="166" spans="1:12" s="897" customFormat="1">
      <c r="A166" s="2728"/>
      <c r="D166" s="2729"/>
      <c r="K166" s="894"/>
      <c r="L166" s="894"/>
    </row>
    <row r="167" spans="1:12" s="897" customFormat="1">
      <c r="A167" s="2728"/>
      <c r="D167" s="2729"/>
      <c r="K167" s="894"/>
      <c r="L167" s="894"/>
    </row>
    <row r="168" spans="1:12" s="897" customFormat="1">
      <c r="A168" s="2728"/>
      <c r="D168" s="2729"/>
      <c r="K168" s="894"/>
      <c r="L168" s="894"/>
    </row>
    <row r="169" spans="1:12" s="897" customFormat="1">
      <c r="A169" s="2728"/>
      <c r="D169" s="2729"/>
      <c r="K169" s="894"/>
      <c r="L169" s="894"/>
    </row>
    <row r="170" spans="1:12" s="897" customFormat="1">
      <c r="A170" s="2728"/>
      <c r="D170" s="2729"/>
      <c r="K170" s="894"/>
      <c r="L170" s="894"/>
    </row>
    <row r="171" spans="1:12" s="897" customFormat="1">
      <c r="A171" s="2728"/>
      <c r="D171" s="2729"/>
      <c r="K171" s="894"/>
      <c r="L171" s="894"/>
    </row>
    <row r="172" spans="1:12" s="897" customFormat="1">
      <c r="A172" s="2728"/>
      <c r="D172" s="2729"/>
      <c r="K172" s="894"/>
      <c r="L172" s="894"/>
    </row>
    <row r="173" spans="1:12" s="897" customFormat="1">
      <c r="A173" s="2728"/>
      <c r="D173" s="2729"/>
      <c r="K173" s="894"/>
      <c r="L173" s="894"/>
    </row>
    <row r="174" spans="1:12" s="897" customFormat="1">
      <c r="A174" s="2728"/>
      <c r="D174" s="2729"/>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6" t="s">
        <v>762</v>
      </c>
      <c r="B1" s="3277"/>
      <c r="C1" s="3277"/>
      <c r="D1" s="3277"/>
      <c r="E1" s="3277"/>
      <c r="F1" s="3277"/>
      <c r="G1" s="3277"/>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40"/>
  <sheetViews>
    <sheetView zoomScale="85" zoomScaleNormal="85" zoomScaleSheetLayoutView="100" workbookViewId="0">
      <selection activeCell="J40" sqref="J40"/>
    </sheetView>
  </sheetViews>
  <sheetFormatPr defaultColWidth="9" defaultRowHeight="14.4"/>
  <cols>
    <col min="1" max="1" width="6.6640625" style="3166" customWidth="1"/>
    <col min="2" max="2" width="33.77734375" style="3166" hidden="1" customWidth="1"/>
    <col min="3" max="3" width="31.109375" style="3166" customWidth="1"/>
    <col min="4" max="4" width="33.6640625" style="3166" customWidth="1"/>
    <col min="5" max="5" width="11.88671875" style="3166" hidden="1" customWidth="1"/>
    <col min="6" max="6" width="12.88671875" style="3166" customWidth="1"/>
    <col min="7" max="7" width="12.44140625" style="3166" customWidth="1"/>
    <col min="8" max="8" width="9.77734375" style="3166" customWidth="1"/>
    <col min="9" max="9" width="19" style="3166" customWidth="1"/>
    <col min="10" max="10" width="34.109375" style="3166" customWidth="1"/>
    <col min="11" max="11" width="9" style="3166" customWidth="1"/>
    <col min="12" max="12" width="12.6640625" style="3166" customWidth="1"/>
    <col min="13" max="13" width="10.33203125" style="3166" bestFit="1" customWidth="1"/>
    <col min="14" max="16" width="9" style="3166"/>
    <col min="17" max="17" width="11.6640625" style="3166" customWidth="1"/>
    <col min="18" max="257" width="9" style="3166"/>
    <col min="258" max="258" width="5.33203125" style="3166" customWidth="1"/>
    <col min="259" max="259" width="33.77734375" style="3166" customWidth="1"/>
    <col min="260" max="260" width="31.109375" style="3166" customWidth="1"/>
    <col min="261" max="261" width="33.6640625" style="3166" customWidth="1"/>
    <col min="262" max="262" width="11.88671875" style="3166" customWidth="1"/>
    <col min="263" max="263" width="12.88671875" style="3166" customWidth="1"/>
    <col min="264" max="264" width="12.44140625" style="3166" customWidth="1"/>
    <col min="265" max="266" width="19" style="3166" customWidth="1"/>
    <col min="267" max="267" width="9" style="3166"/>
    <col min="268" max="268" width="12.6640625" style="3166" bestFit="1" customWidth="1"/>
    <col min="269" max="269" width="10.33203125" style="3166" bestFit="1" customWidth="1"/>
    <col min="270" max="513" width="9" style="3166"/>
    <col min="514" max="514" width="5.33203125" style="3166" customWidth="1"/>
    <col min="515" max="515" width="33.77734375" style="3166" customWidth="1"/>
    <col min="516" max="516" width="31.109375" style="3166" customWidth="1"/>
    <col min="517" max="517" width="33.6640625" style="3166" customWidth="1"/>
    <col min="518" max="518" width="11.88671875" style="3166" customWidth="1"/>
    <col min="519" max="519" width="12.88671875" style="3166" customWidth="1"/>
    <col min="520" max="520" width="12.44140625" style="3166" customWidth="1"/>
    <col min="521" max="522" width="19" style="3166" customWidth="1"/>
    <col min="523" max="523" width="9" style="3166"/>
    <col min="524" max="524" width="12.6640625" style="3166" bestFit="1" customWidth="1"/>
    <col min="525" max="525" width="10.33203125" style="3166" bestFit="1" customWidth="1"/>
    <col min="526" max="769" width="9" style="3166"/>
    <col min="770" max="770" width="5.33203125" style="3166" customWidth="1"/>
    <col min="771" max="771" width="33.77734375" style="3166" customWidth="1"/>
    <col min="772" max="772" width="31.109375" style="3166" customWidth="1"/>
    <col min="773" max="773" width="33.6640625" style="3166" customWidth="1"/>
    <col min="774" max="774" width="11.88671875" style="3166" customWidth="1"/>
    <col min="775" max="775" width="12.88671875" style="3166" customWidth="1"/>
    <col min="776" max="776" width="12.44140625" style="3166" customWidth="1"/>
    <col min="777" max="778" width="19" style="3166" customWidth="1"/>
    <col min="779" max="779" width="9" style="3166"/>
    <col min="780" max="780" width="12.6640625" style="3166" bestFit="1" customWidth="1"/>
    <col min="781" max="781" width="10.33203125" style="3166" bestFit="1" customWidth="1"/>
    <col min="782" max="1025" width="9" style="3166"/>
    <col min="1026" max="1026" width="5.33203125" style="3166" customWidth="1"/>
    <col min="1027" max="1027" width="33.77734375" style="3166" customWidth="1"/>
    <col min="1028" max="1028" width="31.109375" style="3166" customWidth="1"/>
    <col min="1029" max="1029" width="33.6640625" style="3166" customWidth="1"/>
    <col min="1030" max="1030" width="11.88671875" style="3166" customWidth="1"/>
    <col min="1031" max="1031" width="12.88671875" style="3166" customWidth="1"/>
    <col min="1032" max="1032" width="12.44140625" style="3166" customWidth="1"/>
    <col min="1033" max="1034" width="19" style="3166" customWidth="1"/>
    <col min="1035" max="1035" width="9" style="3166"/>
    <col min="1036" max="1036" width="12.6640625" style="3166" bestFit="1" customWidth="1"/>
    <col min="1037" max="1037" width="10.33203125" style="3166" bestFit="1" customWidth="1"/>
    <col min="1038" max="1281" width="9" style="3166"/>
    <col min="1282" max="1282" width="5.33203125" style="3166" customWidth="1"/>
    <col min="1283" max="1283" width="33.77734375" style="3166" customWidth="1"/>
    <col min="1284" max="1284" width="31.109375" style="3166" customWidth="1"/>
    <col min="1285" max="1285" width="33.6640625" style="3166" customWidth="1"/>
    <col min="1286" max="1286" width="11.88671875" style="3166" customWidth="1"/>
    <col min="1287" max="1287" width="12.88671875" style="3166" customWidth="1"/>
    <col min="1288" max="1288" width="12.44140625" style="3166" customWidth="1"/>
    <col min="1289" max="1290" width="19" style="3166" customWidth="1"/>
    <col min="1291" max="1291" width="9" style="3166"/>
    <col min="1292" max="1292" width="12.6640625" style="3166" bestFit="1" customWidth="1"/>
    <col min="1293" max="1293" width="10.33203125" style="3166" bestFit="1" customWidth="1"/>
    <col min="1294" max="1537" width="9" style="3166"/>
    <col min="1538" max="1538" width="5.33203125" style="3166" customWidth="1"/>
    <col min="1539" max="1539" width="33.77734375" style="3166" customWidth="1"/>
    <col min="1540" max="1540" width="31.109375" style="3166" customWidth="1"/>
    <col min="1541" max="1541" width="33.6640625" style="3166" customWidth="1"/>
    <col min="1542" max="1542" width="11.88671875" style="3166" customWidth="1"/>
    <col min="1543" max="1543" width="12.88671875" style="3166" customWidth="1"/>
    <col min="1544" max="1544" width="12.44140625" style="3166" customWidth="1"/>
    <col min="1545" max="1546" width="19" style="3166" customWidth="1"/>
    <col min="1547" max="1547" width="9" style="3166"/>
    <col min="1548" max="1548" width="12.6640625" style="3166" bestFit="1" customWidth="1"/>
    <col min="1549" max="1549" width="10.33203125" style="3166" bestFit="1" customWidth="1"/>
    <col min="1550" max="1793" width="9" style="3166"/>
    <col min="1794" max="1794" width="5.33203125" style="3166" customWidth="1"/>
    <col min="1795" max="1795" width="33.77734375" style="3166" customWidth="1"/>
    <col min="1796" max="1796" width="31.109375" style="3166" customWidth="1"/>
    <col min="1797" max="1797" width="33.6640625" style="3166" customWidth="1"/>
    <col min="1798" max="1798" width="11.88671875" style="3166" customWidth="1"/>
    <col min="1799" max="1799" width="12.88671875" style="3166" customWidth="1"/>
    <col min="1800" max="1800" width="12.44140625" style="3166" customWidth="1"/>
    <col min="1801" max="1802" width="19" style="3166" customWidth="1"/>
    <col min="1803" max="1803" width="9" style="3166"/>
    <col min="1804" max="1804" width="12.6640625" style="3166" bestFit="1" customWidth="1"/>
    <col min="1805" max="1805" width="10.33203125" style="3166" bestFit="1" customWidth="1"/>
    <col min="1806" max="2049" width="9" style="3166"/>
    <col min="2050" max="2050" width="5.33203125" style="3166" customWidth="1"/>
    <col min="2051" max="2051" width="33.77734375" style="3166" customWidth="1"/>
    <col min="2052" max="2052" width="31.109375" style="3166" customWidth="1"/>
    <col min="2053" max="2053" width="33.6640625" style="3166" customWidth="1"/>
    <col min="2054" max="2054" width="11.88671875" style="3166" customWidth="1"/>
    <col min="2055" max="2055" width="12.88671875" style="3166" customWidth="1"/>
    <col min="2056" max="2056" width="12.44140625" style="3166" customWidth="1"/>
    <col min="2057" max="2058" width="19" style="3166" customWidth="1"/>
    <col min="2059" max="2059" width="9" style="3166"/>
    <col min="2060" max="2060" width="12.6640625" style="3166" bestFit="1" customWidth="1"/>
    <col min="2061" max="2061" width="10.33203125" style="3166" bestFit="1" customWidth="1"/>
    <col min="2062" max="2305" width="9" style="3166"/>
    <col min="2306" max="2306" width="5.33203125" style="3166" customWidth="1"/>
    <col min="2307" max="2307" width="33.77734375" style="3166" customWidth="1"/>
    <col min="2308" max="2308" width="31.109375" style="3166" customWidth="1"/>
    <col min="2309" max="2309" width="33.6640625" style="3166" customWidth="1"/>
    <col min="2310" max="2310" width="11.88671875" style="3166" customWidth="1"/>
    <col min="2311" max="2311" width="12.88671875" style="3166" customWidth="1"/>
    <col min="2312" max="2312" width="12.44140625" style="3166" customWidth="1"/>
    <col min="2313" max="2314" width="19" style="3166" customWidth="1"/>
    <col min="2315" max="2315" width="9" style="3166"/>
    <col min="2316" max="2316" width="12.6640625" style="3166" bestFit="1" customWidth="1"/>
    <col min="2317" max="2317" width="10.33203125" style="3166" bestFit="1" customWidth="1"/>
    <col min="2318" max="2561" width="9" style="3166"/>
    <col min="2562" max="2562" width="5.33203125" style="3166" customWidth="1"/>
    <col min="2563" max="2563" width="33.77734375" style="3166" customWidth="1"/>
    <col min="2564" max="2564" width="31.109375" style="3166" customWidth="1"/>
    <col min="2565" max="2565" width="33.6640625" style="3166" customWidth="1"/>
    <col min="2566" max="2566" width="11.88671875" style="3166" customWidth="1"/>
    <col min="2567" max="2567" width="12.88671875" style="3166" customWidth="1"/>
    <col min="2568" max="2568" width="12.44140625" style="3166" customWidth="1"/>
    <col min="2569" max="2570" width="19" style="3166" customWidth="1"/>
    <col min="2571" max="2571" width="9" style="3166"/>
    <col min="2572" max="2572" width="12.6640625" style="3166" bestFit="1" customWidth="1"/>
    <col min="2573" max="2573" width="10.33203125" style="3166" bestFit="1" customWidth="1"/>
    <col min="2574" max="2817" width="9" style="3166"/>
    <col min="2818" max="2818" width="5.33203125" style="3166" customWidth="1"/>
    <col min="2819" max="2819" width="33.77734375" style="3166" customWidth="1"/>
    <col min="2820" max="2820" width="31.109375" style="3166" customWidth="1"/>
    <col min="2821" max="2821" width="33.6640625" style="3166" customWidth="1"/>
    <col min="2822" max="2822" width="11.88671875" style="3166" customWidth="1"/>
    <col min="2823" max="2823" width="12.88671875" style="3166" customWidth="1"/>
    <col min="2824" max="2824" width="12.44140625" style="3166" customWidth="1"/>
    <col min="2825" max="2826" width="19" style="3166" customWidth="1"/>
    <col min="2827" max="2827" width="9" style="3166"/>
    <col min="2828" max="2828" width="12.6640625" style="3166" bestFit="1" customWidth="1"/>
    <col min="2829" max="2829" width="10.33203125" style="3166" bestFit="1" customWidth="1"/>
    <col min="2830" max="3073" width="9" style="3166"/>
    <col min="3074" max="3074" width="5.33203125" style="3166" customWidth="1"/>
    <col min="3075" max="3075" width="33.77734375" style="3166" customWidth="1"/>
    <col min="3076" max="3076" width="31.109375" style="3166" customWidth="1"/>
    <col min="3077" max="3077" width="33.6640625" style="3166" customWidth="1"/>
    <col min="3078" max="3078" width="11.88671875" style="3166" customWidth="1"/>
    <col min="3079" max="3079" width="12.88671875" style="3166" customWidth="1"/>
    <col min="3080" max="3080" width="12.44140625" style="3166" customWidth="1"/>
    <col min="3081" max="3082" width="19" style="3166" customWidth="1"/>
    <col min="3083" max="3083" width="9" style="3166"/>
    <col min="3084" max="3084" width="12.6640625" style="3166" bestFit="1" customWidth="1"/>
    <col min="3085" max="3085" width="10.33203125" style="3166" bestFit="1" customWidth="1"/>
    <col min="3086" max="3329" width="9" style="3166"/>
    <col min="3330" max="3330" width="5.33203125" style="3166" customWidth="1"/>
    <col min="3331" max="3331" width="33.77734375" style="3166" customWidth="1"/>
    <col min="3332" max="3332" width="31.109375" style="3166" customWidth="1"/>
    <col min="3333" max="3333" width="33.6640625" style="3166" customWidth="1"/>
    <col min="3334" max="3334" width="11.88671875" style="3166" customWidth="1"/>
    <col min="3335" max="3335" width="12.88671875" style="3166" customWidth="1"/>
    <col min="3336" max="3336" width="12.44140625" style="3166" customWidth="1"/>
    <col min="3337" max="3338" width="19" style="3166" customWidth="1"/>
    <col min="3339" max="3339" width="9" style="3166"/>
    <col min="3340" max="3340" width="12.6640625" style="3166" bestFit="1" customWidth="1"/>
    <col min="3341" max="3341" width="10.33203125" style="3166" bestFit="1" customWidth="1"/>
    <col min="3342" max="3585" width="9" style="3166"/>
    <col min="3586" max="3586" width="5.33203125" style="3166" customWidth="1"/>
    <col min="3587" max="3587" width="33.77734375" style="3166" customWidth="1"/>
    <col min="3588" max="3588" width="31.109375" style="3166" customWidth="1"/>
    <col min="3589" max="3589" width="33.6640625" style="3166" customWidth="1"/>
    <col min="3590" max="3590" width="11.88671875" style="3166" customWidth="1"/>
    <col min="3591" max="3591" width="12.88671875" style="3166" customWidth="1"/>
    <col min="3592" max="3592" width="12.44140625" style="3166" customWidth="1"/>
    <col min="3593" max="3594" width="19" style="3166" customWidth="1"/>
    <col min="3595" max="3595" width="9" style="3166"/>
    <col min="3596" max="3596" width="12.6640625" style="3166" bestFit="1" customWidth="1"/>
    <col min="3597" max="3597" width="10.33203125" style="3166" bestFit="1" customWidth="1"/>
    <col min="3598" max="3841" width="9" style="3166"/>
    <col min="3842" max="3842" width="5.33203125" style="3166" customWidth="1"/>
    <col min="3843" max="3843" width="33.77734375" style="3166" customWidth="1"/>
    <col min="3844" max="3844" width="31.109375" style="3166" customWidth="1"/>
    <col min="3845" max="3845" width="33.6640625" style="3166" customWidth="1"/>
    <col min="3846" max="3846" width="11.88671875" style="3166" customWidth="1"/>
    <col min="3847" max="3847" width="12.88671875" style="3166" customWidth="1"/>
    <col min="3848" max="3848" width="12.44140625" style="3166" customWidth="1"/>
    <col min="3849" max="3850" width="19" style="3166" customWidth="1"/>
    <col min="3851" max="3851" width="9" style="3166"/>
    <col min="3852" max="3852" width="12.6640625" style="3166" bestFit="1" customWidth="1"/>
    <col min="3853" max="3853" width="10.33203125" style="3166" bestFit="1" customWidth="1"/>
    <col min="3854" max="4097" width="9" style="3166"/>
    <col min="4098" max="4098" width="5.33203125" style="3166" customWidth="1"/>
    <col min="4099" max="4099" width="33.77734375" style="3166" customWidth="1"/>
    <col min="4100" max="4100" width="31.109375" style="3166" customWidth="1"/>
    <col min="4101" max="4101" width="33.6640625" style="3166" customWidth="1"/>
    <col min="4102" max="4102" width="11.88671875" style="3166" customWidth="1"/>
    <col min="4103" max="4103" width="12.88671875" style="3166" customWidth="1"/>
    <col min="4104" max="4104" width="12.44140625" style="3166" customWidth="1"/>
    <col min="4105" max="4106" width="19" style="3166" customWidth="1"/>
    <col min="4107" max="4107" width="9" style="3166"/>
    <col min="4108" max="4108" width="12.6640625" style="3166" bestFit="1" customWidth="1"/>
    <col min="4109" max="4109" width="10.33203125" style="3166" bestFit="1" customWidth="1"/>
    <col min="4110" max="4353" width="9" style="3166"/>
    <col min="4354" max="4354" width="5.33203125" style="3166" customWidth="1"/>
    <col min="4355" max="4355" width="33.77734375" style="3166" customWidth="1"/>
    <col min="4356" max="4356" width="31.109375" style="3166" customWidth="1"/>
    <col min="4357" max="4357" width="33.6640625" style="3166" customWidth="1"/>
    <col min="4358" max="4358" width="11.88671875" style="3166" customWidth="1"/>
    <col min="4359" max="4359" width="12.88671875" style="3166" customWidth="1"/>
    <col min="4360" max="4360" width="12.44140625" style="3166" customWidth="1"/>
    <col min="4361" max="4362" width="19" style="3166" customWidth="1"/>
    <col min="4363" max="4363" width="9" style="3166"/>
    <col min="4364" max="4364" width="12.6640625" style="3166" bestFit="1" customWidth="1"/>
    <col min="4365" max="4365" width="10.33203125" style="3166" bestFit="1" customWidth="1"/>
    <col min="4366" max="4609" width="9" style="3166"/>
    <col min="4610" max="4610" width="5.33203125" style="3166" customWidth="1"/>
    <col min="4611" max="4611" width="33.77734375" style="3166" customWidth="1"/>
    <col min="4612" max="4612" width="31.109375" style="3166" customWidth="1"/>
    <col min="4613" max="4613" width="33.6640625" style="3166" customWidth="1"/>
    <col min="4614" max="4614" width="11.88671875" style="3166" customWidth="1"/>
    <col min="4615" max="4615" width="12.88671875" style="3166" customWidth="1"/>
    <col min="4616" max="4616" width="12.44140625" style="3166" customWidth="1"/>
    <col min="4617" max="4618" width="19" style="3166" customWidth="1"/>
    <col min="4619" max="4619" width="9" style="3166"/>
    <col min="4620" max="4620" width="12.6640625" style="3166" bestFit="1" customWidth="1"/>
    <col min="4621" max="4621" width="10.33203125" style="3166" bestFit="1" customWidth="1"/>
    <col min="4622" max="4865" width="9" style="3166"/>
    <col min="4866" max="4866" width="5.33203125" style="3166" customWidth="1"/>
    <col min="4867" max="4867" width="33.77734375" style="3166" customWidth="1"/>
    <col min="4868" max="4868" width="31.109375" style="3166" customWidth="1"/>
    <col min="4869" max="4869" width="33.6640625" style="3166" customWidth="1"/>
    <col min="4870" max="4870" width="11.88671875" style="3166" customWidth="1"/>
    <col min="4871" max="4871" width="12.88671875" style="3166" customWidth="1"/>
    <col min="4872" max="4872" width="12.44140625" style="3166" customWidth="1"/>
    <col min="4873" max="4874" width="19" style="3166" customWidth="1"/>
    <col min="4875" max="4875" width="9" style="3166"/>
    <col min="4876" max="4876" width="12.6640625" style="3166" bestFit="1" customWidth="1"/>
    <col min="4877" max="4877" width="10.33203125" style="3166" bestFit="1" customWidth="1"/>
    <col min="4878" max="5121" width="9" style="3166"/>
    <col min="5122" max="5122" width="5.33203125" style="3166" customWidth="1"/>
    <col min="5123" max="5123" width="33.77734375" style="3166" customWidth="1"/>
    <col min="5124" max="5124" width="31.109375" style="3166" customWidth="1"/>
    <col min="5125" max="5125" width="33.6640625" style="3166" customWidth="1"/>
    <col min="5126" max="5126" width="11.88671875" style="3166" customWidth="1"/>
    <col min="5127" max="5127" width="12.88671875" style="3166" customWidth="1"/>
    <col min="5128" max="5128" width="12.44140625" style="3166" customWidth="1"/>
    <col min="5129" max="5130" width="19" style="3166" customWidth="1"/>
    <col min="5131" max="5131" width="9" style="3166"/>
    <col min="5132" max="5132" width="12.6640625" style="3166" bestFit="1" customWidth="1"/>
    <col min="5133" max="5133" width="10.33203125" style="3166" bestFit="1" customWidth="1"/>
    <col min="5134" max="5377" width="9" style="3166"/>
    <col min="5378" max="5378" width="5.33203125" style="3166" customWidth="1"/>
    <col min="5379" max="5379" width="33.77734375" style="3166" customWidth="1"/>
    <col min="5380" max="5380" width="31.109375" style="3166" customWidth="1"/>
    <col min="5381" max="5381" width="33.6640625" style="3166" customWidth="1"/>
    <col min="5382" max="5382" width="11.88671875" style="3166" customWidth="1"/>
    <col min="5383" max="5383" width="12.88671875" style="3166" customWidth="1"/>
    <col min="5384" max="5384" width="12.44140625" style="3166" customWidth="1"/>
    <col min="5385" max="5386" width="19" style="3166" customWidth="1"/>
    <col min="5387" max="5387" width="9" style="3166"/>
    <col min="5388" max="5388" width="12.6640625" style="3166" bestFit="1" customWidth="1"/>
    <col min="5389" max="5389" width="10.33203125" style="3166" bestFit="1" customWidth="1"/>
    <col min="5390" max="5633" width="9" style="3166"/>
    <col min="5634" max="5634" width="5.33203125" style="3166" customWidth="1"/>
    <col min="5635" max="5635" width="33.77734375" style="3166" customWidth="1"/>
    <col min="5636" max="5636" width="31.109375" style="3166" customWidth="1"/>
    <col min="5637" max="5637" width="33.6640625" style="3166" customWidth="1"/>
    <col min="5638" max="5638" width="11.88671875" style="3166" customWidth="1"/>
    <col min="5639" max="5639" width="12.88671875" style="3166" customWidth="1"/>
    <col min="5640" max="5640" width="12.44140625" style="3166" customWidth="1"/>
    <col min="5641" max="5642" width="19" style="3166" customWidth="1"/>
    <col min="5643" max="5643" width="9" style="3166"/>
    <col min="5644" max="5644" width="12.6640625" style="3166" bestFit="1" customWidth="1"/>
    <col min="5645" max="5645" width="10.33203125" style="3166" bestFit="1" customWidth="1"/>
    <col min="5646" max="5889" width="9" style="3166"/>
    <col min="5890" max="5890" width="5.33203125" style="3166" customWidth="1"/>
    <col min="5891" max="5891" width="33.77734375" style="3166" customWidth="1"/>
    <col min="5892" max="5892" width="31.109375" style="3166" customWidth="1"/>
    <col min="5893" max="5893" width="33.6640625" style="3166" customWidth="1"/>
    <col min="5894" max="5894" width="11.88671875" style="3166" customWidth="1"/>
    <col min="5895" max="5895" width="12.88671875" style="3166" customWidth="1"/>
    <col min="5896" max="5896" width="12.44140625" style="3166" customWidth="1"/>
    <col min="5897" max="5898" width="19" style="3166" customWidth="1"/>
    <col min="5899" max="5899" width="9" style="3166"/>
    <col min="5900" max="5900" width="12.6640625" style="3166" bestFit="1" customWidth="1"/>
    <col min="5901" max="5901" width="10.33203125" style="3166" bestFit="1" customWidth="1"/>
    <col min="5902" max="6145" width="9" style="3166"/>
    <col min="6146" max="6146" width="5.33203125" style="3166" customWidth="1"/>
    <col min="6147" max="6147" width="33.77734375" style="3166" customWidth="1"/>
    <col min="6148" max="6148" width="31.109375" style="3166" customWidth="1"/>
    <col min="6149" max="6149" width="33.6640625" style="3166" customWidth="1"/>
    <col min="6150" max="6150" width="11.88671875" style="3166" customWidth="1"/>
    <col min="6151" max="6151" width="12.88671875" style="3166" customWidth="1"/>
    <col min="6152" max="6152" width="12.44140625" style="3166" customWidth="1"/>
    <col min="6153" max="6154" width="19" style="3166" customWidth="1"/>
    <col min="6155" max="6155" width="9" style="3166"/>
    <col min="6156" max="6156" width="12.6640625" style="3166" bestFit="1" customWidth="1"/>
    <col min="6157" max="6157" width="10.33203125" style="3166" bestFit="1" customWidth="1"/>
    <col min="6158" max="6401" width="9" style="3166"/>
    <col min="6402" max="6402" width="5.33203125" style="3166" customWidth="1"/>
    <col min="6403" max="6403" width="33.77734375" style="3166" customWidth="1"/>
    <col min="6404" max="6404" width="31.109375" style="3166" customWidth="1"/>
    <col min="6405" max="6405" width="33.6640625" style="3166" customWidth="1"/>
    <col min="6406" max="6406" width="11.88671875" style="3166" customWidth="1"/>
    <col min="6407" max="6407" width="12.88671875" style="3166" customWidth="1"/>
    <col min="6408" max="6408" width="12.44140625" style="3166" customWidth="1"/>
    <col min="6409" max="6410" width="19" style="3166" customWidth="1"/>
    <col min="6411" max="6411" width="9" style="3166"/>
    <col min="6412" max="6412" width="12.6640625" style="3166" bestFit="1" customWidth="1"/>
    <col min="6413" max="6413" width="10.33203125" style="3166" bestFit="1" customWidth="1"/>
    <col min="6414" max="6657" width="9" style="3166"/>
    <col min="6658" max="6658" width="5.33203125" style="3166" customWidth="1"/>
    <col min="6659" max="6659" width="33.77734375" style="3166" customWidth="1"/>
    <col min="6660" max="6660" width="31.109375" style="3166" customWidth="1"/>
    <col min="6661" max="6661" width="33.6640625" style="3166" customWidth="1"/>
    <col min="6662" max="6662" width="11.88671875" style="3166" customWidth="1"/>
    <col min="6663" max="6663" width="12.88671875" style="3166" customWidth="1"/>
    <col min="6664" max="6664" width="12.44140625" style="3166" customWidth="1"/>
    <col min="6665" max="6666" width="19" style="3166" customWidth="1"/>
    <col min="6667" max="6667" width="9" style="3166"/>
    <col min="6668" max="6668" width="12.6640625" style="3166" bestFit="1" customWidth="1"/>
    <col min="6669" max="6669" width="10.33203125" style="3166" bestFit="1" customWidth="1"/>
    <col min="6670" max="6913" width="9" style="3166"/>
    <col min="6914" max="6914" width="5.33203125" style="3166" customWidth="1"/>
    <col min="6915" max="6915" width="33.77734375" style="3166" customWidth="1"/>
    <col min="6916" max="6916" width="31.109375" style="3166" customWidth="1"/>
    <col min="6917" max="6917" width="33.6640625" style="3166" customWidth="1"/>
    <col min="6918" max="6918" width="11.88671875" style="3166" customWidth="1"/>
    <col min="6919" max="6919" width="12.88671875" style="3166" customWidth="1"/>
    <col min="6920" max="6920" width="12.44140625" style="3166" customWidth="1"/>
    <col min="6921" max="6922" width="19" style="3166" customWidth="1"/>
    <col min="6923" max="6923" width="9" style="3166"/>
    <col min="6924" max="6924" width="12.6640625" style="3166" bestFit="1" customWidth="1"/>
    <col min="6925" max="6925" width="10.33203125" style="3166" bestFit="1" customWidth="1"/>
    <col min="6926" max="7169" width="9" style="3166"/>
    <col min="7170" max="7170" width="5.33203125" style="3166" customWidth="1"/>
    <col min="7171" max="7171" width="33.77734375" style="3166" customWidth="1"/>
    <col min="7172" max="7172" width="31.109375" style="3166" customWidth="1"/>
    <col min="7173" max="7173" width="33.6640625" style="3166" customWidth="1"/>
    <col min="7174" max="7174" width="11.88671875" style="3166" customWidth="1"/>
    <col min="7175" max="7175" width="12.88671875" style="3166" customWidth="1"/>
    <col min="7176" max="7176" width="12.44140625" style="3166" customWidth="1"/>
    <col min="7177" max="7178" width="19" style="3166" customWidth="1"/>
    <col min="7179" max="7179" width="9" style="3166"/>
    <col min="7180" max="7180" width="12.6640625" style="3166" bestFit="1" customWidth="1"/>
    <col min="7181" max="7181" width="10.33203125" style="3166" bestFit="1" customWidth="1"/>
    <col min="7182" max="7425" width="9" style="3166"/>
    <col min="7426" max="7426" width="5.33203125" style="3166" customWidth="1"/>
    <col min="7427" max="7427" width="33.77734375" style="3166" customWidth="1"/>
    <col min="7428" max="7428" width="31.109375" style="3166" customWidth="1"/>
    <col min="7429" max="7429" width="33.6640625" style="3166" customWidth="1"/>
    <col min="7430" max="7430" width="11.88671875" style="3166" customWidth="1"/>
    <col min="7431" max="7431" width="12.88671875" style="3166" customWidth="1"/>
    <col min="7432" max="7432" width="12.44140625" style="3166" customWidth="1"/>
    <col min="7433" max="7434" width="19" style="3166" customWidth="1"/>
    <col min="7435" max="7435" width="9" style="3166"/>
    <col min="7436" max="7436" width="12.6640625" style="3166" bestFit="1" customWidth="1"/>
    <col min="7437" max="7437" width="10.33203125" style="3166" bestFit="1" customWidth="1"/>
    <col min="7438" max="7681" width="9" style="3166"/>
    <col min="7682" max="7682" width="5.33203125" style="3166" customWidth="1"/>
    <col min="7683" max="7683" width="33.77734375" style="3166" customWidth="1"/>
    <col min="7684" max="7684" width="31.109375" style="3166" customWidth="1"/>
    <col min="7685" max="7685" width="33.6640625" style="3166" customWidth="1"/>
    <col min="7686" max="7686" width="11.88671875" style="3166" customWidth="1"/>
    <col min="7687" max="7687" width="12.88671875" style="3166" customWidth="1"/>
    <col min="7688" max="7688" width="12.44140625" style="3166" customWidth="1"/>
    <col min="7689" max="7690" width="19" style="3166" customWidth="1"/>
    <col min="7691" max="7691" width="9" style="3166"/>
    <col min="7692" max="7692" width="12.6640625" style="3166" bestFit="1" customWidth="1"/>
    <col min="7693" max="7693" width="10.33203125" style="3166" bestFit="1" customWidth="1"/>
    <col min="7694" max="7937" width="9" style="3166"/>
    <col min="7938" max="7938" width="5.33203125" style="3166" customWidth="1"/>
    <col min="7939" max="7939" width="33.77734375" style="3166" customWidth="1"/>
    <col min="7940" max="7940" width="31.109375" style="3166" customWidth="1"/>
    <col min="7941" max="7941" width="33.6640625" style="3166" customWidth="1"/>
    <col min="7942" max="7942" width="11.88671875" style="3166" customWidth="1"/>
    <col min="7943" max="7943" width="12.88671875" style="3166" customWidth="1"/>
    <col min="7944" max="7944" width="12.44140625" style="3166" customWidth="1"/>
    <col min="7945" max="7946" width="19" style="3166" customWidth="1"/>
    <col min="7947" max="7947" width="9" style="3166"/>
    <col min="7948" max="7948" width="12.6640625" style="3166" bestFit="1" customWidth="1"/>
    <col min="7949" max="7949" width="10.33203125" style="3166" bestFit="1" customWidth="1"/>
    <col min="7950" max="8193" width="9" style="3166"/>
    <col min="8194" max="8194" width="5.33203125" style="3166" customWidth="1"/>
    <col min="8195" max="8195" width="33.77734375" style="3166" customWidth="1"/>
    <col min="8196" max="8196" width="31.109375" style="3166" customWidth="1"/>
    <col min="8197" max="8197" width="33.6640625" style="3166" customWidth="1"/>
    <col min="8198" max="8198" width="11.88671875" style="3166" customWidth="1"/>
    <col min="8199" max="8199" width="12.88671875" style="3166" customWidth="1"/>
    <col min="8200" max="8200" width="12.44140625" style="3166" customWidth="1"/>
    <col min="8201" max="8202" width="19" style="3166" customWidth="1"/>
    <col min="8203" max="8203" width="9" style="3166"/>
    <col min="8204" max="8204" width="12.6640625" style="3166" bestFit="1" customWidth="1"/>
    <col min="8205" max="8205" width="10.33203125" style="3166" bestFit="1" customWidth="1"/>
    <col min="8206" max="8449" width="9" style="3166"/>
    <col min="8450" max="8450" width="5.33203125" style="3166" customWidth="1"/>
    <col min="8451" max="8451" width="33.77734375" style="3166" customWidth="1"/>
    <col min="8452" max="8452" width="31.109375" style="3166" customWidth="1"/>
    <col min="8453" max="8453" width="33.6640625" style="3166" customWidth="1"/>
    <col min="8454" max="8454" width="11.88671875" style="3166" customWidth="1"/>
    <col min="8455" max="8455" width="12.88671875" style="3166" customWidth="1"/>
    <col min="8456" max="8456" width="12.44140625" style="3166" customWidth="1"/>
    <col min="8457" max="8458" width="19" style="3166" customWidth="1"/>
    <col min="8459" max="8459" width="9" style="3166"/>
    <col min="8460" max="8460" width="12.6640625" style="3166" bestFit="1" customWidth="1"/>
    <col min="8461" max="8461" width="10.33203125" style="3166" bestFit="1" customWidth="1"/>
    <col min="8462" max="8705" width="9" style="3166"/>
    <col min="8706" max="8706" width="5.33203125" style="3166" customWidth="1"/>
    <col min="8707" max="8707" width="33.77734375" style="3166" customWidth="1"/>
    <col min="8708" max="8708" width="31.109375" style="3166" customWidth="1"/>
    <col min="8709" max="8709" width="33.6640625" style="3166" customWidth="1"/>
    <col min="8710" max="8710" width="11.88671875" style="3166" customWidth="1"/>
    <col min="8711" max="8711" width="12.88671875" style="3166" customWidth="1"/>
    <col min="8712" max="8712" width="12.44140625" style="3166" customWidth="1"/>
    <col min="8713" max="8714" width="19" style="3166" customWidth="1"/>
    <col min="8715" max="8715" width="9" style="3166"/>
    <col min="8716" max="8716" width="12.6640625" style="3166" bestFit="1" customWidth="1"/>
    <col min="8717" max="8717" width="10.33203125" style="3166" bestFit="1" customWidth="1"/>
    <col min="8718" max="8961" width="9" style="3166"/>
    <col min="8962" max="8962" width="5.33203125" style="3166" customWidth="1"/>
    <col min="8963" max="8963" width="33.77734375" style="3166" customWidth="1"/>
    <col min="8964" max="8964" width="31.109375" style="3166" customWidth="1"/>
    <col min="8965" max="8965" width="33.6640625" style="3166" customWidth="1"/>
    <col min="8966" max="8966" width="11.88671875" style="3166" customWidth="1"/>
    <col min="8967" max="8967" width="12.88671875" style="3166" customWidth="1"/>
    <col min="8968" max="8968" width="12.44140625" style="3166" customWidth="1"/>
    <col min="8969" max="8970" width="19" style="3166" customWidth="1"/>
    <col min="8971" max="8971" width="9" style="3166"/>
    <col min="8972" max="8972" width="12.6640625" style="3166" bestFit="1" customWidth="1"/>
    <col min="8973" max="8973" width="10.33203125" style="3166" bestFit="1" customWidth="1"/>
    <col min="8974" max="9217" width="9" style="3166"/>
    <col min="9218" max="9218" width="5.33203125" style="3166" customWidth="1"/>
    <col min="9219" max="9219" width="33.77734375" style="3166" customWidth="1"/>
    <col min="9220" max="9220" width="31.109375" style="3166" customWidth="1"/>
    <col min="9221" max="9221" width="33.6640625" style="3166" customWidth="1"/>
    <col min="9222" max="9222" width="11.88671875" style="3166" customWidth="1"/>
    <col min="9223" max="9223" width="12.88671875" style="3166" customWidth="1"/>
    <col min="9224" max="9224" width="12.44140625" style="3166" customWidth="1"/>
    <col min="9225" max="9226" width="19" style="3166" customWidth="1"/>
    <col min="9227" max="9227" width="9" style="3166"/>
    <col min="9228" max="9228" width="12.6640625" style="3166" bestFit="1" customWidth="1"/>
    <col min="9229" max="9229" width="10.33203125" style="3166" bestFit="1" customWidth="1"/>
    <col min="9230" max="9473" width="9" style="3166"/>
    <col min="9474" max="9474" width="5.33203125" style="3166" customWidth="1"/>
    <col min="9475" max="9475" width="33.77734375" style="3166" customWidth="1"/>
    <col min="9476" max="9476" width="31.109375" style="3166" customWidth="1"/>
    <col min="9477" max="9477" width="33.6640625" style="3166" customWidth="1"/>
    <col min="9478" max="9478" width="11.88671875" style="3166" customWidth="1"/>
    <col min="9479" max="9479" width="12.88671875" style="3166" customWidth="1"/>
    <col min="9480" max="9480" width="12.44140625" style="3166" customWidth="1"/>
    <col min="9481" max="9482" width="19" style="3166" customWidth="1"/>
    <col min="9483" max="9483" width="9" style="3166"/>
    <col min="9484" max="9484" width="12.6640625" style="3166" bestFit="1" customWidth="1"/>
    <col min="9485" max="9485" width="10.33203125" style="3166" bestFit="1" customWidth="1"/>
    <col min="9486" max="9729" width="9" style="3166"/>
    <col min="9730" max="9730" width="5.33203125" style="3166" customWidth="1"/>
    <col min="9731" max="9731" width="33.77734375" style="3166" customWidth="1"/>
    <col min="9732" max="9732" width="31.109375" style="3166" customWidth="1"/>
    <col min="9733" max="9733" width="33.6640625" style="3166" customWidth="1"/>
    <col min="9734" max="9734" width="11.88671875" style="3166" customWidth="1"/>
    <col min="9735" max="9735" width="12.88671875" style="3166" customWidth="1"/>
    <col min="9736" max="9736" width="12.44140625" style="3166" customWidth="1"/>
    <col min="9737" max="9738" width="19" style="3166" customWidth="1"/>
    <col min="9739" max="9739" width="9" style="3166"/>
    <col min="9740" max="9740" width="12.6640625" style="3166" bestFit="1" customWidth="1"/>
    <col min="9741" max="9741" width="10.33203125" style="3166" bestFit="1" customWidth="1"/>
    <col min="9742" max="9985" width="9" style="3166"/>
    <col min="9986" max="9986" width="5.33203125" style="3166" customWidth="1"/>
    <col min="9987" max="9987" width="33.77734375" style="3166" customWidth="1"/>
    <col min="9988" max="9988" width="31.109375" style="3166" customWidth="1"/>
    <col min="9989" max="9989" width="33.6640625" style="3166" customWidth="1"/>
    <col min="9990" max="9990" width="11.88671875" style="3166" customWidth="1"/>
    <col min="9991" max="9991" width="12.88671875" style="3166" customWidth="1"/>
    <col min="9992" max="9992" width="12.44140625" style="3166" customWidth="1"/>
    <col min="9993" max="9994" width="19" style="3166" customWidth="1"/>
    <col min="9995" max="9995" width="9" style="3166"/>
    <col min="9996" max="9996" width="12.6640625" style="3166" bestFit="1" customWidth="1"/>
    <col min="9997" max="9997" width="10.33203125" style="3166" bestFit="1" customWidth="1"/>
    <col min="9998" max="10241" width="9" style="3166"/>
    <col min="10242" max="10242" width="5.33203125" style="3166" customWidth="1"/>
    <col min="10243" max="10243" width="33.77734375" style="3166" customWidth="1"/>
    <col min="10244" max="10244" width="31.109375" style="3166" customWidth="1"/>
    <col min="10245" max="10245" width="33.6640625" style="3166" customWidth="1"/>
    <col min="10246" max="10246" width="11.88671875" style="3166" customWidth="1"/>
    <col min="10247" max="10247" width="12.88671875" style="3166" customWidth="1"/>
    <col min="10248" max="10248" width="12.44140625" style="3166" customWidth="1"/>
    <col min="10249" max="10250" width="19" style="3166" customWidth="1"/>
    <col min="10251" max="10251" width="9" style="3166"/>
    <col min="10252" max="10252" width="12.6640625" style="3166" bestFit="1" customWidth="1"/>
    <col min="10253" max="10253" width="10.33203125" style="3166" bestFit="1" customWidth="1"/>
    <col min="10254" max="10497" width="9" style="3166"/>
    <col min="10498" max="10498" width="5.33203125" style="3166" customWidth="1"/>
    <col min="10499" max="10499" width="33.77734375" style="3166" customWidth="1"/>
    <col min="10500" max="10500" width="31.109375" style="3166" customWidth="1"/>
    <col min="10501" max="10501" width="33.6640625" style="3166" customWidth="1"/>
    <col min="10502" max="10502" width="11.88671875" style="3166" customWidth="1"/>
    <col min="10503" max="10503" width="12.88671875" style="3166" customWidth="1"/>
    <col min="10504" max="10504" width="12.44140625" style="3166" customWidth="1"/>
    <col min="10505" max="10506" width="19" style="3166" customWidth="1"/>
    <col min="10507" max="10507" width="9" style="3166"/>
    <col min="10508" max="10508" width="12.6640625" style="3166" bestFit="1" customWidth="1"/>
    <col min="10509" max="10509" width="10.33203125" style="3166" bestFit="1" customWidth="1"/>
    <col min="10510" max="10753" width="9" style="3166"/>
    <col min="10754" max="10754" width="5.33203125" style="3166" customWidth="1"/>
    <col min="10755" max="10755" width="33.77734375" style="3166" customWidth="1"/>
    <col min="10756" max="10756" width="31.109375" style="3166" customWidth="1"/>
    <col min="10757" max="10757" width="33.6640625" style="3166" customWidth="1"/>
    <col min="10758" max="10758" width="11.88671875" style="3166" customWidth="1"/>
    <col min="10759" max="10759" width="12.88671875" style="3166" customWidth="1"/>
    <col min="10760" max="10760" width="12.44140625" style="3166" customWidth="1"/>
    <col min="10761" max="10762" width="19" style="3166" customWidth="1"/>
    <col min="10763" max="10763" width="9" style="3166"/>
    <col min="10764" max="10764" width="12.6640625" style="3166" bestFit="1" customWidth="1"/>
    <col min="10765" max="10765" width="10.33203125" style="3166" bestFit="1" customWidth="1"/>
    <col min="10766" max="11009" width="9" style="3166"/>
    <col min="11010" max="11010" width="5.33203125" style="3166" customWidth="1"/>
    <col min="11011" max="11011" width="33.77734375" style="3166" customWidth="1"/>
    <col min="11012" max="11012" width="31.109375" style="3166" customWidth="1"/>
    <col min="11013" max="11013" width="33.6640625" style="3166" customWidth="1"/>
    <col min="11014" max="11014" width="11.88671875" style="3166" customWidth="1"/>
    <col min="11015" max="11015" width="12.88671875" style="3166" customWidth="1"/>
    <col min="11016" max="11016" width="12.44140625" style="3166" customWidth="1"/>
    <col min="11017" max="11018" width="19" style="3166" customWidth="1"/>
    <col min="11019" max="11019" width="9" style="3166"/>
    <col min="11020" max="11020" width="12.6640625" style="3166" bestFit="1" customWidth="1"/>
    <col min="11021" max="11021" width="10.33203125" style="3166" bestFit="1" customWidth="1"/>
    <col min="11022" max="11265" width="9" style="3166"/>
    <col min="11266" max="11266" width="5.33203125" style="3166" customWidth="1"/>
    <col min="11267" max="11267" width="33.77734375" style="3166" customWidth="1"/>
    <col min="11268" max="11268" width="31.109375" style="3166" customWidth="1"/>
    <col min="11269" max="11269" width="33.6640625" style="3166" customWidth="1"/>
    <col min="11270" max="11270" width="11.88671875" style="3166" customWidth="1"/>
    <col min="11271" max="11271" width="12.88671875" style="3166" customWidth="1"/>
    <col min="11272" max="11272" width="12.44140625" style="3166" customWidth="1"/>
    <col min="11273" max="11274" width="19" style="3166" customWidth="1"/>
    <col min="11275" max="11275" width="9" style="3166"/>
    <col min="11276" max="11276" width="12.6640625" style="3166" bestFit="1" customWidth="1"/>
    <col min="11277" max="11277" width="10.33203125" style="3166" bestFit="1" customWidth="1"/>
    <col min="11278" max="11521" width="9" style="3166"/>
    <col min="11522" max="11522" width="5.33203125" style="3166" customWidth="1"/>
    <col min="11523" max="11523" width="33.77734375" style="3166" customWidth="1"/>
    <col min="11524" max="11524" width="31.109375" style="3166" customWidth="1"/>
    <col min="11525" max="11525" width="33.6640625" style="3166" customWidth="1"/>
    <col min="11526" max="11526" width="11.88671875" style="3166" customWidth="1"/>
    <col min="11527" max="11527" width="12.88671875" style="3166" customWidth="1"/>
    <col min="11528" max="11528" width="12.44140625" style="3166" customWidth="1"/>
    <col min="11529" max="11530" width="19" style="3166" customWidth="1"/>
    <col min="11531" max="11531" width="9" style="3166"/>
    <col min="11532" max="11532" width="12.6640625" style="3166" bestFit="1" customWidth="1"/>
    <col min="11533" max="11533" width="10.33203125" style="3166" bestFit="1" customWidth="1"/>
    <col min="11534" max="11777" width="9" style="3166"/>
    <col min="11778" max="11778" width="5.33203125" style="3166" customWidth="1"/>
    <col min="11779" max="11779" width="33.77734375" style="3166" customWidth="1"/>
    <col min="11780" max="11780" width="31.109375" style="3166" customWidth="1"/>
    <col min="11781" max="11781" width="33.6640625" style="3166" customWidth="1"/>
    <col min="11782" max="11782" width="11.88671875" style="3166" customWidth="1"/>
    <col min="11783" max="11783" width="12.88671875" style="3166" customWidth="1"/>
    <col min="11784" max="11784" width="12.44140625" style="3166" customWidth="1"/>
    <col min="11785" max="11786" width="19" style="3166" customWidth="1"/>
    <col min="11787" max="11787" width="9" style="3166"/>
    <col min="11788" max="11788" width="12.6640625" style="3166" bestFit="1" customWidth="1"/>
    <col min="11789" max="11789" width="10.33203125" style="3166" bestFit="1" customWidth="1"/>
    <col min="11790" max="12033" width="9" style="3166"/>
    <col min="12034" max="12034" width="5.33203125" style="3166" customWidth="1"/>
    <col min="12035" max="12035" width="33.77734375" style="3166" customWidth="1"/>
    <col min="12036" max="12036" width="31.109375" style="3166" customWidth="1"/>
    <col min="12037" max="12037" width="33.6640625" style="3166" customWidth="1"/>
    <col min="12038" max="12038" width="11.88671875" style="3166" customWidth="1"/>
    <col min="12039" max="12039" width="12.88671875" style="3166" customWidth="1"/>
    <col min="12040" max="12040" width="12.44140625" style="3166" customWidth="1"/>
    <col min="12041" max="12042" width="19" style="3166" customWidth="1"/>
    <col min="12043" max="12043" width="9" style="3166"/>
    <col min="12044" max="12044" width="12.6640625" style="3166" bestFit="1" customWidth="1"/>
    <col min="12045" max="12045" width="10.33203125" style="3166" bestFit="1" customWidth="1"/>
    <col min="12046" max="12289" width="9" style="3166"/>
    <col min="12290" max="12290" width="5.33203125" style="3166" customWidth="1"/>
    <col min="12291" max="12291" width="33.77734375" style="3166" customWidth="1"/>
    <col min="12292" max="12292" width="31.109375" style="3166" customWidth="1"/>
    <col min="12293" max="12293" width="33.6640625" style="3166" customWidth="1"/>
    <col min="12294" max="12294" width="11.88671875" style="3166" customWidth="1"/>
    <col min="12295" max="12295" width="12.88671875" style="3166" customWidth="1"/>
    <col min="12296" max="12296" width="12.44140625" style="3166" customWidth="1"/>
    <col min="12297" max="12298" width="19" style="3166" customWidth="1"/>
    <col min="12299" max="12299" width="9" style="3166"/>
    <col min="12300" max="12300" width="12.6640625" style="3166" bestFit="1" customWidth="1"/>
    <col min="12301" max="12301" width="10.33203125" style="3166" bestFit="1" customWidth="1"/>
    <col min="12302" max="12545" width="9" style="3166"/>
    <col min="12546" max="12546" width="5.33203125" style="3166" customWidth="1"/>
    <col min="12547" max="12547" width="33.77734375" style="3166" customWidth="1"/>
    <col min="12548" max="12548" width="31.109375" style="3166" customWidth="1"/>
    <col min="12549" max="12549" width="33.6640625" style="3166" customWidth="1"/>
    <col min="12550" max="12550" width="11.88671875" style="3166" customWidth="1"/>
    <col min="12551" max="12551" width="12.88671875" style="3166" customWidth="1"/>
    <col min="12552" max="12552" width="12.44140625" style="3166" customWidth="1"/>
    <col min="12553" max="12554" width="19" style="3166" customWidth="1"/>
    <col min="12555" max="12555" width="9" style="3166"/>
    <col min="12556" max="12556" width="12.6640625" style="3166" bestFit="1" customWidth="1"/>
    <col min="12557" max="12557" width="10.33203125" style="3166" bestFit="1" customWidth="1"/>
    <col min="12558" max="12801" width="9" style="3166"/>
    <col min="12802" max="12802" width="5.33203125" style="3166" customWidth="1"/>
    <col min="12803" max="12803" width="33.77734375" style="3166" customWidth="1"/>
    <col min="12804" max="12804" width="31.109375" style="3166" customWidth="1"/>
    <col min="12805" max="12805" width="33.6640625" style="3166" customWidth="1"/>
    <col min="12806" max="12806" width="11.88671875" style="3166" customWidth="1"/>
    <col min="12807" max="12807" width="12.88671875" style="3166" customWidth="1"/>
    <col min="12808" max="12808" width="12.44140625" style="3166" customWidth="1"/>
    <col min="12809" max="12810" width="19" style="3166" customWidth="1"/>
    <col min="12811" max="12811" width="9" style="3166"/>
    <col min="12812" max="12812" width="12.6640625" style="3166" bestFit="1" customWidth="1"/>
    <col min="12813" max="12813" width="10.33203125" style="3166" bestFit="1" customWidth="1"/>
    <col min="12814" max="13057" width="9" style="3166"/>
    <col min="13058" max="13058" width="5.33203125" style="3166" customWidth="1"/>
    <col min="13059" max="13059" width="33.77734375" style="3166" customWidth="1"/>
    <col min="13060" max="13060" width="31.109375" style="3166" customWidth="1"/>
    <col min="13061" max="13061" width="33.6640625" style="3166" customWidth="1"/>
    <col min="13062" max="13062" width="11.88671875" style="3166" customWidth="1"/>
    <col min="13063" max="13063" width="12.88671875" style="3166" customWidth="1"/>
    <col min="13064" max="13064" width="12.44140625" style="3166" customWidth="1"/>
    <col min="13065" max="13066" width="19" style="3166" customWidth="1"/>
    <col min="13067" max="13067" width="9" style="3166"/>
    <col min="13068" max="13068" width="12.6640625" style="3166" bestFit="1" customWidth="1"/>
    <col min="13069" max="13069" width="10.33203125" style="3166" bestFit="1" customWidth="1"/>
    <col min="13070" max="13313" width="9" style="3166"/>
    <col min="13314" max="13314" width="5.33203125" style="3166" customWidth="1"/>
    <col min="13315" max="13315" width="33.77734375" style="3166" customWidth="1"/>
    <col min="13316" max="13316" width="31.109375" style="3166" customWidth="1"/>
    <col min="13317" max="13317" width="33.6640625" style="3166" customWidth="1"/>
    <col min="13318" max="13318" width="11.88671875" style="3166" customWidth="1"/>
    <col min="13319" max="13319" width="12.88671875" style="3166" customWidth="1"/>
    <col min="13320" max="13320" width="12.44140625" style="3166" customWidth="1"/>
    <col min="13321" max="13322" width="19" style="3166" customWidth="1"/>
    <col min="13323" max="13323" width="9" style="3166"/>
    <col min="13324" max="13324" width="12.6640625" style="3166" bestFit="1" customWidth="1"/>
    <col min="13325" max="13325" width="10.33203125" style="3166" bestFit="1" customWidth="1"/>
    <col min="13326" max="13569" width="9" style="3166"/>
    <col min="13570" max="13570" width="5.33203125" style="3166" customWidth="1"/>
    <col min="13571" max="13571" width="33.77734375" style="3166" customWidth="1"/>
    <col min="13572" max="13572" width="31.109375" style="3166" customWidth="1"/>
    <col min="13573" max="13573" width="33.6640625" style="3166" customWidth="1"/>
    <col min="13574" max="13574" width="11.88671875" style="3166" customWidth="1"/>
    <col min="13575" max="13575" width="12.88671875" style="3166" customWidth="1"/>
    <col min="13576" max="13576" width="12.44140625" style="3166" customWidth="1"/>
    <col min="13577" max="13578" width="19" style="3166" customWidth="1"/>
    <col min="13579" max="13579" width="9" style="3166"/>
    <col min="13580" max="13580" width="12.6640625" style="3166" bestFit="1" customWidth="1"/>
    <col min="13581" max="13581" width="10.33203125" style="3166" bestFit="1" customWidth="1"/>
    <col min="13582" max="13825" width="9" style="3166"/>
    <col min="13826" max="13826" width="5.33203125" style="3166" customWidth="1"/>
    <col min="13827" max="13827" width="33.77734375" style="3166" customWidth="1"/>
    <col min="13828" max="13828" width="31.109375" style="3166" customWidth="1"/>
    <col min="13829" max="13829" width="33.6640625" style="3166" customWidth="1"/>
    <col min="13830" max="13830" width="11.88671875" style="3166" customWidth="1"/>
    <col min="13831" max="13831" width="12.88671875" style="3166" customWidth="1"/>
    <col min="13832" max="13832" width="12.44140625" style="3166" customWidth="1"/>
    <col min="13833" max="13834" width="19" style="3166" customWidth="1"/>
    <col min="13835" max="13835" width="9" style="3166"/>
    <col min="13836" max="13836" width="12.6640625" style="3166" bestFit="1" customWidth="1"/>
    <col min="13837" max="13837" width="10.33203125" style="3166" bestFit="1" customWidth="1"/>
    <col min="13838" max="14081" width="9" style="3166"/>
    <col min="14082" max="14082" width="5.33203125" style="3166" customWidth="1"/>
    <col min="14083" max="14083" width="33.77734375" style="3166" customWidth="1"/>
    <col min="14084" max="14084" width="31.109375" style="3166" customWidth="1"/>
    <col min="14085" max="14085" width="33.6640625" style="3166" customWidth="1"/>
    <col min="14086" max="14086" width="11.88671875" style="3166" customWidth="1"/>
    <col min="14087" max="14087" width="12.88671875" style="3166" customWidth="1"/>
    <col min="14088" max="14088" width="12.44140625" style="3166" customWidth="1"/>
    <col min="14089" max="14090" width="19" style="3166" customWidth="1"/>
    <col min="14091" max="14091" width="9" style="3166"/>
    <col min="14092" max="14092" width="12.6640625" style="3166" bestFit="1" customWidth="1"/>
    <col min="14093" max="14093" width="10.33203125" style="3166" bestFit="1" customWidth="1"/>
    <col min="14094" max="14337" width="9" style="3166"/>
    <col min="14338" max="14338" width="5.33203125" style="3166" customWidth="1"/>
    <col min="14339" max="14339" width="33.77734375" style="3166" customWidth="1"/>
    <col min="14340" max="14340" width="31.109375" style="3166" customWidth="1"/>
    <col min="14341" max="14341" width="33.6640625" style="3166" customWidth="1"/>
    <col min="14342" max="14342" width="11.88671875" style="3166" customWidth="1"/>
    <col min="14343" max="14343" width="12.88671875" style="3166" customWidth="1"/>
    <col min="14344" max="14344" width="12.44140625" style="3166" customWidth="1"/>
    <col min="14345" max="14346" width="19" style="3166" customWidth="1"/>
    <col min="14347" max="14347" width="9" style="3166"/>
    <col min="14348" max="14348" width="12.6640625" style="3166" bestFit="1" customWidth="1"/>
    <col min="14349" max="14349" width="10.33203125" style="3166" bestFit="1" customWidth="1"/>
    <col min="14350" max="14593" width="9" style="3166"/>
    <col min="14594" max="14594" width="5.33203125" style="3166" customWidth="1"/>
    <col min="14595" max="14595" width="33.77734375" style="3166" customWidth="1"/>
    <col min="14596" max="14596" width="31.109375" style="3166" customWidth="1"/>
    <col min="14597" max="14597" width="33.6640625" style="3166" customWidth="1"/>
    <col min="14598" max="14598" width="11.88671875" style="3166" customWidth="1"/>
    <col min="14599" max="14599" width="12.88671875" style="3166" customWidth="1"/>
    <col min="14600" max="14600" width="12.44140625" style="3166" customWidth="1"/>
    <col min="14601" max="14602" width="19" style="3166" customWidth="1"/>
    <col min="14603" max="14603" width="9" style="3166"/>
    <col min="14604" max="14604" width="12.6640625" style="3166" bestFit="1" customWidth="1"/>
    <col min="14605" max="14605" width="10.33203125" style="3166" bestFit="1" customWidth="1"/>
    <col min="14606" max="14849" width="9" style="3166"/>
    <col min="14850" max="14850" width="5.33203125" style="3166" customWidth="1"/>
    <col min="14851" max="14851" width="33.77734375" style="3166" customWidth="1"/>
    <col min="14852" max="14852" width="31.109375" style="3166" customWidth="1"/>
    <col min="14853" max="14853" width="33.6640625" style="3166" customWidth="1"/>
    <col min="14854" max="14854" width="11.88671875" style="3166" customWidth="1"/>
    <col min="14855" max="14855" width="12.88671875" style="3166" customWidth="1"/>
    <col min="14856" max="14856" width="12.44140625" style="3166" customWidth="1"/>
    <col min="14857" max="14858" width="19" style="3166" customWidth="1"/>
    <col min="14859" max="14859" width="9" style="3166"/>
    <col min="14860" max="14860" width="12.6640625" style="3166" bestFit="1" customWidth="1"/>
    <col min="14861" max="14861" width="10.33203125" style="3166" bestFit="1" customWidth="1"/>
    <col min="14862" max="15105" width="9" style="3166"/>
    <col min="15106" max="15106" width="5.33203125" style="3166" customWidth="1"/>
    <col min="15107" max="15107" width="33.77734375" style="3166" customWidth="1"/>
    <col min="15108" max="15108" width="31.109375" style="3166" customWidth="1"/>
    <col min="15109" max="15109" width="33.6640625" style="3166" customWidth="1"/>
    <col min="15110" max="15110" width="11.88671875" style="3166" customWidth="1"/>
    <col min="15111" max="15111" width="12.88671875" style="3166" customWidth="1"/>
    <col min="15112" max="15112" width="12.44140625" style="3166" customWidth="1"/>
    <col min="15113" max="15114" width="19" style="3166" customWidth="1"/>
    <col min="15115" max="15115" width="9" style="3166"/>
    <col min="15116" max="15116" width="12.6640625" style="3166" bestFit="1" customWidth="1"/>
    <col min="15117" max="15117" width="10.33203125" style="3166" bestFit="1" customWidth="1"/>
    <col min="15118" max="15361" width="9" style="3166"/>
    <col min="15362" max="15362" width="5.33203125" style="3166" customWidth="1"/>
    <col min="15363" max="15363" width="33.77734375" style="3166" customWidth="1"/>
    <col min="15364" max="15364" width="31.109375" style="3166" customWidth="1"/>
    <col min="15365" max="15365" width="33.6640625" style="3166" customWidth="1"/>
    <col min="15366" max="15366" width="11.88671875" style="3166" customWidth="1"/>
    <col min="15367" max="15367" width="12.88671875" style="3166" customWidth="1"/>
    <col min="15368" max="15368" width="12.44140625" style="3166" customWidth="1"/>
    <col min="15369" max="15370" width="19" style="3166" customWidth="1"/>
    <col min="15371" max="15371" width="9" style="3166"/>
    <col min="15372" max="15372" width="12.6640625" style="3166" bestFit="1" customWidth="1"/>
    <col min="15373" max="15373" width="10.33203125" style="3166" bestFit="1" customWidth="1"/>
    <col min="15374" max="15617" width="9" style="3166"/>
    <col min="15618" max="15618" width="5.33203125" style="3166" customWidth="1"/>
    <col min="15619" max="15619" width="33.77734375" style="3166" customWidth="1"/>
    <col min="15620" max="15620" width="31.109375" style="3166" customWidth="1"/>
    <col min="15621" max="15621" width="33.6640625" style="3166" customWidth="1"/>
    <col min="15622" max="15622" width="11.88671875" style="3166" customWidth="1"/>
    <col min="15623" max="15623" width="12.88671875" style="3166" customWidth="1"/>
    <col min="15624" max="15624" width="12.44140625" style="3166" customWidth="1"/>
    <col min="15625" max="15626" width="19" style="3166" customWidth="1"/>
    <col min="15627" max="15627" width="9" style="3166"/>
    <col min="15628" max="15628" width="12.6640625" style="3166" bestFit="1" customWidth="1"/>
    <col min="15629" max="15629" width="10.33203125" style="3166" bestFit="1" customWidth="1"/>
    <col min="15630" max="15873" width="9" style="3166"/>
    <col min="15874" max="15874" width="5.33203125" style="3166" customWidth="1"/>
    <col min="15875" max="15875" width="33.77734375" style="3166" customWidth="1"/>
    <col min="15876" max="15876" width="31.109375" style="3166" customWidth="1"/>
    <col min="15877" max="15877" width="33.6640625" style="3166" customWidth="1"/>
    <col min="15878" max="15878" width="11.88671875" style="3166" customWidth="1"/>
    <col min="15879" max="15879" width="12.88671875" style="3166" customWidth="1"/>
    <col min="15880" max="15880" width="12.44140625" style="3166" customWidth="1"/>
    <col min="15881" max="15882" width="19" style="3166" customWidth="1"/>
    <col min="15883" max="15883" width="9" style="3166"/>
    <col min="15884" max="15884" width="12.6640625" style="3166" bestFit="1" customWidth="1"/>
    <col min="15885" max="15885" width="10.33203125" style="3166" bestFit="1" customWidth="1"/>
    <col min="15886" max="16129" width="9" style="3166"/>
    <col min="16130" max="16130" width="5.33203125" style="3166" customWidth="1"/>
    <col min="16131" max="16131" width="33.77734375" style="3166" customWidth="1"/>
    <col min="16132" max="16132" width="31.109375" style="3166" customWidth="1"/>
    <col min="16133" max="16133" width="33.6640625" style="3166" customWidth="1"/>
    <col min="16134" max="16134" width="11.88671875" style="3166" customWidth="1"/>
    <col min="16135" max="16135" width="12.88671875" style="3166" customWidth="1"/>
    <col min="16136" max="16136" width="12.44140625" style="3166" customWidth="1"/>
    <col min="16137" max="16138" width="19" style="3166" customWidth="1"/>
    <col min="16139" max="16139" width="9" style="3166"/>
    <col min="16140" max="16140" width="12.6640625" style="3166" bestFit="1" customWidth="1"/>
    <col min="16141" max="16141" width="10.33203125" style="3166" bestFit="1" customWidth="1"/>
    <col min="16142" max="16384" width="9" style="3166"/>
  </cols>
  <sheetData>
    <row r="1" spans="1:17" ht="22.2">
      <c r="A1" s="3278"/>
      <c r="B1" s="3279"/>
      <c r="C1" s="3279"/>
      <c r="D1" s="3279"/>
      <c r="E1" s="3279"/>
      <c r="F1" s="3279"/>
      <c r="G1" s="3279"/>
      <c r="H1" s="3165"/>
    </row>
    <row r="2" spans="1:17">
      <c r="A2" s="3167" t="s">
        <v>1995</v>
      </c>
      <c r="B2" s="3167" t="s">
        <v>2782</v>
      </c>
      <c r="C2" s="3161" t="s">
        <v>2783</v>
      </c>
      <c r="D2" s="3161" t="s">
        <v>2784</v>
      </c>
      <c r="E2" s="3161" t="s">
        <v>2785</v>
      </c>
      <c r="F2" s="3161" t="s">
        <v>463</v>
      </c>
      <c r="G2" s="3168" t="s">
        <v>2857</v>
      </c>
      <c r="H2" s="3168" t="s">
        <v>2874</v>
      </c>
      <c r="I2" s="3168" t="s">
        <v>2786</v>
      </c>
      <c r="J2" s="3168" t="s">
        <v>2787</v>
      </c>
      <c r="L2" s="3166" t="s">
        <v>2788</v>
      </c>
      <c r="M2" s="3168" t="s">
        <v>2873</v>
      </c>
      <c r="P2" s="3166" t="s">
        <v>2914</v>
      </c>
      <c r="Q2" s="3166" t="s">
        <v>2915</v>
      </c>
    </row>
    <row r="3" spans="1:17" s="3182" customFormat="1">
      <c r="A3" s="3178">
        <v>1</v>
      </c>
      <c r="B3" s="3169" t="s">
        <v>2789</v>
      </c>
      <c r="C3" s="3179" t="s">
        <v>2790</v>
      </c>
      <c r="D3" s="3179" t="s">
        <v>2791</v>
      </c>
      <c r="E3" s="3163">
        <v>45694</v>
      </c>
      <c r="F3" s="3179">
        <v>261.08</v>
      </c>
      <c r="G3" s="3180" t="s">
        <v>2858</v>
      </c>
      <c r="H3" s="3180" t="s">
        <v>2792</v>
      </c>
      <c r="I3" s="3180" t="s">
        <v>2860</v>
      </c>
      <c r="J3" s="3180"/>
      <c r="K3" s="3166" t="s">
        <v>2792</v>
      </c>
      <c r="L3" s="3166">
        <v>27000</v>
      </c>
      <c r="M3" s="3181">
        <f>F3*L3/10000</f>
        <v>704.91600000000005</v>
      </c>
      <c r="P3" s="3182">
        <f ca="1">结果表!G20</f>
        <v>31441</v>
      </c>
      <c r="Q3" s="3186">
        <f ca="1">P3*F3/10000</f>
        <v>820.86162799999988</v>
      </c>
    </row>
    <row r="4" spans="1:17">
      <c r="A4" s="3169">
        <v>2</v>
      </c>
      <c r="B4" s="3169" t="s">
        <v>2789</v>
      </c>
      <c r="C4" s="3162" t="s">
        <v>2793</v>
      </c>
      <c r="D4" s="3162" t="s">
        <v>2794</v>
      </c>
      <c r="E4" s="3163">
        <v>45716</v>
      </c>
      <c r="F4" s="3162">
        <v>211.94</v>
      </c>
      <c r="G4" s="3168" t="s">
        <v>2858</v>
      </c>
      <c r="H4" s="3168" t="s">
        <v>2792</v>
      </c>
      <c r="I4" s="3168" t="s">
        <v>2861</v>
      </c>
      <c r="J4" s="3168" t="s">
        <v>2795</v>
      </c>
      <c r="K4" s="3166" t="s">
        <v>2792</v>
      </c>
      <c r="L4" s="3166">
        <f>L3</f>
        <v>27000</v>
      </c>
      <c r="M4" s="3172">
        <f>F4*L4/10000</f>
        <v>572.23800000000006</v>
      </c>
    </row>
    <row r="5" spans="1:17" hidden="1">
      <c r="A5" s="3169">
        <v>3</v>
      </c>
      <c r="B5" s="3169" t="s">
        <v>2789</v>
      </c>
      <c r="C5" s="3162" t="s">
        <v>2796</v>
      </c>
      <c r="D5" s="3162" t="s">
        <v>2797</v>
      </c>
      <c r="E5" s="3163">
        <v>45696</v>
      </c>
      <c r="F5" s="3162">
        <v>166.53</v>
      </c>
      <c r="G5" s="3168" t="s">
        <v>2859</v>
      </c>
      <c r="H5" s="3168"/>
      <c r="I5" s="3168" t="s">
        <v>2862</v>
      </c>
      <c r="J5" s="3168" t="s">
        <v>2855</v>
      </c>
      <c r="M5" s="3168"/>
      <c r="P5" s="3166">
        <v>27670</v>
      </c>
    </row>
    <row r="6" spans="1:17" hidden="1">
      <c r="A6" s="3169">
        <v>4</v>
      </c>
      <c r="B6" s="3169" t="s">
        <v>2789</v>
      </c>
      <c r="C6" s="3162" t="s">
        <v>2798</v>
      </c>
      <c r="D6" s="3162" t="s">
        <v>2799</v>
      </c>
      <c r="E6" s="3163">
        <v>45695</v>
      </c>
      <c r="F6" s="3162">
        <v>189.43</v>
      </c>
      <c r="G6" s="3168" t="s">
        <v>2859</v>
      </c>
      <c r="H6" s="3168"/>
      <c r="I6" s="3168" t="s">
        <v>2800</v>
      </c>
      <c r="J6" s="3168" t="s">
        <v>2795</v>
      </c>
      <c r="M6" s="3168"/>
      <c r="P6" s="3166">
        <v>32880</v>
      </c>
    </row>
    <row r="7" spans="1:17" hidden="1">
      <c r="A7" s="3169">
        <v>5</v>
      </c>
      <c r="B7" s="3169" t="s">
        <v>2789</v>
      </c>
      <c r="C7" s="3162" t="s">
        <v>2801</v>
      </c>
      <c r="D7" s="3162" t="s">
        <v>2802</v>
      </c>
      <c r="E7" s="3163">
        <v>45696</v>
      </c>
      <c r="F7" s="3162">
        <v>230.28</v>
      </c>
      <c r="G7" s="3168" t="s">
        <v>2859</v>
      </c>
      <c r="H7" s="3168"/>
      <c r="I7" s="3168" t="s">
        <v>2803</v>
      </c>
      <c r="J7" s="3168" t="s">
        <v>2795</v>
      </c>
      <c r="M7" s="3168"/>
      <c r="P7" s="3166">
        <v>31736</v>
      </c>
    </row>
    <row r="8" spans="1:17" hidden="1">
      <c r="A8" s="3169">
        <v>6</v>
      </c>
      <c r="B8" s="3169" t="s">
        <v>2789</v>
      </c>
      <c r="C8" s="3162" t="s">
        <v>2804</v>
      </c>
      <c r="D8" s="3162" t="s">
        <v>2805</v>
      </c>
      <c r="E8" s="3163">
        <v>45702</v>
      </c>
      <c r="F8" s="3162">
        <v>140.07</v>
      </c>
      <c r="G8" s="3168" t="s">
        <v>2859</v>
      </c>
      <c r="H8" s="3168"/>
      <c r="I8" s="3168" t="s">
        <v>2803</v>
      </c>
      <c r="J8" s="3168" t="s">
        <v>2795</v>
      </c>
      <c r="M8" s="3168"/>
      <c r="P8" s="3166">
        <v>27753</v>
      </c>
    </row>
    <row r="9" spans="1:17">
      <c r="A9" s="3169">
        <v>7</v>
      </c>
      <c r="B9" s="3169" t="s">
        <v>2789</v>
      </c>
      <c r="C9" s="3162" t="s">
        <v>2806</v>
      </c>
      <c r="D9" s="3162" t="s">
        <v>2807</v>
      </c>
      <c r="E9" s="3163">
        <v>45696</v>
      </c>
      <c r="F9" s="3162">
        <v>220.07</v>
      </c>
      <c r="G9" s="3168" t="s">
        <v>2858</v>
      </c>
      <c r="H9" s="3168" t="s">
        <v>2792</v>
      </c>
      <c r="I9" s="3168" t="s">
        <v>2803</v>
      </c>
      <c r="J9" s="3168" t="s">
        <v>2795</v>
      </c>
      <c r="K9" s="3166" t="s">
        <v>2792</v>
      </c>
      <c r="L9" s="3166">
        <f>L3</f>
        <v>27000</v>
      </c>
      <c r="M9" s="3172">
        <f>F9*L9/10000</f>
        <v>594.18899999999996</v>
      </c>
    </row>
    <row r="10" spans="1:17">
      <c r="A10" s="3169">
        <v>8</v>
      </c>
      <c r="B10" s="3169" t="s">
        <v>2789</v>
      </c>
      <c r="C10" s="3162" t="s">
        <v>2808</v>
      </c>
      <c r="D10" s="3162" t="s">
        <v>2809</v>
      </c>
      <c r="E10" s="3163">
        <v>45696</v>
      </c>
      <c r="F10" s="3162">
        <v>177.63</v>
      </c>
      <c r="G10" s="3168" t="s">
        <v>2858</v>
      </c>
      <c r="H10" s="3168" t="s">
        <v>2792</v>
      </c>
      <c r="I10" s="3168" t="s">
        <v>2868</v>
      </c>
      <c r="J10" s="3168" t="s">
        <v>2855</v>
      </c>
      <c r="K10" s="3166" t="s">
        <v>2792</v>
      </c>
      <c r="L10" s="3166">
        <f>L3</f>
        <v>27000</v>
      </c>
      <c r="M10" s="3172">
        <f>F10*L10/10000</f>
        <v>479.601</v>
      </c>
    </row>
    <row r="11" spans="1:17">
      <c r="A11" s="3169">
        <v>9</v>
      </c>
      <c r="B11" s="3169" t="s">
        <v>2789</v>
      </c>
      <c r="C11" s="3162" t="s">
        <v>2810</v>
      </c>
      <c r="D11" s="3162" t="s">
        <v>2811</v>
      </c>
      <c r="E11" s="3163">
        <v>45696</v>
      </c>
      <c r="F11" s="3162">
        <v>232.58</v>
      </c>
      <c r="G11" s="3168" t="s">
        <v>2858</v>
      </c>
      <c r="H11" s="3168" t="s">
        <v>2792</v>
      </c>
      <c r="I11" s="3168" t="s">
        <v>2867</v>
      </c>
      <c r="J11" s="3168" t="s">
        <v>2795</v>
      </c>
      <c r="K11" s="3166" t="s">
        <v>2792</v>
      </c>
      <c r="L11" s="3166">
        <f>L3</f>
        <v>27000</v>
      </c>
      <c r="M11" s="3172">
        <f>F11*L11/10000</f>
        <v>627.96600000000001</v>
      </c>
    </row>
    <row r="12" spans="1:17" hidden="1">
      <c r="A12" s="3169">
        <v>10</v>
      </c>
      <c r="B12" s="3169" t="s">
        <v>2789</v>
      </c>
      <c r="C12" s="3162" t="s">
        <v>2812</v>
      </c>
      <c r="D12" s="3162" t="s">
        <v>2813</v>
      </c>
      <c r="E12" s="3163">
        <v>45696</v>
      </c>
      <c r="F12" s="3162">
        <v>413.28</v>
      </c>
      <c r="G12" s="3168" t="s">
        <v>2859</v>
      </c>
      <c r="H12" s="3168"/>
      <c r="I12" s="3168" t="s">
        <v>2866</v>
      </c>
      <c r="J12" s="3168" t="s">
        <v>2795</v>
      </c>
      <c r="M12" s="3168"/>
    </row>
    <row r="13" spans="1:17">
      <c r="A13" s="3169">
        <v>11</v>
      </c>
      <c r="B13" s="3169" t="s">
        <v>2789</v>
      </c>
      <c r="C13" s="3162" t="s">
        <v>2814</v>
      </c>
      <c r="D13" s="3162" t="s">
        <v>2815</v>
      </c>
      <c r="E13" s="3163">
        <v>45696</v>
      </c>
      <c r="F13" s="3162">
        <v>161.77000000000001</v>
      </c>
      <c r="G13" s="3168" t="s">
        <v>2858</v>
      </c>
      <c r="H13" s="3168" t="s">
        <v>2816</v>
      </c>
      <c r="I13" s="3168" t="s">
        <v>2869</v>
      </c>
      <c r="J13" s="3168" t="s">
        <v>2856</v>
      </c>
      <c r="K13" s="3166" t="s">
        <v>2816</v>
      </c>
      <c r="L13" s="3166">
        <v>33000</v>
      </c>
      <c r="M13" s="3172">
        <f>F13*L13/10000</f>
        <v>533.84100000000001</v>
      </c>
    </row>
    <row r="14" spans="1:17">
      <c r="A14" s="3169">
        <v>12</v>
      </c>
      <c r="B14" s="3169" t="s">
        <v>2789</v>
      </c>
      <c r="C14" s="3162" t="s">
        <v>2817</v>
      </c>
      <c r="D14" s="3162" t="s">
        <v>2818</v>
      </c>
      <c r="E14" s="3163">
        <v>45696</v>
      </c>
      <c r="F14" s="3162">
        <v>180.8</v>
      </c>
      <c r="G14" s="3168" t="s">
        <v>2858</v>
      </c>
      <c r="H14" s="3168" t="s">
        <v>2816</v>
      </c>
      <c r="I14" s="3168" t="s">
        <v>2865</v>
      </c>
      <c r="J14" s="3168" t="s">
        <v>2856</v>
      </c>
      <c r="K14" s="3166" t="s">
        <v>2816</v>
      </c>
      <c r="L14" s="3166">
        <f>L13</f>
        <v>33000</v>
      </c>
      <c r="M14" s="3172">
        <f>F14*L14/10000</f>
        <v>596.64</v>
      </c>
    </row>
    <row r="15" spans="1:17">
      <c r="A15" s="3169">
        <v>13</v>
      </c>
      <c r="B15" s="3169" t="s">
        <v>2789</v>
      </c>
      <c r="C15" s="3162" t="s">
        <v>2819</v>
      </c>
      <c r="D15" s="3162" t="s">
        <v>2820</v>
      </c>
      <c r="E15" s="3163">
        <v>45696</v>
      </c>
      <c r="F15" s="3162">
        <v>165.09</v>
      </c>
      <c r="G15" s="3168" t="s">
        <v>2858</v>
      </c>
      <c r="H15" s="3168" t="s">
        <v>2816</v>
      </c>
      <c r="I15" s="3168" t="s">
        <v>2864</v>
      </c>
      <c r="J15" s="3168"/>
      <c r="K15" s="3166" t="s">
        <v>2816</v>
      </c>
      <c r="L15" s="3166">
        <f>L13</f>
        <v>33000</v>
      </c>
      <c r="M15" s="3172">
        <f>F15*L15/10000</f>
        <v>544.79700000000003</v>
      </c>
    </row>
    <row r="16" spans="1:17" hidden="1">
      <c r="A16" s="3169">
        <v>14</v>
      </c>
      <c r="B16" s="3169" t="s">
        <v>2789</v>
      </c>
      <c r="C16" s="3162" t="s">
        <v>2822</v>
      </c>
      <c r="D16" s="3162" t="s">
        <v>2823</v>
      </c>
      <c r="E16" s="3163">
        <v>45696</v>
      </c>
      <c r="F16" s="3162">
        <v>116.46</v>
      </c>
      <c r="G16" s="3168" t="s">
        <v>2859</v>
      </c>
      <c r="H16" s="3168"/>
      <c r="I16" s="3168" t="s">
        <v>2863</v>
      </c>
      <c r="J16" s="3168"/>
      <c r="M16" s="3168"/>
    </row>
    <row r="17" spans="1:17">
      <c r="A17" s="3169">
        <v>15</v>
      </c>
      <c r="B17" s="3169" t="s">
        <v>2789</v>
      </c>
      <c r="C17" s="3162" t="s">
        <v>2824</v>
      </c>
      <c r="D17" s="3162" t="s">
        <v>2825</v>
      </c>
      <c r="E17" s="3163">
        <v>45696</v>
      </c>
      <c r="F17" s="3162">
        <v>277.02999999999997</v>
      </c>
      <c r="G17" s="3168" t="s">
        <v>2858</v>
      </c>
      <c r="H17" s="3168" t="s">
        <v>2826</v>
      </c>
      <c r="I17" s="3168" t="s">
        <v>2864</v>
      </c>
      <c r="J17" s="3168"/>
      <c r="K17" s="3166" t="s">
        <v>2826</v>
      </c>
      <c r="L17" s="3166">
        <f>L18</f>
        <v>23100</v>
      </c>
      <c r="M17" s="3172">
        <f t="shared" ref="M17:M24" si="0">F17*L17/10000</f>
        <v>639.93929999999989</v>
      </c>
    </row>
    <row r="18" spans="1:17">
      <c r="A18" s="3169">
        <v>16</v>
      </c>
      <c r="B18" s="3169" t="s">
        <v>2789</v>
      </c>
      <c r="C18" s="3162" t="s">
        <v>2827</v>
      </c>
      <c r="D18" s="3162" t="s">
        <v>2828</v>
      </c>
      <c r="E18" s="3163">
        <v>45696</v>
      </c>
      <c r="F18" s="3162">
        <v>177.63</v>
      </c>
      <c r="G18" s="3168" t="s">
        <v>2858</v>
      </c>
      <c r="H18" s="3168" t="s">
        <v>2826</v>
      </c>
      <c r="I18" s="3168" t="s">
        <v>2800</v>
      </c>
      <c r="J18" s="3168"/>
      <c r="K18" s="3166" t="s">
        <v>2826</v>
      </c>
      <c r="L18" s="3166">
        <f>L20</f>
        <v>23100</v>
      </c>
      <c r="M18" s="3172">
        <f t="shared" si="0"/>
        <v>410.32530000000003</v>
      </c>
    </row>
    <row r="19" spans="1:17" hidden="1">
      <c r="A19" s="3169">
        <v>17</v>
      </c>
      <c r="B19" s="3169" t="s">
        <v>2789</v>
      </c>
      <c r="C19" s="3162" t="s">
        <v>2829</v>
      </c>
      <c r="D19" s="3162" t="s">
        <v>2830</v>
      </c>
      <c r="E19" s="3163">
        <v>45696</v>
      </c>
      <c r="F19" s="3162">
        <v>185.68</v>
      </c>
      <c r="G19" s="3168" t="s">
        <v>2859</v>
      </c>
      <c r="H19" s="3168"/>
      <c r="I19" s="3168" t="s">
        <v>2831</v>
      </c>
      <c r="J19" s="3168"/>
      <c r="M19" s="3168"/>
      <c r="P19" s="3166">
        <v>23423</v>
      </c>
    </row>
    <row r="20" spans="1:17">
      <c r="A20" s="3169">
        <v>18</v>
      </c>
      <c r="B20" s="3169" t="s">
        <v>2789</v>
      </c>
      <c r="C20" s="3162" t="s">
        <v>2832</v>
      </c>
      <c r="D20" s="3162" t="s">
        <v>2833</v>
      </c>
      <c r="E20" s="3163">
        <v>45696</v>
      </c>
      <c r="F20" s="3162">
        <v>212.29</v>
      </c>
      <c r="G20" s="3168" t="s">
        <v>2858</v>
      </c>
      <c r="H20" s="3168" t="s">
        <v>2835</v>
      </c>
      <c r="I20" s="3168" t="s">
        <v>2834</v>
      </c>
      <c r="J20" s="3168"/>
      <c r="K20" s="3166" t="s">
        <v>2835</v>
      </c>
      <c r="L20" s="3166">
        <f>L13*0.7</f>
        <v>23100</v>
      </c>
      <c r="M20" s="3172">
        <f t="shared" si="0"/>
        <v>490.38990000000001</v>
      </c>
    </row>
    <row r="21" spans="1:17">
      <c r="A21" s="3169">
        <v>19</v>
      </c>
      <c r="B21" s="3169" t="s">
        <v>2789</v>
      </c>
      <c r="C21" s="3162" t="s">
        <v>2836</v>
      </c>
      <c r="D21" s="3162" t="s">
        <v>2837</v>
      </c>
      <c r="E21" s="3163">
        <v>45696</v>
      </c>
      <c r="F21" s="3162">
        <v>186.71</v>
      </c>
      <c r="G21" s="3168" t="s">
        <v>2858</v>
      </c>
      <c r="H21" s="3168" t="s">
        <v>2835</v>
      </c>
      <c r="I21" s="3168" t="s">
        <v>2803</v>
      </c>
      <c r="J21" s="3168"/>
      <c r="K21" s="3166" t="s">
        <v>2835</v>
      </c>
      <c r="L21" s="3166">
        <f>L20</f>
        <v>23100</v>
      </c>
      <c r="M21" s="3172">
        <f t="shared" si="0"/>
        <v>431.30009999999999</v>
      </c>
    </row>
    <row r="22" spans="1:17">
      <c r="A22" s="3169">
        <v>20</v>
      </c>
      <c r="B22" s="3169" t="s">
        <v>2789</v>
      </c>
      <c r="C22" s="3162" t="s">
        <v>2838</v>
      </c>
      <c r="D22" s="3162" t="s">
        <v>2839</v>
      </c>
      <c r="E22" s="3163">
        <v>45696</v>
      </c>
      <c r="F22" s="3162">
        <v>192.55</v>
      </c>
      <c r="G22" s="3168" t="s">
        <v>2858</v>
      </c>
      <c r="H22" s="3168" t="s">
        <v>2835</v>
      </c>
      <c r="I22" s="3168" t="s">
        <v>2800</v>
      </c>
      <c r="J22" s="3168"/>
      <c r="K22" s="3166" t="s">
        <v>2835</v>
      </c>
      <c r="L22" s="3166">
        <f>L20</f>
        <v>23100</v>
      </c>
      <c r="M22" s="3172">
        <f t="shared" si="0"/>
        <v>444.79050000000001</v>
      </c>
    </row>
    <row r="23" spans="1:17">
      <c r="A23" s="3169">
        <v>21</v>
      </c>
      <c r="B23" s="3169" t="s">
        <v>2789</v>
      </c>
      <c r="C23" s="3162" t="s">
        <v>2840</v>
      </c>
      <c r="D23" s="3162" t="s">
        <v>2841</v>
      </c>
      <c r="E23" s="3163">
        <v>45696</v>
      </c>
      <c r="F23" s="3162">
        <v>180.62</v>
      </c>
      <c r="G23" s="3168" t="s">
        <v>2858</v>
      </c>
      <c r="H23" s="3168" t="s">
        <v>2835</v>
      </c>
      <c r="I23" s="3168" t="s">
        <v>2800</v>
      </c>
      <c r="J23" s="3168"/>
      <c r="K23" s="3166" t="s">
        <v>2835</v>
      </c>
      <c r="L23" s="3166">
        <f>L20</f>
        <v>23100</v>
      </c>
      <c r="M23" s="3172">
        <f t="shared" si="0"/>
        <v>417.23219999999998</v>
      </c>
    </row>
    <row r="24" spans="1:17" s="3182" customFormat="1">
      <c r="A24" s="3178">
        <v>22</v>
      </c>
      <c r="B24" s="3169" t="s">
        <v>2789</v>
      </c>
      <c r="C24" s="3179" t="s">
        <v>2842</v>
      </c>
      <c r="D24" s="3179" t="s">
        <v>2843</v>
      </c>
      <c r="E24" s="3163">
        <v>45696</v>
      </c>
      <c r="F24" s="3179">
        <v>214.62</v>
      </c>
      <c r="G24" s="3180" t="s">
        <v>2858</v>
      </c>
      <c r="H24" s="3180" t="s">
        <v>2835</v>
      </c>
      <c r="I24" s="3180" t="s">
        <v>2800</v>
      </c>
      <c r="J24" s="3180"/>
      <c r="K24" s="3166" t="s">
        <v>2835</v>
      </c>
      <c r="L24" s="3166">
        <f>L20</f>
        <v>23100</v>
      </c>
      <c r="M24" s="3181">
        <f t="shared" si="0"/>
        <v>495.7722</v>
      </c>
      <c r="P24" s="3182">
        <f ca="1">结果表40!G20</f>
        <v>22366</v>
      </c>
      <c r="Q24" s="3186">
        <f ca="1">P24*F24/10000</f>
        <v>480.019092</v>
      </c>
    </row>
    <row r="25" spans="1:17" hidden="1">
      <c r="A25" s="3169">
        <v>23</v>
      </c>
      <c r="B25" s="3169" t="s">
        <v>2789</v>
      </c>
      <c r="C25" s="3162" t="s">
        <v>2844</v>
      </c>
      <c r="D25" s="3162" t="s">
        <v>2845</v>
      </c>
      <c r="E25" s="3163">
        <v>45696</v>
      </c>
      <c r="F25" s="3162">
        <v>228.8</v>
      </c>
      <c r="G25" s="3168" t="s">
        <v>2859</v>
      </c>
      <c r="H25" s="3168"/>
      <c r="I25" s="3168" t="s">
        <v>2803</v>
      </c>
      <c r="J25" s="3168"/>
      <c r="M25" s="3168"/>
      <c r="P25" s="3166">
        <v>23125</v>
      </c>
    </row>
    <row r="26" spans="1:17" s="3182" customFormat="1">
      <c r="A26" s="3178">
        <v>24</v>
      </c>
      <c r="B26" s="3169" t="s">
        <v>2789</v>
      </c>
      <c r="C26" s="3179" t="s">
        <v>2846</v>
      </c>
      <c r="D26" s="3179" t="s">
        <v>2847</v>
      </c>
      <c r="E26" s="3163">
        <v>45696</v>
      </c>
      <c r="F26" s="3179">
        <v>446.46</v>
      </c>
      <c r="G26" s="3180" t="s">
        <v>2858</v>
      </c>
      <c r="H26" s="3180" t="s">
        <v>2835</v>
      </c>
      <c r="I26" s="3180" t="s">
        <v>2821</v>
      </c>
      <c r="J26" s="3180"/>
      <c r="K26" s="3166" t="s">
        <v>2835</v>
      </c>
      <c r="L26" s="3166">
        <f>L20</f>
        <v>23100</v>
      </c>
      <c r="M26" s="3181">
        <f>F26*L26/10000</f>
        <v>1031.3226</v>
      </c>
      <c r="P26" s="3182">
        <f ca="1">结果表43!G20</f>
        <v>22198</v>
      </c>
      <c r="Q26" s="3186">
        <f ca="1">P26*F26/10000</f>
        <v>991.05190800000003</v>
      </c>
    </row>
    <row r="27" spans="1:17">
      <c r="A27" s="3169">
        <v>25</v>
      </c>
      <c r="B27" s="3169" t="s">
        <v>2789</v>
      </c>
      <c r="C27" s="3162" t="s">
        <v>2848</v>
      </c>
      <c r="D27" s="3162" t="s">
        <v>2849</v>
      </c>
      <c r="E27" s="3163">
        <v>45696</v>
      </c>
      <c r="F27" s="3162">
        <v>182.95</v>
      </c>
      <c r="G27" s="3168" t="s">
        <v>2858</v>
      </c>
      <c r="H27" s="3168" t="s">
        <v>2835</v>
      </c>
      <c r="I27" s="3168" t="s">
        <v>2800</v>
      </c>
      <c r="J27" s="3168"/>
      <c r="K27" s="3166" t="s">
        <v>2835</v>
      </c>
      <c r="L27" s="3166">
        <f>L20</f>
        <v>23100</v>
      </c>
      <c r="M27" s="3172">
        <f>F27*L27/10000</f>
        <v>422.61450000000002</v>
      </c>
    </row>
    <row r="28" spans="1:17" hidden="1">
      <c r="A28" s="3169">
        <v>26</v>
      </c>
      <c r="B28" s="3169" t="s">
        <v>2789</v>
      </c>
      <c r="C28" s="3162" t="s">
        <v>2850</v>
      </c>
      <c r="D28" s="3162" t="s">
        <v>2851</v>
      </c>
      <c r="E28" s="3163">
        <v>45696</v>
      </c>
      <c r="F28" s="3162">
        <v>200.67</v>
      </c>
      <c r="G28" s="3168" t="s">
        <v>2859</v>
      </c>
      <c r="H28" s="3168"/>
      <c r="I28" s="3168" t="s">
        <v>2803</v>
      </c>
      <c r="J28" s="3168"/>
      <c r="M28" s="3168"/>
      <c r="P28" s="3166">
        <v>23423</v>
      </c>
    </row>
    <row r="29" spans="1:17" hidden="1">
      <c r="A29" s="3169">
        <v>27</v>
      </c>
      <c r="B29" s="3169" t="s">
        <v>2789</v>
      </c>
      <c r="C29" s="3162" t="s">
        <v>2852</v>
      </c>
      <c r="D29" s="3162" t="s">
        <v>2853</v>
      </c>
      <c r="E29" s="3163">
        <v>45680</v>
      </c>
      <c r="F29" s="3162">
        <v>242.27</v>
      </c>
      <c r="G29" s="3168" t="s">
        <v>2859</v>
      </c>
      <c r="H29" s="3168"/>
      <c r="I29" s="3168" t="s">
        <v>2803</v>
      </c>
      <c r="J29" s="3168"/>
      <c r="M29" s="3168"/>
      <c r="P29" s="3166">
        <v>23217</v>
      </c>
    </row>
    <row r="30" spans="1:17" hidden="1">
      <c r="A30" s="3280" t="s">
        <v>2854</v>
      </c>
      <c r="B30" s="3281"/>
      <c r="C30" s="3281"/>
      <c r="D30" s="3282"/>
      <c r="E30" s="3170"/>
      <c r="F30" s="3164">
        <v>5795.29</v>
      </c>
      <c r="G30" s="3168"/>
      <c r="H30" s="3168"/>
      <c r="I30" s="3168"/>
      <c r="J30" s="3168"/>
      <c r="M30" s="3168"/>
    </row>
    <row r="31" spans="1:17" ht="15.6">
      <c r="A31" s="3171"/>
      <c r="B31" s="3171"/>
      <c r="C31" s="3171"/>
      <c r="D31" s="3171"/>
      <c r="E31" s="3171"/>
      <c r="F31" s="3171"/>
      <c r="G31" s="3171"/>
      <c r="H31" s="3171"/>
      <c r="I31" s="3171"/>
      <c r="J31" s="3171"/>
    </row>
    <row r="34" spans="4:17">
      <c r="F34" s="3166">
        <f>F3+F4+F9+F10+F11+F13+F14+F15+F17+F18+F20+F21+F22+F23+F24+F26+F27</f>
        <v>3681.8199999999997</v>
      </c>
      <c r="L34" s="3166">
        <f>M34/F34</f>
        <v>2.563372082285392</v>
      </c>
      <c r="M34" s="3166">
        <f>M3+M4+M9+M10+M11+M13+M14+M15+M17+M18+M20+M21+M22+M23+M24+M26+M27</f>
        <v>9437.874600000001</v>
      </c>
    </row>
    <row r="36" spans="4:17">
      <c r="M36" s="3166">
        <f>SUBTOTAL(9,M3,M24,M26)</f>
        <v>2232.0108</v>
      </c>
      <c r="Q36" s="3166">
        <f ca="1">SUBTOTAL(9,Q3,Q24,Q26)</f>
        <v>2291.932628</v>
      </c>
    </row>
    <row r="39" spans="4:17">
      <c r="D39" s="3166">
        <v>36000</v>
      </c>
      <c r="F39" s="3188">
        <v>0.7</v>
      </c>
      <c r="G39" s="3166">
        <f>D39/F39</f>
        <v>51428.571428571435</v>
      </c>
    </row>
    <row r="40" spans="4:17">
      <c r="D40" s="3189">
        <f>F40*G40</f>
        <v>30857.142857142859</v>
      </c>
      <c r="F40" s="3188">
        <v>0.6</v>
      </c>
      <c r="G40" s="3166">
        <f>G39</f>
        <v>51428.571428571435</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261.08</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821</v>
      </c>
      <c r="C5" s="2486">
        <f ca="1">IF(B5=D14,结果表!H102,ROUND(B5*10000/$B$1,0))</f>
        <v>31441</v>
      </c>
      <c r="D5" s="2486" t="e">
        <f ca="1">ROUND(B5*10000/$B$2,0)</f>
        <v>#DIV/0!</v>
      </c>
      <c r="E5" s="2487"/>
      <c r="F5" s="2488"/>
      <c r="G5" s="2488"/>
      <c r="H5" s="2488"/>
      <c r="I5" s="2488"/>
      <c r="J5" s="2488"/>
      <c r="K5" s="2488"/>
    </row>
    <row r="6" spans="1:11" ht="15.6">
      <c r="A6" s="2486" t="s">
        <v>796</v>
      </c>
      <c r="B6" s="2486">
        <f ca="1">SUM(G14:G23)</f>
        <v>821</v>
      </c>
      <c r="C6" s="2486">
        <f ca="1">IF(B6=G14,结果表!H108,ROUND(B6*10000/$B$1,0))</f>
        <v>31441</v>
      </c>
      <c r="D6" s="2486" t="e">
        <f ca="1">ROUND(B6*10000/$B$2,0)</f>
        <v>#DIV/0!</v>
      </c>
      <c r="E6" s="3534" t="str">
        <f ca="1">NUMBERSTRING(INT(B6*10000),2)&amp;"元整"</f>
        <v>捌佰贰拾壹万元整</v>
      </c>
      <c r="F6" s="3535"/>
      <c r="G6" s="3535"/>
      <c r="H6" s="3535"/>
      <c r="I6" s="3535"/>
      <c r="J6" s="3536"/>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2892</v>
      </c>
      <c r="B14" s="2497">
        <f>'数据-汇总表'!F19</f>
        <v>261.08</v>
      </c>
      <c r="C14" s="2497"/>
      <c r="D14" s="2497">
        <f ca="1">ROUND(结果表!H118,0)</f>
        <v>821</v>
      </c>
      <c r="E14" s="2497">
        <f ca="1">结果表!G20</f>
        <v>31441</v>
      </c>
      <c r="F14" s="2497" t="e">
        <f ca="1">ROUND(D14*10000/C14,0)</f>
        <v>#DIV/0!</v>
      </c>
      <c r="G14" s="2497">
        <f ca="1">D14</f>
        <v>821</v>
      </c>
      <c r="H14" s="2497"/>
      <c r="I14" s="2497"/>
      <c r="J14" s="2488"/>
      <c r="K14" s="2488"/>
    </row>
    <row r="15" spans="1:11" ht="15.6">
      <c r="A15" s="2496" t="s">
        <v>2906</v>
      </c>
      <c r="B15" s="2497"/>
      <c r="C15" s="2496"/>
      <c r="D15" s="2497"/>
      <c r="E15" s="2497">
        <f ca="1">结果表40!G20</f>
        <v>22366</v>
      </c>
      <c r="F15" s="2497" t="e">
        <f t="shared" ref="F15:F23" si="0">ROUND(D15*10000/C15,0)</f>
        <v>#DIV/0!</v>
      </c>
      <c r="G15" s="2490"/>
      <c r="H15" s="2490"/>
      <c r="I15" s="2496"/>
      <c r="J15" s="2488"/>
      <c r="K15" s="2488"/>
    </row>
    <row r="16" spans="1:11" ht="15.6">
      <c r="A16" s="2496" t="s">
        <v>2908</v>
      </c>
      <c r="B16" s="2497"/>
      <c r="C16" s="2496"/>
      <c r="D16" s="2497"/>
      <c r="E16" s="2497">
        <f ca="1">结果表43!G20</f>
        <v>22198</v>
      </c>
      <c r="F16" s="2497" t="e">
        <f t="shared" si="0"/>
        <v>#DIV/0!</v>
      </c>
      <c r="G16" s="2490"/>
      <c r="H16" s="2490"/>
      <c r="I16" s="2496"/>
      <c r="J16" s="2488"/>
      <c r="K16" s="2488"/>
    </row>
    <row r="17" spans="1:11" ht="15.6">
      <c r="A17" s="2496" t="s">
        <v>808</v>
      </c>
      <c r="B17" s="2496"/>
      <c r="C17" s="2496"/>
      <c r="D17" s="2497"/>
      <c r="E17" s="2497" t="e">
        <f t="shared" ref="E17: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mergeCells count="1">
    <mergeCell ref="E6:J6"/>
  </mergeCells>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25" zoomScale="80" zoomScaleNormal="70" workbookViewId="0">
      <selection activeCell="K53" sqref="K5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0.12790000000000001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4.9000000000000004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2907</v>
      </c>
      <c r="F5" s="3324"/>
      <c r="G5" s="3321" t="s">
        <v>2889</v>
      </c>
      <c r="H5" s="3322"/>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5" thickBot="1">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89"/>
      <c r="Q25" s="625" t="str">
        <f t="shared" ref="Q25:Q46" si="11">B25</f>
        <v>临街状况</v>
      </c>
      <c r="R25" s="1227" t="s">
        <v>1152</v>
      </c>
      <c r="S25" s="1228">
        <f>F25</f>
        <v>100</v>
      </c>
      <c r="T25" s="1227" t="s">
        <v>1152</v>
      </c>
      <c r="U25" s="1228">
        <f>H25</f>
        <v>100</v>
      </c>
      <c r="V25" s="1227" t="s">
        <v>1152</v>
      </c>
      <c r="W25" s="1228">
        <f>J25</f>
        <v>100</v>
      </c>
      <c r="X25" s="1222"/>
      <c r="Y25" s="3291"/>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89"/>
      <c r="Q26" s="625" t="str">
        <f t="shared" si="11"/>
        <v>平面位置/可视性</v>
      </c>
      <c r="R26" s="1227" t="s">
        <v>1152</v>
      </c>
      <c r="S26" s="1228">
        <f>F26</f>
        <v>103</v>
      </c>
      <c r="T26" s="1227" t="s">
        <v>1152</v>
      </c>
      <c r="U26" s="1228">
        <f>H26</f>
        <v>103</v>
      </c>
      <c r="V26" s="1227" t="s">
        <v>1152</v>
      </c>
      <c r="W26" s="1228">
        <f>J26</f>
        <v>103</v>
      </c>
      <c r="X26" s="1222"/>
      <c r="Y26" s="329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289"/>
      <c r="Q27" s="794" t="str">
        <f t="shared" si="11"/>
        <v>人流量</v>
      </c>
      <c r="R27" s="1223" t="s">
        <v>1152</v>
      </c>
      <c r="S27" s="1224">
        <f>F27</f>
        <v>103</v>
      </c>
      <c r="T27" s="1223" t="s">
        <v>1152</v>
      </c>
      <c r="U27" s="1224">
        <f>H27</f>
        <v>103</v>
      </c>
      <c r="V27" s="1223" t="s">
        <v>1152</v>
      </c>
      <c r="W27" s="1224">
        <f>J27</f>
        <v>103</v>
      </c>
      <c r="X27" s="1225"/>
      <c r="Y27" s="3291"/>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293"/>
      <c r="Q33" s="1417" t="str">
        <f t="shared" si="11"/>
        <v>项目建筑规模</v>
      </c>
      <c r="R33" s="1229" t="s">
        <v>1152</v>
      </c>
      <c r="S33" s="1230">
        <f t="shared" si="12"/>
        <v>98</v>
      </c>
      <c r="T33" s="1229" t="s">
        <v>1152</v>
      </c>
      <c r="U33" s="1230">
        <f t="shared" si="13"/>
        <v>102</v>
      </c>
      <c r="V33" s="1229" t="s">
        <v>1152</v>
      </c>
      <c r="W33" s="1230">
        <f t="shared" si="14"/>
        <v>100</v>
      </c>
      <c r="X33" s="1231"/>
      <c r="Y33" s="3295"/>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060" t="s">
        <v>2912</v>
      </c>
      <c r="F44" s="1049">
        <f>SUMIF(126:126,E44,127:127)-SUMIF(126:126,C44,127:127)+100</f>
        <v>110</v>
      </c>
      <c r="G44" s="1060" t="s">
        <v>2912</v>
      </c>
      <c r="H44" s="1051">
        <f>SUMIF(126:126,G44,127:127)-SUMIF(126:126,C44,127:127)+100</f>
        <v>110</v>
      </c>
      <c r="I44" s="1060" t="s">
        <v>2912</v>
      </c>
      <c r="J44" s="1051">
        <f>SUMIF(126:126,I44,127:127)-SUMIF(126:126,C44,127:127)+100</f>
        <v>110</v>
      </c>
      <c r="K44" s="1196"/>
      <c r="L44" s="1179"/>
      <c r="M44" s="1180"/>
      <c r="N44" s="1180"/>
      <c r="O44" s="1180"/>
      <c r="P44" s="3293"/>
      <c r="Q44" s="794" t="str">
        <f t="shared" si="11"/>
        <v>占比</v>
      </c>
      <c r="R44" s="1223" t="s">
        <v>1152</v>
      </c>
      <c r="S44" s="1224">
        <f t="shared" si="12"/>
        <v>110</v>
      </c>
      <c r="T44" s="1223" t="s">
        <v>1152</v>
      </c>
      <c r="U44" s="1224">
        <f t="shared" si="13"/>
        <v>110</v>
      </c>
      <c r="V44" s="1223" t="s">
        <v>1152</v>
      </c>
      <c r="W44" s="1224">
        <f t="shared" si="14"/>
        <v>110</v>
      </c>
      <c r="X44" s="1225"/>
      <c r="Y44" s="3295"/>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283" t="str">
        <f>A47</f>
        <v>成交单价（元/平方米）</v>
      </c>
      <c r="Q47" s="3283"/>
      <c r="R47" s="3284">
        <f>E47</f>
        <v>6.09</v>
      </c>
      <c r="S47" s="3284"/>
      <c r="T47" s="3284">
        <f>G47</f>
        <v>5.84</v>
      </c>
      <c r="U47" s="3284"/>
      <c r="V47" s="3284">
        <f>I47</f>
        <v>5.75</v>
      </c>
      <c r="W47" s="3284"/>
      <c r="X47" s="1164"/>
      <c r="Y47" s="1237"/>
      <c r="Z47" s="1164"/>
      <c r="AA47" s="1164"/>
      <c r="AB47" s="1164"/>
      <c r="AC47" s="1164"/>
    </row>
    <row r="48" spans="1:29" ht="15" thickBot="1">
      <c r="A48" s="1115" t="s">
        <v>1195</v>
      </c>
      <c r="B48" s="1402"/>
      <c r="C48" s="1403">
        <f>R49</f>
        <v>4.9000000000000004</v>
      </c>
      <c r="D48" s="1118" t="s">
        <v>1196</v>
      </c>
      <c r="E48" s="1404">
        <f>R48</f>
        <v>5.2</v>
      </c>
      <c r="F48" s="1119"/>
      <c r="G48" s="1403">
        <f>T48</f>
        <v>4.8</v>
      </c>
      <c r="H48" s="1119"/>
      <c r="I48" s="1404">
        <f>V48</f>
        <v>4.8</v>
      </c>
      <c r="J48" s="1119"/>
      <c r="K48" s="1204">
        <f>F48+H48+J48</f>
        <v>0</v>
      </c>
      <c r="L48" s="1203"/>
      <c r="M48" s="1124"/>
      <c r="N48" s="1124"/>
      <c r="O48" s="1124"/>
      <c r="P48" s="3283" t="str">
        <f>A48</f>
        <v>比较价值（元/平方米）</v>
      </c>
      <c r="Q48" s="3283"/>
      <c r="R48" s="3284">
        <f>IF(F1="售价",ROUND(PRODUCT(R47,AA7:AA46),0),ROUND(PRODUCT(R47,AA7:AA46),1))</f>
        <v>5.2</v>
      </c>
      <c r="S48" s="3284"/>
      <c r="T48" s="3284">
        <f>IF(F1="售价",ROUND(PRODUCT(T47,AB7:AB46),0),ROUND(PRODUCT(T47,AB7:AB46),1))</f>
        <v>4.8</v>
      </c>
      <c r="U48" s="3284"/>
      <c r="V48" s="3284">
        <f>IF(F1="售价",ROUND(PRODUCT(V47,AC7:AC46),0),ROUND(PRODUCT(V47,AC7:AC46),1))</f>
        <v>4.8</v>
      </c>
      <c r="W48" s="3284"/>
      <c r="X48" s="1164"/>
      <c r="Y48" s="1164"/>
      <c r="Z48" s="1164"/>
      <c r="AA48" s="1164"/>
      <c r="AB48" s="1164"/>
      <c r="AC48" s="1164"/>
    </row>
    <row r="49" spans="1:29" ht="15" thickBot="1">
      <c r="A49" s="1121" t="s">
        <v>1197</v>
      </c>
      <c r="B49" s="1122"/>
      <c r="C49" s="1034">
        <f>R49</f>
        <v>4.9000000000000004</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4.9000000000000004</v>
      </c>
      <c r="S49" s="3287"/>
      <c r="T49" s="3287"/>
      <c r="U49" s="3287"/>
      <c r="V49" s="3287"/>
      <c r="W49" s="3287"/>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0.17115384615384599</v>
      </c>
      <c r="F52" s="1128" t="str">
        <f>IF(OR(E52&gt;=0.3,E52&lt;=-0.3),"超过30%","")</f>
        <v/>
      </c>
      <c r="G52" s="1127">
        <f>IF(G47&lt;G48,G48/G47-1,G47/G48-1)</f>
        <v>0.21666666666666679</v>
      </c>
      <c r="H52" s="1128" t="str">
        <f>IF(OR(G52&gt;=0.3,G52&lt;=-0.3),"超过30%","")</f>
        <v/>
      </c>
      <c r="I52" s="1127">
        <f>IF(I47&lt;I48,I48/I47-1,I47/I48-1)</f>
        <v>0.19791666666666674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8.3333333333333481E-2</v>
      </c>
      <c r="F53" s="1128" t="str">
        <f>IF(OR(E53&gt;=0.2,E53&lt;=-0.2),"超过20%","")</f>
        <v/>
      </c>
      <c r="G53" s="1127">
        <f>IF(G48&lt;I48,I48/G48-1,G48/I48-1)</f>
        <v>0</v>
      </c>
      <c r="H53" s="1128" t="str">
        <f>IF(OR(G53&gt;=0.2,G53&lt;=-0.2),"超过20%","")</f>
        <v/>
      </c>
      <c r="I53" s="1127">
        <f>IF(I48&lt;E48,E48/I48-1,I48/E48-1)</f>
        <v>8.3333333333333481E-2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234" priority="14" stopIfTrue="1">
      <formula>$F$52="超过30%"</formula>
    </cfRule>
  </conditionalFormatting>
  <conditionalFormatting sqref="E53">
    <cfRule type="expression" dxfId="233" priority="13" stopIfTrue="1">
      <formula>$F$53="超过20%"</formula>
    </cfRule>
  </conditionalFormatting>
  <conditionalFormatting sqref="E54">
    <cfRule type="expression" dxfId="232" priority="12" stopIfTrue="1">
      <formula>$F$54="超过30%"</formula>
    </cfRule>
  </conditionalFormatting>
  <conditionalFormatting sqref="F7:F46 H7:H46 J7:J46">
    <cfRule type="cellIs" dxfId="231" priority="1" operator="notEqual">
      <formula>100</formula>
    </cfRule>
  </conditionalFormatting>
  <conditionalFormatting sqref="F48">
    <cfRule type="expression" dxfId="230" priority="4">
      <formula>$D$48="简单平均"</formula>
    </cfRule>
  </conditionalFormatting>
  <conditionalFormatting sqref="F52:F54 H52:H54">
    <cfRule type="containsText" dxfId="229" priority="15" stopIfTrue="1" operator="containsText" text="超过">
      <formula>NOT(ISERROR(SEARCH("超过",F52)))</formula>
    </cfRule>
  </conditionalFormatting>
  <conditionalFormatting sqref="G52">
    <cfRule type="expression" dxfId="228" priority="10" stopIfTrue="1">
      <formula>$H$52="超过30%"</formula>
    </cfRule>
  </conditionalFormatting>
  <conditionalFormatting sqref="G53">
    <cfRule type="expression" dxfId="227" priority="9" stopIfTrue="1">
      <formula>$H$53="超过20%"</formula>
    </cfRule>
  </conditionalFormatting>
  <conditionalFormatting sqref="G54">
    <cfRule type="expression" dxfId="226" priority="11" stopIfTrue="1">
      <formula>$H$54="超过30%"</formula>
    </cfRule>
  </conditionalFormatting>
  <conditionalFormatting sqref="H48">
    <cfRule type="expression" dxfId="225" priority="3">
      <formula>$D$48="简单平均"</formula>
    </cfRule>
  </conditionalFormatting>
  <conditionalFormatting sqref="I52">
    <cfRule type="expression" dxfId="224" priority="7" stopIfTrue="1">
      <formula>$J$52="超过30%"</formula>
    </cfRule>
  </conditionalFormatting>
  <conditionalFormatting sqref="I53">
    <cfRule type="expression" dxfId="223" priority="6" stopIfTrue="1">
      <formula>$J$53="超过20%"</formula>
    </cfRule>
  </conditionalFormatting>
  <conditionalFormatting sqref="I54">
    <cfRule type="expression" dxfId="222" priority="5" stopIfTrue="1">
      <formula>$J$54="超过30%"</formula>
    </cfRule>
  </conditionalFormatting>
  <conditionalFormatting sqref="J48">
    <cfRule type="expression" dxfId="221" priority="2">
      <formula>$D$48="简单平均"</formula>
    </cfRule>
  </conditionalFormatting>
  <conditionalFormatting sqref="J52:J54">
    <cfRule type="containsText" dxfId="220"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90" t="str">
        <f>项目基本情况!B1</f>
        <v>北京市房地产抵押价值预评估</v>
      </c>
      <c r="C37" s="3190"/>
      <c r="D37" s="3190"/>
      <c r="E37" s="3190"/>
      <c r="F37" s="3190"/>
      <c r="G37" s="3190"/>
      <c r="H37" s="3190"/>
      <c r="I37" s="3190"/>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PageLayoutView="80" workbookViewId="0">
      <selection activeCell="D123" sqref="D123:I123"/>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2892</v>
      </c>
      <c r="D1" s="1971"/>
      <c r="E1" s="1971"/>
      <c r="F1" s="2222" t="s">
        <v>816</v>
      </c>
      <c r="G1" s="2223"/>
      <c r="H1" s="2222" t="str">
        <f>IF(G1="现房","——","估价对象范围")</f>
        <v>估价对象范围</v>
      </c>
      <c r="I1" s="2350"/>
    </row>
    <row r="2" spans="1:12" ht="21.75" customHeight="1">
      <c r="A2" s="3329" t="str">
        <f>项目基本情况!S2</f>
        <v>北京市房地产</v>
      </c>
      <c r="B2" s="3330"/>
      <c r="C2" s="3330"/>
      <c r="D2" s="3330"/>
      <c r="E2" s="3330"/>
      <c r="F2" s="3330"/>
      <c r="G2" s="3330"/>
      <c r="H2" s="3330"/>
      <c r="I2" s="3331"/>
    </row>
    <row r="3" spans="1:12" ht="13.2">
      <c r="A3" s="3332" t="s">
        <v>817</v>
      </c>
      <c r="B3" s="3333"/>
      <c r="C3" s="3333"/>
      <c r="D3" s="3333"/>
      <c r="E3" s="3333"/>
      <c r="F3" s="3333"/>
      <c r="G3" s="3333"/>
      <c r="H3" s="3333"/>
      <c r="I3" s="3333"/>
    </row>
    <row r="4" spans="1:12" ht="14.4">
      <c r="A4" s="2224" t="s">
        <v>818</v>
      </c>
      <c r="B4" s="2225" t="s">
        <v>819</v>
      </c>
      <c r="C4" s="2226" t="s">
        <v>820</v>
      </c>
      <c r="D4" s="2226" t="s">
        <v>285</v>
      </c>
      <c r="E4" s="3334" t="s">
        <v>821</v>
      </c>
      <c r="F4" s="3335"/>
      <c r="G4" s="3335"/>
      <c r="H4" s="3335"/>
      <c r="I4" s="3336"/>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79" t="s">
        <v>822</v>
      </c>
      <c r="B5" s="3301">
        <v>25</v>
      </c>
      <c r="C5" s="3349"/>
      <c r="D5" s="3348"/>
      <c r="E5" s="1870" t="s">
        <v>823</v>
      </c>
      <c r="F5" s="2230"/>
      <c r="G5" s="2230"/>
      <c r="H5" s="2230"/>
      <c r="I5" s="1943"/>
    </row>
    <row r="6" spans="1:12" ht="13.2">
      <c r="A6" s="3379"/>
      <c r="B6" s="3301"/>
      <c r="C6" s="3350"/>
      <c r="D6" s="3348"/>
      <c r="E6" s="1870" t="s">
        <v>824</v>
      </c>
      <c r="F6" s="2230"/>
      <c r="G6" s="2230"/>
      <c r="H6" s="2230"/>
      <c r="I6" s="1943"/>
    </row>
    <row r="7" spans="1:12" ht="13.2">
      <c r="A7" s="3379"/>
      <c r="B7" s="3301"/>
      <c r="C7" s="3351"/>
      <c r="D7" s="3348"/>
      <c r="E7" s="1870" t="s">
        <v>825</v>
      </c>
      <c r="F7" s="2230"/>
      <c r="G7" s="2230"/>
      <c r="H7" s="2230"/>
      <c r="I7" s="1943"/>
    </row>
    <row r="8" spans="1:12" ht="13.2">
      <c r="A8" s="3379" t="s">
        <v>826</v>
      </c>
      <c r="B8" s="3301">
        <v>15</v>
      </c>
      <c r="C8" s="3349"/>
      <c r="D8" s="3348"/>
      <c r="E8" s="1870" t="s">
        <v>827</v>
      </c>
      <c r="F8" s="2230"/>
      <c r="G8" s="2230"/>
      <c r="H8" s="2230"/>
      <c r="I8" s="1943"/>
    </row>
    <row r="9" spans="1:12" ht="13.2">
      <c r="A9" s="3379"/>
      <c r="B9" s="3301"/>
      <c r="C9" s="3351"/>
      <c r="D9" s="3348"/>
      <c r="E9" s="1870" t="s">
        <v>828</v>
      </c>
      <c r="F9" s="2230"/>
      <c r="G9" s="2230"/>
      <c r="H9" s="2230"/>
      <c r="I9" s="1943"/>
    </row>
    <row r="10" spans="1:12" ht="13.2">
      <c r="A10" s="3379" t="s">
        <v>829</v>
      </c>
      <c r="B10" s="3301">
        <v>15</v>
      </c>
      <c r="C10" s="3349"/>
      <c r="D10" s="3348"/>
      <c r="E10" s="1870" t="s">
        <v>830</v>
      </c>
      <c r="F10" s="2230"/>
      <c r="G10" s="2230"/>
      <c r="H10" s="2230"/>
      <c r="I10" s="1943"/>
    </row>
    <row r="11" spans="1:12" ht="13.2">
      <c r="A11" s="3379"/>
      <c r="B11" s="3301"/>
      <c r="C11" s="3351"/>
      <c r="D11" s="3348"/>
      <c r="E11" s="1870" t="s">
        <v>831</v>
      </c>
      <c r="F11" s="2230"/>
      <c r="G11" s="2230"/>
      <c r="H11" s="2230"/>
      <c r="I11" s="1943"/>
    </row>
    <row r="12" spans="1:12" ht="13.2">
      <c r="A12" s="3379" t="s">
        <v>832</v>
      </c>
      <c r="B12" s="3301">
        <v>15</v>
      </c>
      <c r="C12" s="3349"/>
      <c r="D12" s="3348"/>
      <c r="E12" s="1870" t="s">
        <v>833</v>
      </c>
      <c r="F12" s="2230"/>
      <c r="G12" s="2230"/>
      <c r="H12" s="2230"/>
      <c r="I12" s="1943"/>
    </row>
    <row r="13" spans="1:12" ht="13.2">
      <c r="A13" s="3379"/>
      <c r="B13" s="3301"/>
      <c r="C13" s="3351"/>
      <c r="D13" s="3348"/>
      <c r="E13" s="1870" t="s">
        <v>834</v>
      </c>
      <c r="F13" s="2230"/>
      <c r="G13" s="2230"/>
      <c r="H13" s="2230"/>
      <c r="I13" s="1943"/>
    </row>
    <row r="14" spans="1:12" ht="13.2">
      <c r="A14" s="3379" t="s">
        <v>835</v>
      </c>
      <c r="B14" s="3301">
        <v>30</v>
      </c>
      <c r="C14" s="3349">
        <v>7</v>
      </c>
      <c r="D14" s="3348">
        <v>3</v>
      </c>
      <c r="E14" s="1870" t="s">
        <v>836</v>
      </c>
      <c r="F14" s="2230"/>
      <c r="G14" s="2230"/>
      <c r="H14" s="2230"/>
      <c r="I14" s="1943"/>
    </row>
    <row r="15" spans="1:12" ht="13.2">
      <c r="A15" s="3379"/>
      <c r="B15" s="3301"/>
      <c r="C15" s="3350"/>
      <c r="D15" s="3348"/>
      <c r="E15" s="1870" t="s">
        <v>837</v>
      </c>
      <c r="F15" s="2230"/>
      <c r="G15" s="2230"/>
      <c r="H15" s="2230"/>
      <c r="I15" s="1943"/>
    </row>
    <row r="16" spans="1:12" ht="13.2">
      <c r="A16" s="3379"/>
      <c r="B16" s="3301"/>
      <c r="C16" s="3351"/>
      <c r="D16" s="3348"/>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c r="A18" s="2234" t="s">
        <v>842</v>
      </c>
      <c r="B18" s="2235"/>
      <c r="C18" s="2236">
        <f>ROUND(C17/SUM(C17:D17),2)</f>
        <v>0.7</v>
      </c>
      <c r="D18" s="2236">
        <f>1-C18</f>
        <v>0.30000000000000004</v>
      </c>
      <c r="E18" s="3337" t="s">
        <v>843</v>
      </c>
      <c r="F18" s="3338"/>
      <c r="G18" s="3338"/>
      <c r="H18" s="3338"/>
      <c r="I18" s="3338"/>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903.8329</v>
      </c>
      <c r="D19" s="1354">
        <f ca="1">SUMIF(INDIRECT("'"&amp;D4&amp;"'"&amp;"!A:A"),结果表!B19,INDIRECT("'"&amp;D4&amp;"'"&amp;"!B:B"))</f>
        <v>627.28530000000001</v>
      </c>
      <c r="E19" s="1238" t="s">
        <v>846</v>
      </c>
      <c r="F19" s="2237" t="s">
        <v>845</v>
      </c>
      <c r="G19" s="2239">
        <f ca="1">ROUND(C19*$C$18+D19*$D$18,0)</f>
        <v>821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34619</v>
      </c>
      <c r="D20" s="1577">
        <f ca="1">SUMIF(INDIRECT("'"&amp;D4&amp;"'"&amp;"!A:A"),结果表!B20,INDIRECT("'"&amp;D4&amp;"'"&amp;"!B:B"))</f>
        <v>24027</v>
      </c>
      <c r="E20" s="2241"/>
      <c r="F20" s="2242" t="s">
        <v>848</v>
      </c>
      <c r="G20" s="2243">
        <f ca="1">ROUND(C20*$C$18+D20*$D$18,0)</f>
        <v>31441</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0.44086414905625881</v>
      </c>
      <c r="E22" s="939"/>
      <c r="F22" s="939"/>
      <c r="G22" s="939"/>
      <c r="H22" s="939"/>
      <c r="I22" s="939"/>
    </row>
    <row r="23" spans="1:36" ht="13.2">
      <c r="A23" s="1971"/>
      <c r="B23" s="1971"/>
      <c r="C23" s="1971"/>
      <c r="D23" s="1971"/>
      <c r="E23" s="939"/>
      <c r="F23" s="939"/>
      <c r="G23" s="939"/>
      <c r="H23" s="939"/>
      <c r="I23" s="939"/>
    </row>
    <row r="24" spans="1:36" ht="14.4">
      <c r="A24" s="3410" t="s">
        <v>852</v>
      </c>
      <c r="B24" s="2237" t="s">
        <v>845</v>
      </c>
      <c r="C24" s="2239">
        <f>IF(B30=0,0,D30)</f>
        <v>0</v>
      </c>
      <c r="D24" s="2253"/>
      <c r="E24" s="939"/>
      <c r="F24" s="939"/>
      <c r="G24" s="939"/>
      <c r="H24" s="939"/>
      <c r="I24" s="939"/>
    </row>
    <row r="25" spans="1:36" ht="14.4">
      <c r="A25" s="3411"/>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31441</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412" t="s">
        <v>869</v>
      </c>
      <c r="B36" s="2282" t="s">
        <v>870</v>
      </c>
      <c r="C36" s="2283"/>
      <c r="D36" s="2284"/>
      <c r="E36" s="2285"/>
      <c r="F36" s="2286"/>
      <c r="G36" s="939"/>
      <c r="H36" s="939"/>
      <c r="I36" s="939"/>
    </row>
    <row r="37" spans="1:15" ht="14.4">
      <c r="A37" s="3413"/>
      <c r="B37" s="2287" t="s">
        <v>871</v>
      </c>
      <c r="C37" s="2288"/>
      <c r="D37" s="2289"/>
      <c r="E37" s="2289"/>
      <c r="F37" s="2286"/>
      <c r="G37" s="939"/>
      <c r="H37" s="939"/>
      <c r="I37" s="939"/>
    </row>
    <row r="38" spans="1:15" ht="14.4">
      <c r="A38" s="3414"/>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339" t="s">
        <v>880</v>
      </c>
      <c r="B45" s="3340"/>
      <c r="C45" s="3341"/>
      <c r="D45" s="1828">
        <f ca="1">ROUND(H101*F45,0)</f>
        <v>821</v>
      </c>
      <c r="E45" s="2308" t="s">
        <v>881</v>
      </c>
      <c r="F45" s="2309">
        <v>1</v>
      </c>
      <c r="G45" s="1839" t="s">
        <v>882</v>
      </c>
      <c r="H45" s="939"/>
      <c r="I45" s="939"/>
      <c r="J45" s="3342" t="s">
        <v>883</v>
      </c>
      <c r="K45" s="3342"/>
      <c r="L45" s="3342"/>
      <c r="M45" s="3342"/>
      <c r="N45" s="3342"/>
      <c r="O45" s="3342"/>
    </row>
    <row r="46" spans="1:15" ht="14.25" customHeight="1">
      <c r="A46" s="3343" t="s">
        <v>884</v>
      </c>
      <c r="B46" s="3344"/>
      <c r="C46" s="3344"/>
      <c r="D46" s="3344"/>
      <c r="E46" s="3344"/>
      <c r="F46" s="3344"/>
      <c r="G46" s="3345"/>
      <c r="H46" s="2310"/>
      <c r="I46" s="940"/>
      <c r="J46" s="580">
        <v>1</v>
      </c>
      <c r="K46" s="3346" t="s">
        <v>885</v>
      </c>
      <c r="L46" s="3346"/>
      <c r="M46" s="3347"/>
      <c r="N46" s="3347"/>
      <c r="O46" s="3347"/>
    </row>
    <row r="47" spans="1:15" ht="12" customHeight="1">
      <c r="A47" s="2311" t="s">
        <v>886</v>
      </c>
      <c r="B47" s="2312"/>
      <c r="C47" s="2313"/>
      <c r="D47" s="1879" t="s">
        <v>887</v>
      </c>
      <c r="E47" s="1829" t="s">
        <v>888</v>
      </c>
      <c r="F47" s="2314" t="s">
        <v>889</v>
      </c>
      <c r="G47" s="2315" t="s">
        <v>890</v>
      </c>
      <c r="H47" s="2316"/>
      <c r="I47" s="940"/>
      <c r="J47" s="580">
        <v>2</v>
      </c>
      <c r="K47" s="3346" t="s">
        <v>891</v>
      </c>
      <c r="L47" s="3346"/>
      <c r="M47" s="3352">
        <f>'数据-取费表'!B2</f>
        <v>45923</v>
      </c>
      <c r="N47" s="3352"/>
      <c r="O47" s="3352"/>
    </row>
    <row r="48" spans="1:15" ht="39.6">
      <c r="A48" s="3353" t="s">
        <v>892</v>
      </c>
      <c r="B48" s="3354"/>
      <c r="C48" s="3354"/>
      <c r="D48" s="1978">
        <f ca="1">IF(H48="情况1",0,IF(H48="情况2",D52,IF(H48="情况3",D53,IF(H48="情况4",D54))))</f>
        <v>32</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6" t="s">
        <v>895</v>
      </c>
      <c r="L48" s="3346"/>
      <c r="M48" s="3355">
        <f ca="1">H101</f>
        <v>820.86159999999995</v>
      </c>
      <c r="N48" s="3355"/>
      <c r="O48" s="3355"/>
    </row>
    <row r="49" spans="1:35" ht="25.5" customHeight="1">
      <c r="A49" s="2317" t="s">
        <v>896</v>
      </c>
      <c r="B49" s="3356" t="s">
        <v>897</v>
      </c>
      <c r="C49" s="3356"/>
      <c r="D49" s="2321">
        <v>0</v>
      </c>
      <c r="E49" s="1889" t="s">
        <v>898</v>
      </c>
      <c r="F49" s="2322" t="s">
        <v>124</v>
      </c>
      <c r="G49" s="3362"/>
      <c r="H49" s="2323" t="s">
        <v>899</v>
      </c>
      <c r="I49" s="2357"/>
      <c r="J49" s="580">
        <v>4</v>
      </c>
      <c r="K49" s="3346" t="str">
        <f>IF(项目基本情况!E8="房地产抵押价值","房地产抵押价值","抵押担保权已注销时的房地产抵押价值")</f>
        <v>房地产抵押价值</v>
      </c>
      <c r="L49" s="3346"/>
      <c r="M49" s="3355">
        <f ca="1">IF(项目基本情况!E8="房地产抵押价值",H107,H109)</f>
        <v>820.86159999999995</v>
      </c>
      <c r="N49" s="3355"/>
      <c r="O49" s="3355"/>
    </row>
    <row r="50" spans="1:35" ht="25.5" customHeight="1">
      <c r="A50" s="2324"/>
      <c r="B50" s="3356" t="s">
        <v>900</v>
      </c>
      <c r="C50" s="3356"/>
      <c r="D50" s="2325"/>
      <c r="E50" s="1904"/>
      <c r="F50" s="2322"/>
      <c r="G50" s="3363"/>
      <c r="H50" s="2326" t="s">
        <v>901</v>
      </c>
      <c r="I50" s="2357"/>
      <c r="J50" s="3342" t="s">
        <v>902</v>
      </c>
      <c r="K50" s="3342"/>
      <c r="L50" s="3342"/>
      <c r="M50" s="3342"/>
      <c r="N50" s="3342"/>
      <c r="O50" s="3342"/>
    </row>
    <row r="51" spans="1:35" ht="20.399999999999999" customHeight="1">
      <c r="A51" s="2327"/>
      <c r="B51" s="3356" t="s">
        <v>903</v>
      </c>
      <c r="C51" s="3356"/>
      <c r="D51" s="1879"/>
      <c r="E51" s="1893"/>
      <c r="F51" s="2322"/>
      <c r="G51" s="3364"/>
      <c r="H51" s="2326" t="s">
        <v>904</v>
      </c>
      <c r="I51" s="2357"/>
      <c r="J51" s="2356" t="s">
        <v>905</v>
      </c>
      <c r="K51" s="3346" t="s">
        <v>906</v>
      </c>
      <c r="L51" s="3346"/>
      <c r="M51" s="2356" t="s">
        <v>907</v>
      </c>
      <c r="N51" s="2356" t="s">
        <v>908</v>
      </c>
      <c r="O51" s="2356" t="s">
        <v>909</v>
      </c>
    </row>
    <row r="52" spans="1:35" ht="24" customHeight="1">
      <c r="A52" s="2328" t="s">
        <v>910</v>
      </c>
      <c r="B52" s="3356" t="s">
        <v>911</v>
      </c>
      <c r="C52" s="3356"/>
      <c r="D52" s="1879">
        <f ca="1">ROUND(D45*'数据-取费表'!B41/(1+'数据-取费表'!C42),0)</f>
        <v>44</v>
      </c>
      <c r="E52" s="1883" t="s">
        <v>912</v>
      </c>
      <c r="F52" s="2329">
        <f>'数据-取费表'!B41</f>
        <v>5.6000000000000001E-2</v>
      </c>
      <c r="G52" s="2330"/>
      <c r="H52" s="1992"/>
      <c r="I52" s="2358"/>
      <c r="J52" s="580">
        <v>1</v>
      </c>
      <c r="K52" s="3358" t="s">
        <v>913</v>
      </c>
      <c r="L52" s="3358"/>
      <c r="M52" s="2359">
        <f ca="1">D48</f>
        <v>32</v>
      </c>
      <c r="N52" s="580" t="str">
        <f>E48</f>
        <v>(销售额-原购置价)×税（费）率</v>
      </c>
      <c r="O52" s="2360">
        <f>F48</f>
        <v>5.6000000000000001E-2</v>
      </c>
    </row>
    <row r="53" spans="1:35" ht="12" customHeight="1">
      <c r="A53" s="2328" t="s">
        <v>914</v>
      </c>
      <c r="B53" s="3359" t="s">
        <v>915</v>
      </c>
      <c r="C53" s="3360"/>
      <c r="D53" s="1879">
        <f ca="1">ROUND(D45*'数据-取费表'!B41/(1+'数据-取费表'!C42),0)</f>
        <v>44</v>
      </c>
      <c r="E53" s="1883" t="s">
        <v>912</v>
      </c>
      <c r="F53" s="2329">
        <f>'数据-取费表'!B41</f>
        <v>5.6000000000000001E-2</v>
      </c>
      <c r="G53" s="2330"/>
      <c r="H53" s="1992"/>
      <c r="I53" s="2358"/>
      <c r="J53" s="580">
        <v>2</v>
      </c>
      <c r="K53" s="3358" t="s">
        <v>916</v>
      </c>
      <c r="L53" s="3358"/>
      <c r="M53" s="2359">
        <f t="shared" ref="M53:O54" ca="1" si="0">D55</f>
        <v>0.41049999999999998</v>
      </c>
      <c r="N53" s="580" t="str">
        <f t="shared" si="0"/>
        <v>销售额×税（费）率</v>
      </c>
      <c r="O53" s="2360">
        <f t="shared" si="0"/>
        <v>5.0000000000000001E-4</v>
      </c>
    </row>
    <row r="54" spans="1:35" ht="12" customHeight="1">
      <c r="A54" s="2328" t="s">
        <v>917</v>
      </c>
      <c r="B54" s="3359" t="s">
        <v>918</v>
      </c>
      <c r="C54" s="3360"/>
      <c r="D54" s="1879">
        <f ca="1">C68</f>
        <v>32</v>
      </c>
      <c r="E54" s="1893" t="s">
        <v>919</v>
      </c>
      <c r="F54" s="2329">
        <f>'数据-取费表'!B41</f>
        <v>5.6000000000000001E-2</v>
      </c>
      <c r="G54" s="2330"/>
      <c r="H54" s="2331"/>
      <c r="I54" s="2358"/>
      <c r="J54" s="580">
        <v>3</v>
      </c>
      <c r="K54" s="3358" t="s">
        <v>920</v>
      </c>
      <c r="L54" s="3358"/>
      <c r="M54" s="2359">
        <f t="shared" ca="1" si="0"/>
        <v>203</v>
      </c>
      <c r="N54" s="580" t="str">
        <f t="shared" si="0"/>
        <v>增值额×税（费）率</v>
      </c>
      <c r="O54" s="2361" t="str">
        <f t="shared" si="0"/>
        <v>——</v>
      </c>
    </row>
    <row r="55" spans="1:35" ht="24" customHeight="1">
      <c r="A55" s="3361" t="s">
        <v>921</v>
      </c>
      <c r="B55" s="3354"/>
      <c r="C55" s="3354"/>
      <c r="D55" s="1978">
        <f ca="1">IF(H55="个人住宅",0,ROUND(D45*I55,4))</f>
        <v>0.41049999999999998</v>
      </c>
      <c r="E55" s="1883" t="s">
        <v>922</v>
      </c>
      <c r="F55" s="2329">
        <f>IF(H55="正常",I55,"免征")</f>
        <v>5.0000000000000001E-4</v>
      </c>
      <c r="G55" s="2330"/>
      <c r="H55" s="2320" t="s">
        <v>923</v>
      </c>
      <c r="I55" s="2362">
        <f>'数据-取费表'!B49</f>
        <v>5.0000000000000001E-4</v>
      </c>
      <c r="J55" s="580" t="str">
        <f>IF(H59="非个人房产","",4)</f>
        <v/>
      </c>
      <c r="K55" s="3358" t="str">
        <f>IF(H59="非个人房产","——","个人所得税")</f>
        <v>——</v>
      </c>
      <c r="L55" s="3358"/>
      <c r="M55" s="2363" t="str">
        <f>D59</f>
        <v>——</v>
      </c>
      <c r="N55" s="561" t="str">
        <f>E59</f>
        <v>——</v>
      </c>
      <c r="O55" s="2364" t="str">
        <f>F59</f>
        <v>——</v>
      </c>
    </row>
    <row r="56" spans="1:35" ht="25.2">
      <c r="A56" s="3361" t="s">
        <v>924</v>
      </c>
      <c r="B56" s="3354"/>
      <c r="C56" s="3354"/>
      <c r="D56" s="1978">
        <f ca="1">IF(H56="个人住宅",D57,D58)</f>
        <v>203</v>
      </c>
      <c r="E56" s="1883" t="s">
        <v>925</v>
      </c>
      <c r="F56" s="2329" t="str">
        <f>IF(H56="正常",F58,"免征")</f>
        <v>——</v>
      </c>
      <c r="G56" s="2332" t="s">
        <v>926</v>
      </c>
      <c r="H56" s="2333" t="s">
        <v>923</v>
      </c>
      <c r="I56" s="2342"/>
      <c r="J56" s="580" t="str">
        <f>IF(项目基本情况!K6="上海银行",IF(J55="",4,J55+1),"")</f>
        <v/>
      </c>
      <c r="K56" s="3365" t="str">
        <f>IF(项目基本情况!K6="上海银行","其他处置费用","")</f>
        <v/>
      </c>
      <c r="L56" s="3366"/>
      <c r="M56" s="2359" t="str">
        <f>IF(项目基本情况!K6="上海银行",M69,"")</f>
        <v/>
      </c>
      <c r="N56" s="3365" t="str">
        <f>IF(项目基本情况!K6="上海银行","包含处置中涉及的律师、诉讼、拍卖、评估等费用","")</f>
        <v/>
      </c>
      <c r="O56" s="3367"/>
    </row>
    <row r="57" spans="1:35" ht="13.2">
      <c r="A57" s="2328" t="s">
        <v>896</v>
      </c>
      <c r="B57" s="3359" t="s">
        <v>927</v>
      </c>
      <c r="C57" s="3360"/>
      <c r="D57" s="2321">
        <v>0</v>
      </c>
      <c r="E57" s="1889" t="s">
        <v>898</v>
      </c>
      <c r="F57" s="1829"/>
      <c r="G57" s="2330"/>
      <c r="H57" s="2334"/>
      <c r="I57" s="2342"/>
      <c r="J57" s="3358">
        <f>IF(AND(J55="",J56=""),4,IF(项目基本情况!K6="上海银行",结果表!J56+1,结果表!J55+1))</f>
        <v>4</v>
      </c>
      <c r="K57" s="3358" t="s">
        <v>928</v>
      </c>
      <c r="L57" s="2365" t="s">
        <v>929</v>
      </c>
      <c r="M57" s="2366"/>
      <c r="N57" s="2367">
        <f ca="1">SUMIF(M52:M56,"&lt;9e307")</f>
        <v>235.41050000000001</v>
      </c>
      <c r="O57" s="2368"/>
      <c r="P57" s="2369">
        <f ca="1">N57/M49</f>
        <v>0.28678464189334724</v>
      </c>
    </row>
    <row r="58" spans="1:35" ht="25.2">
      <c r="A58" s="2328" t="s">
        <v>910</v>
      </c>
      <c r="B58" s="3359" t="s">
        <v>930</v>
      </c>
      <c r="C58" s="3356"/>
      <c r="D58" s="1978">
        <f ca="1">IF(H58="转让取得",C81,C97)</f>
        <v>203</v>
      </c>
      <c r="E58" s="1883" t="s">
        <v>925</v>
      </c>
      <c r="F58" s="1829" t="s">
        <v>124</v>
      </c>
      <c r="G58" s="2330"/>
      <c r="H58" s="2333" t="s">
        <v>931</v>
      </c>
      <c r="I58" s="2342"/>
      <c r="J58" s="3358"/>
      <c r="K58" s="3358"/>
      <c r="L58" s="2365" t="s">
        <v>932</v>
      </c>
      <c r="M58" s="2370"/>
      <c r="N58" s="2371" t="str">
        <f ca="1">NUMBERSTRING(INT(N57*10000),2)&amp;"元整"</f>
        <v>贰佰叁拾伍万肆仟壹佰零伍元整</v>
      </c>
      <c r="O58" s="2372"/>
    </row>
    <row r="59" spans="1:35" ht="24">
      <c r="A59" s="3368" t="s">
        <v>933</v>
      </c>
      <c r="B59" s="3369"/>
      <c r="C59" s="3369"/>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3">
        <f>J57+1</f>
        <v>5</v>
      </c>
      <c r="K59" s="3358" t="s">
        <v>936</v>
      </c>
      <c r="L59" s="580" t="s">
        <v>929</v>
      </c>
      <c r="M59" s="2374"/>
      <c r="N59" s="2375">
        <f ca="1">M49-N57</f>
        <v>585.4511</v>
      </c>
      <c r="O59" s="2376"/>
    </row>
    <row r="60" spans="1:35" ht="12" customHeight="1">
      <c r="A60" s="2340"/>
      <c r="B60" s="1971"/>
      <c r="C60" s="1971"/>
      <c r="D60" s="1971"/>
      <c r="E60" s="2341"/>
      <c r="F60" s="2342"/>
      <c r="G60" s="2342"/>
      <c r="H60" s="940"/>
      <c r="I60" s="939"/>
      <c r="J60" s="3374"/>
      <c r="K60" s="3358"/>
      <c r="L60" s="2365" t="s">
        <v>932</v>
      </c>
      <c r="M60" s="2370"/>
      <c r="N60" s="2371" t="str">
        <f ca="1">NUMBERSTRING(INT(N59*10000),2)&amp;"元整"</f>
        <v>伍佰捌拾伍万肆仟伍佰壹拾壹元整</v>
      </c>
      <c r="O60" s="2372"/>
    </row>
    <row r="61" spans="1:35" ht="13.2">
      <c r="A61" s="3370" t="s">
        <v>937</v>
      </c>
      <c r="B61" s="3370"/>
      <c r="C61" s="3370"/>
      <c r="D61" s="3370"/>
      <c r="E61" s="3370"/>
      <c r="F61" s="2342"/>
      <c r="G61" s="2342"/>
      <c r="H61" s="940"/>
      <c r="I61" s="939"/>
      <c r="J61" s="580">
        <f>J59+1</f>
        <v>6</v>
      </c>
      <c r="K61" s="3358" t="s">
        <v>938</v>
      </c>
      <c r="L61" s="3358"/>
      <c r="M61" s="2377"/>
      <c r="N61" s="2378">
        <f ca="1">ROUND(N59*10000/'数据-汇总表'!E3,0)</f>
        <v>6349</v>
      </c>
      <c r="O61" s="2379"/>
    </row>
    <row r="62" spans="1:35" ht="13.2">
      <c r="A62" s="3371" t="s">
        <v>939</v>
      </c>
      <c r="B62" s="3372"/>
      <c r="C62" s="532"/>
      <c r="D62" s="532" t="s">
        <v>940</v>
      </c>
      <c r="E62" s="2343" t="s">
        <v>890</v>
      </c>
      <c r="F62" s="2342"/>
      <c r="G62" s="2342"/>
      <c r="H62" s="940"/>
      <c r="I62" s="939"/>
    </row>
    <row r="63" spans="1:35" ht="13.2">
      <c r="A63" s="2344" t="s">
        <v>941</v>
      </c>
      <c r="B63" s="590" t="s">
        <v>942</v>
      </c>
      <c r="C63" s="2345">
        <f ca="1">ROUND((C64+C65)/(1+'数据-取费表'!C42),0)</f>
        <v>782</v>
      </c>
      <c r="D63" s="590"/>
      <c r="E63" s="2346"/>
      <c r="F63" s="2342"/>
      <c r="G63" s="2342"/>
      <c r="H63" s="940"/>
      <c r="I63" s="939"/>
      <c r="J63" s="3357" t="s">
        <v>943</v>
      </c>
      <c r="K63" s="2380" t="s">
        <v>944</v>
      </c>
      <c r="L63" s="2380">
        <f ca="1">IF(M49&gt;10000,M49*0.5%,IF(AND(M49&gt;1000,M49&lt;=10000),M49*1%,IF(AND(M49&gt;100,M49&lt;=1000),M49*3%,IF(AND(M49&gt;10,M49&lt;=100),M49*5%,M49*8%))))</f>
        <v>24.625847999999998</v>
      </c>
      <c r="M63" s="1829">
        <f ca="1">ROUND(L63,1)</f>
        <v>24.6</v>
      </c>
      <c r="N63" s="2381"/>
      <c r="Z63" s="2218"/>
      <c r="AI63" s="2219"/>
    </row>
    <row r="64" spans="1:35" ht="14.25" customHeight="1">
      <c r="A64" s="2347" t="s">
        <v>945</v>
      </c>
      <c r="B64" s="513" t="s">
        <v>946</v>
      </c>
      <c r="C64" s="2348">
        <f ca="1">D45</f>
        <v>821</v>
      </c>
      <c r="D64" s="513" t="s">
        <v>124</v>
      </c>
      <c r="E64" s="2349"/>
      <c r="F64" s="2342"/>
      <c r="G64" s="2342"/>
      <c r="H64" s="940"/>
      <c r="I64" s="939"/>
      <c r="J64" s="3357"/>
      <c r="K64" s="2380" t="s">
        <v>947</v>
      </c>
      <c r="L64" s="2380">
        <f ca="1">IF(M49&gt;2000,M49*0.5%,IF(AND(M49&gt;1000,M49&lt;=2000),M49*0.6%,IF(AND(M49&gt;500,M49&lt;=1000),M49*0.7%,IF(AND(M49&gt;200,M49&lt;=500),M49*0.8%,IF(AND(M49&gt;100,M49&lt;=200),M49*0.9%,IF(AND(M49&gt;50,M49&lt;=100),M49*1%,IF(AND(M49&gt;20,M49&lt;=50),M49*1.5%,IF(AND(M49&gt;10,M49&lt;=20),M49*2%,IF(AND(M49&gt;1,M49&lt;=10),M49*2.5%)))))))))</f>
        <v>5.7460311999999991</v>
      </c>
      <c r="M64" s="1829">
        <f t="shared" ref="M64:M65" ca="1" si="1">ROUND(L64,1)</f>
        <v>5.7</v>
      </c>
      <c r="N64" s="1992" t="s">
        <v>948</v>
      </c>
      <c r="Z64" s="2218"/>
      <c r="AI64" s="2219"/>
    </row>
    <row r="65" spans="1:35" ht="14.25" customHeight="1">
      <c r="A65" s="2347" t="s">
        <v>949</v>
      </c>
      <c r="B65" s="513" t="s">
        <v>950</v>
      </c>
      <c r="C65" s="2383"/>
      <c r="D65" s="513"/>
      <c r="E65" s="2349"/>
      <c r="F65" s="2342"/>
      <c r="G65" s="2342"/>
      <c r="H65" s="940"/>
      <c r="I65" s="939"/>
      <c r="J65" s="3357"/>
      <c r="K65" s="2380" t="s">
        <v>951</v>
      </c>
      <c r="L65" s="2380">
        <f ca="1">IF(M49&gt;1000,M49*0.1%,IF(AND(M49&gt;500,M49&lt;=1000),M49*0.5%,IF(AND(M49&gt;50,M49&lt;=500),M49*1%,IF(AND(M49&gt;1,M49&lt;=50),M49*1.5%))))</f>
        <v>4.1043079999999996</v>
      </c>
      <c r="M65" s="1829">
        <f t="shared" ca="1" si="1"/>
        <v>4.0999999999999996</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7"/>
      <c r="K66" s="2380" t="s">
        <v>955</v>
      </c>
      <c r="L66" s="2380">
        <f ca="1">M49*0.5%</f>
        <v>4.1043079999999996</v>
      </c>
      <c r="M66" s="1829">
        <f ca="1">IF(L66&gt;0.5,0.5,ROUND(L66,0))</f>
        <v>0.5</v>
      </c>
      <c r="N66" s="1992" t="s">
        <v>956</v>
      </c>
      <c r="Z66" s="2218"/>
      <c r="AI66" s="2219"/>
    </row>
    <row r="67" spans="1:35" ht="14.25" customHeight="1">
      <c r="A67" s="2344" t="s">
        <v>957</v>
      </c>
      <c r="B67" s="2384" t="s">
        <v>958</v>
      </c>
      <c r="C67" s="2387">
        <f ca="1">C63-C66</f>
        <v>579</v>
      </c>
      <c r="D67" s="513" t="s">
        <v>124</v>
      </c>
      <c r="E67" s="2349"/>
      <c r="F67" s="2342"/>
      <c r="G67" s="2342"/>
      <c r="H67" s="940"/>
      <c r="I67" s="939"/>
      <c r="J67" s="3357"/>
      <c r="K67" s="2380" t="s">
        <v>959</v>
      </c>
      <c r="L67" s="2380">
        <f ca="1">IF(M49&gt;=10000,(8.25+(M49-10000)*0.01%),IF(AND(M49&gt;=8000,M49&lt;10000),(7.85+(M49-8000)*0.02%),IF(AND(M49&gt;=5000,M49&lt;8000),(6.65+(M49-5000)*0.04%),IF(AND(M49&gt;=2000,M49&lt;5000),(4.25+(PM49-2000)*0.08%),IF(AND(M49&gt;=1000,M49&lt;2000),(2.75+(M49-1000)*0.15%),IF(AND(M49&gt;=100,M49&lt;1000),(0.5+(M49-100)*0.25%),IF(AND(M49&gt;0,M49&lt;100),M49*0.5%)))))))</f>
        <v>2.3021539999999998</v>
      </c>
      <c r="M67" s="1829">
        <f ca="1">ROUND(L67*0.9,1)</f>
        <v>2.1</v>
      </c>
      <c r="N67" s="2381"/>
      <c r="Z67" s="2218"/>
      <c r="AI67" s="2219"/>
    </row>
    <row r="68" spans="1:35" ht="14.25" customHeight="1">
      <c r="A68" s="2388" t="s">
        <v>960</v>
      </c>
      <c r="B68" s="2389" t="s">
        <v>961</v>
      </c>
      <c r="C68" s="2390">
        <f ca="1">IF(C67&lt;=0,0,ROUND(C67*D68,0))</f>
        <v>32</v>
      </c>
      <c r="D68" s="775">
        <f>'数据-取费表'!B41</f>
        <v>5.6000000000000001E-2</v>
      </c>
      <c r="E68" s="2391"/>
      <c r="F68" s="2342"/>
      <c r="G68" s="2342"/>
      <c r="H68" s="940"/>
      <c r="I68" s="939"/>
      <c r="J68" s="3357"/>
      <c r="K68" s="2380" t="s">
        <v>962</v>
      </c>
      <c r="L68" s="2380">
        <f ca="1">IF(M49&gt;10000,M49*0.5%,IF(AND(M49&gt;5000,M49&lt;=10000),M49*1%,IF(AND(M49&gt;1000,M49&lt;=5000),M49*2%,IF(AND(M49&gt;200,M49&lt;=1000),M49*3%,M49*5%))))</f>
        <v>24.625847999999998</v>
      </c>
      <c r="M68" s="1829">
        <f ca="1">ROUND(L68,1)</f>
        <v>24.6</v>
      </c>
      <c r="N68" s="2381"/>
      <c r="Z68" s="2218"/>
      <c r="AI68" s="2219"/>
    </row>
    <row r="69" spans="1:35" ht="16.5" customHeight="1">
      <c r="A69" s="2392"/>
      <c r="B69" s="2393"/>
      <c r="C69" s="2394"/>
      <c r="D69" s="697"/>
      <c r="E69" s="2395"/>
      <c r="F69" s="2341"/>
      <c r="G69" s="2341"/>
      <c r="H69" s="2302"/>
      <c r="I69" s="1971"/>
      <c r="J69" s="3357"/>
      <c r="K69" s="2380" t="s">
        <v>963</v>
      </c>
      <c r="L69" s="2380"/>
      <c r="M69" s="1829">
        <f ca="1">ROUND(SUM(M63:M68),0)</f>
        <v>62</v>
      </c>
      <c r="N69" s="2455">
        <f ca="1">M69/M49</f>
        <v>7.5530393917805388E-2</v>
      </c>
      <c r="Z69" s="2218"/>
      <c r="AI69" s="2219"/>
    </row>
    <row r="70" spans="1:35" s="880" customFormat="1" ht="13.8">
      <c r="A70" s="3395" t="s">
        <v>964</v>
      </c>
      <c r="B70" s="3396"/>
      <c r="C70" s="3396"/>
      <c r="D70" s="3396"/>
      <c r="E70" s="3396"/>
      <c r="F70" s="3396"/>
      <c r="G70" s="3396"/>
      <c r="H70" s="339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1" t="s">
        <v>939</v>
      </c>
      <c r="B71" s="3372"/>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782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289</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59" t="s">
        <v>975</v>
      </c>
      <c r="F76" s="3356"/>
      <c r="G76" s="3356"/>
      <c r="H76" s="339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5</v>
      </c>
      <c r="D78" s="2410">
        <f>'数据-取费表'!B43</f>
        <v>6.0000000000000001E-3</v>
      </c>
      <c r="E78" s="3398" t="s">
        <v>981</v>
      </c>
      <c r="F78" s="3399"/>
      <c r="G78" s="3399"/>
      <c r="H78" s="340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493</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1.7058823529411764</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203</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95" t="s">
        <v>986</v>
      </c>
      <c r="B83" s="3396"/>
      <c r="C83" s="3396"/>
      <c r="D83" s="3396"/>
      <c r="E83" s="3396"/>
      <c r="F83" s="3396"/>
      <c r="G83" s="3396"/>
      <c r="H83" s="339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1" t="s">
        <v>939</v>
      </c>
      <c r="B84" s="3372"/>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782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5</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407" t="s">
        <v>994</v>
      </c>
      <c r="H90" s="3408"/>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98" t="s">
        <v>998</v>
      </c>
      <c r="F91" s="3399"/>
      <c r="G91" s="339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98" t="s">
        <v>1001</v>
      </c>
      <c r="F92" s="3399"/>
      <c r="G92" s="3399"/>
      <c r="H92" s="340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5</v>
      </c>
      <c r="D93" s="2410">
        <f>'数据-取费表'!B43</f>
        <v>6.0000000000000001E-3</v>
      </c>
      <c r="E93" s="3398" t="s">
        <v>981</v>
      </c>
      <c r="F93" s="3399"/>
      <c r="G93" s="3399"/>
      <c r="H93" s="340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19" t="s">
        <v>1006</v>
      </c>
      <c r="F94" s="3420"/>
      <c r="G94" s="3420"/>
      <c r="H94" s="3421"/>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777</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155.4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464</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72" t="s">
        <v>1008</v>
      </c>
      <c r="B100" s="3273"/>
      <c r="C100" s="3273"/>
      <c r="D100" s="3383"/>
      <c r="E100" s="3273" t="s">
        <v>1009</v>
      </c>
      <c r="F100" s="3273"/>
      <c r="G100" s="3273"/>
      <c r="H100" s="3383"/>
      <c r="I100" s="939"/>
    </row>
    <row r="101" spans="1:35" ht="18.75" customHeight="1">
      <c r="A101" s="3384" t="s">
        <v>1010</v>
      </c>
      <c r="B101" s="3385"/>
      <c r="C101" s="2432" t="str">
        <f>C4</f>
        <v>比较法-商业</v>
      </c>
      <c r="D101" s="2433" t="str">
        <f>D4</f>
        <v>收益法 (元)</v>
      </c>
      <c r="E101" s="3406" t="s">
        <v>1011</v>
      </c>
      <c r="F101" s="3402"/>
      <c r="G101" s="2435" t="s">
        <v>1012</v>
      </c>
      <c r="H101" s="2436">
        <f ca="1">H118</f>
        <v>820.86159999999995</v>
      </c>
      <c r="I101" s="939"/>
    </row>
    <row r="102" spans="1:35" ht="18.75" customHeight="1">
      <c r="A102" s="3415" t="s">
        <v>1013</v>
      </c>
      <c r="B102" s="2437" t="s">
        <v>1012</v>
      </c>
      <c r="C102" s="2432">
        <f ca="1">IF(D32="楼面单价",ROUND(C19,0),C19)</f>
        <v>904</v>
      </c>
      <c r="D102" s="2433">
        <f ca="1">IF(D32="楼面单价",ROUND(D19,0),D19)</f>
        <v>627</v>
      </c>
      <c r="E102" s="3406"/>
      <c r="F102" s="3402"/>
      <c r="G102" s="2435" t="s">
        <v>99</v>
      </c>
      <c r="H102" s="2330">
        <f ca="1">I118</f>
        <v>31441</v>
      </c>
      <c r="I102" s="939"/>
    </row>
    <row r="103" spans="1:35" ht="42.75" customHeight="1">
      <c r="A103" s="3415"/>
      <c r="B103" s="2437" t="s">
        <v>99</v>
      </c>
      <c r="C103" s="2438">
        <f ca="1">C20</f>
        <v>34619</v>
      </c>
      <c r="D103" s="2439">
        <f ca="1">D20</f>
        <v>24027</v>
      </c>
      <c r="E103" s="3386" t="s">
        <v>1014</v>
      </c>
      <c r="F103" s="3387"/>
      <c r="G103" s="2440" t="s">
        <v>102</v>
      </c>
      <c r="H103" s="2436">
        <f>IF(D36="正常操作",H104+H105+H106,H105+H106)</f>
        <v>0</v>
      </c>
      <c r="I103" s="939"/>
    </row>
    <row r="104" spans="1:35" ht="18.75" customHeight="1">
      <c r="A104" s="3415" t="s">
        <v>1015</v>
      </c>
      <c r="B104" s="2441" t="s">
        <v>1012</v>
      </c>
      <c r="C104" s="2442">
        <f ca="1">H118</f>
        <v>820.86159999999995</v>
      </c>
      <c r="D104" s="2443"/>
      <c r="E104" s="2287" t="s">
        <v>1016</v>
      </c>
      <c r="F104" s="2444"/>
      <c r="G104" s="2440" t="s">
        <v>102</v>
      </c>
      <c r="H104" s="2445">
        <f>IF(D36="同一抵押权人同一抵押物续贷",C36&amp;"（续贷，未扣减，详见特别提示）",C36)</f>
        <v>0</v>
      </c>
      <c r="I104" s="939"/>
    </row>
    <row r="105" spans="1:35" ht="18.75" customHeight="1">
      <c r="A105" s="3416"/>
      <c r="B105" s="2446" t="s">
        <v>99</v>
      </c>
      <c r="C105" s="2447">
        <f ca="1">I118</f>
        <v>31441</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1" t="str">
        <f>IF(项目基本情况!E8="已注销","——","3.房地产抵押价值")</f>
        <v>3.房地产抵押价值</v>
      </c>
      <c r="F107" s="3402"/>
      <c r="G107" s="2435" t="s">
        <v>1012</v>
      </c>
      <c r="H107" s="2436">
        <f ca="1">IF(E107="——","——",H101-H103)</f>
        <v>820.86159999999995</v>
      </c>
      <c r="I107" s="939"/>
    </row>
    <row r="108" spans="1:35" ht="18.75" customHeight="1">
      <c r="A108" s="939"/>
      <c r="B108" s="939"/>
      <c r="C108" s="939"/>
      <c r="D108" s="939"/>
      <c r="E108" s="3401"/>
      <c r="F108" s="3402"/>
      <c r="G108" s="2435" t="s">
        <v>99</v>
      </c>
      <c r="H108" s="2330">
        <f ca="1">IF(H107=H101,H102,ROUND(H107*10000/'数据-汇总表'!E3,0))</f>
        <v>31441</v>
      </c>
      <c r="I108" s="939"/>
    </row>
    <row r="109" spans="1:35" ht="18.75" customHeight="1">
      <c r="A109" s="939"/>
      <c r="B109" s="939"/>
      <c r="C109" s="939"/>
      <c r="D109" s="939"/>
      <c r="E109" s="3401" t="str">
        <f>IF(项目基本情况!E8="已注销及未注销","4.抵押担保权已注销时的房地产抵押价值",IF(项目基本情况!E8="已注销","3.抵押担保权已注销时的房地产抵押价值","——"))</f>
        <v>——</v>
      </c>
      <c r="F109" s="3402"/>
      <c r="G109" s="2435" t="s">
        <v>1012</v>
      </c>
      <c r="H109" s="2451" t="str">
        <f>IF(E109="——","——",H101-H105-H106)</f>
        <v>——</v>
      </c>
      <c r="I109" s="939"/>
    </row>
    <row r="110" spans="1:35" ht="18.75" customHeight="1">
      <c r="A110" s="939"/>
      <c r="B110" s="939"/>
      <c r="C110" s="939"/>
      <c r="D110" s="939"/>
      <c r="E110" s="3401"/>
      <c r="F110" s="3402"/>
      <c r="G110" s="2435" t="s">
        <v>99</v>
      </c>
      <c r="H110" s="2330" t="str">
        <f>IF(H109="——","——",ROUND(H109*10000/'数据-汇总表'!E3,0))</f>
        <v>——</v>
      </c>
      <c r="I110" s="939"/>
    </row>
    <row r="111" spans="1:35" ht="18.75" customHeight="1">
      <c r="A111" s="939"/>
      <c r="B111" s="939"/>
      <c r="C111" s="939"/>
      <c r="D111" s="939"/>
      <c r="E111" s="3403"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c r="A112" s="939"/>
      <c r="B112" s="939"/>
      <c r="C112" s="939"/>
      <c r="D112" s="939"/>
      <c r="E112" s="3404"/>
      <c r="F112" s="3405"/>
      <c r="G112" s="2452" t="s">
        <v>99</v>
      </c>
      <c r="H112" s="2453" t="str">
        <f>IF(E111="——","——",N61)</f>
        <v>——</v>
      </c>
      <c r="I112" s="939"/>
    </row>
    <row r="113" spans="1:27" ht="18.75" customHeight="1">
      <c r="A113" s="939"/>
      <c r="B113" s="939"/>
      <c r="C113" s="939"/>
      <c r="D113" s="939"/>
      <c r="E113" s="3388" t="s">
        <v>1018</v>
      </c>
      <c r="F113" s="3388"/>
      <c r="G113" s="3388"/>
      <c r="H113" s="3388"/>
      <c r="I113" s="939"/>
    </row>
    <row r="114" spans="1:27" ht="3.75" customHeight="1">
      <c r="A114" s="1971"/>
      <c r="B114" s="1971"/>
      <c r="C114" s="1971"/>
      <c r="D114" s="1971"/>
      <c r="E114" s="2340"/>
      <c r="F114" s="2340"/>
      <c r="G114" s="2340"/>
      <c r="H114" s="2340"/>
      <c r="I114" s="1971"/>
    </row>
    <row r="115" spans="1:27" ht="18.75" customHeight="1">
      <c r="A115" s="3389" t="s">
        <v>1020</v>
      </c>
      <c r="B115" s="3390"/>
      <c r="C115" s="3390"/>
      <c r="D115" s="3390"/>
      <c r="E115" s="3390"/>
      <c r="F115" s="3390"/>
      <c r="G115" s="3390"/>
      <c r="H115" s="3390"/>
      <c r="I115" s="3391"/>
    </row>
    <row r="116" spans="1:27" ht="27" customHeight="1">
      <c r="A116" s="3379" t="s">
        <v>1021</v>
      </c>
      <c r="B116" s="3417" t="s">
        <v>1022</v>
      </c>
      <c r="C116" s="3417" t="s">
        <v>1023</v>
      </c>
      <c r="D116" s="3392" t="s">
        <v>1024</v>
      </c>
      <c r="E116" s="3393"/>
      <c r="F116" s="3394" t="s">
        <v>1025</v>
      </c>
      <c r="G116" s="3394"/>
      <c r="H116" s="3379" t="s">
        <v>1026</v>
      </c>
      <c r="I116" s="3379"/>
    </row>
    <row r="117" spans="1:27" ht="18.75" customHeight="1">
      <c r="A117" s="3379"/>
      <c r="B117" s="3418"/>
      <c r="C117" s="3418"/>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820.86159999999995</v>
      </c>
      <c r="I118" s="872">
        <f ca="1">ROUND(IF(D32="楼面单价",C32,H118*10000/B118),0)</f>
        <v>31441</v>
      </c>
    </row>
    <row r="119" spans="1:27" ht="18.75" customHeight="1">
      <c r="A119" s="3379" t="s">
        <v>1028</v>
      </c>
      <c r="B119" s="3379"/>
      <c r="C119" s="3379"/>
      <c r="D119" s="3380" t="e">
        <f ca="1">NUMBERSTRING(INT(D118*10000),2)&amp;"元整"</f>
        <v>#N/A</v>
      </c>
      <c r="E119" s="3382"/>
      <c r="F119" s="3380" t="e">
        <f ca="1">NUMBERSTRING(INT(F118*10000),2)&amp;"元整"</f>
        <v>#N/A</v>
      </c>
      <c r="G119" s="3382"/>
      <c r="H119" s="3380" t="str">
        <f ca="1">NUMBERSTRING(INT(H118*10000),2)&amp;"元整"</f>
        <v>捌佰贰拾万捌仟陆佰壹拾陆元整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0" t="s">
        <v>1028</v>
      </c>
      <c r="B121" s="3381"/>
      <c r="C121" s="3382"/>
      <c r="D121" s="3380" t="str">
        <f>IF(D120=0,"零元整",NUMBERSTRING(INT(D120*10000),2)&amp;"元整")</f>
        <v>零元整</v>
      </c>
      <c r="E121" s="3381"/>
      <c r="F121" s="3381"/>
      <c r="G121" s="3381"/>
      <c r="H121" s="3381"/>
      <c r="I121" s="3382"/>
      <c r="AA121" s="898"/>
    </row>
    <row r="122" spans="1:27" ht="18.75" customHeight="1">
      <c r="A122" s="3375" t="str">
        <f>IF(项目基本情况!B9="房地产市场价值","",MID(E107,3,LEN(E107)-2))</f>
        <v>房地产抵押价值</v>
      </c>
      <c r="B122" s="3375"/>
      <c r="C122" s="3375"/>
      <c r="D122" s="3376">
        <f ca="1">H107</f>
        <v>820.86159999999995</v>
      </c>
      <c r="E122" s="3377"/>
      <c r="F122" s="3377"/>
      <c r="G122" s="3377"/>
      <c r="H122" s="3377"/>
      <c r="I122" s="3378"/>
      <c r="AA122" s="898"/>
    </row>
    <row r="123" spans="1:27" ht="18.75" customHeight="1">
      <c r="A123" s="3379" t="s">
        <v>1028</v>
      </c>
      <c r="B123" s="3379"/>
      <c r="C123" s="3379"/>
      <c r="D123" s="3380" t="str">
        <f ca="1">NUMBERSTRING(INT(D122*10000),2)&amp;"元整"</f>
        <v>捌佰贰拾万捌仟陆佰壹拾陆元整</v>
      </c>
      <c r="E123" s="3381"/>
      <c r="F123" s="3381"/>
      <c r="G123" s="3381"/>
      <c r="H123" s="3381"/>
      <c r="I123" s="3382"/>
      <c r="AA123" s="898"/>
    </row>
    <row r="124" spans="1:27" ht="18.75" customHeight="1">
      <c r="A124" s="3375" t="str">
        <f>IF(项目基本情况!B9="房地产市场价值","",MID(E109,3,LEN(E109)-2))</f>
        <v/>
      </c>
      <c r="B124" s="3375"/>
      <c r="C124" s="3375"/>
      <c r="D124" s="3376" t="str">
        <f>H109</f>
        <v>——</v>
      </c>
      <c r="E124" s="3377"/>
      <c r="F124" s="3377"/>
      <c r="G124" s="3377"/>
      <c r="H124" s="3377"/>
      <c r="I124" s="3378"/>
      <c r="AA124" s="898"/>
    </row>
    <row r="125" spans="1:27" ht="18.75" customHeight="1">
      <c r="A125" s="3379" t="s">
        <v>1028</v>
      </c>
      <c r="B125" s="3379"/>
      <c r="C125" s="3379"/>
      <c r="D125" s="3380" t="e">
        <f>NUMBERSTRING(INT(D124*10000),2)&amp;"元整"</f>
        <v>#VALUE!</v>
      </c>
      <c r="E125" s="3381"/>
      <c r="F125" s="3381"/>
      <c r="G125" s="3381"/>
      <c r="H125" s="3381"/>
      <c r="I125" s="3382"/>
      <c r="AA125" s="898"/>
    </row>
    <row r="126" spans="1:27" ht="18.75" customHeight="1">
      <c r="A126" s="3375" t="str">
        <f>IF(项目基本情况!B9="房地产市场价值","",MID(E111,3,LEN(E111)-2))</f>
        <v/>
      </c>
      <c r="B126" s="3375"/>
      <c r="C126" s="3375"/>
      <c r="D126" s="3376" t="str">
        <f>H111</f>
        <v>——</v>
      </c>
      <c r="E126" s="3377"/>
      <c r="F126" s="3377"/>
      <c r="G126" s="3377"/>
      <c r="H126" s="3377"/>
      <c r="I126" s="3378"/>
      <c r="AA126" s="898"/>
    </row>
    <row r="127" spans="1:27" ht="18.75" customHeight="1">
      <c r="A127" s="3379" t="s">
        <v>1028</v>
      </c>
      <c r="B127" s="3379"/>
      <c r="C127" s="3379"/>
      <c r="D127" s="3380" t="e">
        <f>NUMBERSTRING(INT(D126*10000),2)&amp;"元整"</f>
        <v>#VALUE!</v>
      </c>
      <c r="E127" s="3381"/>
      <c r="F127" s="3381"/>
      <c r="G127" s="3381"/>
      <c r="H127" s="3381"/>
      <c r="I127" s="3382"/>
      <c r="AA127" s="898"/>
    </row>
    <row r="128" spans="1:27" ht="21.75" customHeight="1">
      <c r="A128" s="3409" t="s">
        <v>113</v>
      </c>
      <c r="B128" s="3409"/>
      <c r="C128" s="3409"/>
      <c r="D128" s="3409"/>
      <c r="E128" s="3409"/>
      <c r="F128" s="3409"/>
      <c r="G128" s="3409"/>
      <c r="H128" s="3409"/>
      <c r="I128" s="340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219" priority="3" stopIfTrue="1">
      <formula>$H$88&lt;&gt;"仅含出让金"</formula>
    </cfRule>
  </conditionalFormatting>
  <conditionalFormatting sqref="C91">
    <cfRule type="expression" dxfId="218" priority="2" stopIfTrue="1">
      <formula>$H$91="由企业提供"</formula>
    </cfRule>
  </conditionalFormatting>
  <conditionalFormatting sqref="C5:D7">
    <cfRule type="cellIs" dxfId="217" priority="10" stopIfTrue="1" operator="equal">
      <formula>25</formula>
    </cfRule>
  </conditionalFormatting>
  <conditionalFormatting sqref="C8:D13">
    <cfRule type="cellIs" dxfId="216" priority="8" stopIfTrue="1" operator="equal">
      <formula>15</formula>
    </cfRule>
  </conditionalFormatting>
  <conditionalFormatting sqref="C14:D16">
    <cfRule type="cellIs" dxfId="215" priority="6" stopIfTrue="1" operator="equal">
      <formula>30</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434</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4706</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422" t="s">
        <v>1116</v>
      </c>
    </row>
    <row r="43" spans="1:7" ht="13.5" customHeight="1">
      <c r="A43" s="384" t="s">
        <v>1048</v>
      </c>
      <c r="B43" s="357" t="s">
        <v>1086</v>
      </c>
      <c r="C43" s="386">
        <f ca="1">ROUND(IF('数据-取费表'!B22&lt;=1,C39*F22*'数据-取费表'!B21/2,C39*(POWER((1+F22),'数据-取费表'!B21/2)-1)),0)</f>
        <v>0</v>
      </c>
      <c r="D43" s="386"/>
      <c r="E43" s="386"/>
      <c r="F43" s="387"/>
      <c r="G43" s="3423"/>
    </row>
    <row r="44" spans="1:7" ht="13.5" customHeight="1">
      <c r="A44" s="384" t="s">
        <v>1050</v>
      </c>
      <c r="B44" s="357" t="s">
        <v>1088</v>
      </c>
      <c r="C44" s="386">
        <f ca="1">ROUND(IF('数据-取费表'!B22&lt;=1,C40*F22*'数据-取费表'!B21/2,C40*(POWER((1+F22),'数据-取费表'!B21/2)-1)),4)</f>
        <v>5.0000000000000001E-4</v>
      </c>
      <c r="D44" s="386"/>
      <c r="E44" s="386"/>
      <c r="F44" s="387"/>
      <c r="G44" s="3424"/>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0.77</v>
      </c>
      <c r="G50" s="395" t="s">
        <v>1125</v>
      </c>
    </row>
    <row r="51" spans="1:7" ht="16.5" customHeight="1">
      <c r="A51" s="351" t="s">
        <v>1126</v>
      </c>
      <c r="B51" s="352" t="s">
        <v>1127</v>
      </c>
      <c r="C51" s="376">
        <f ca="1">ROUND(C49*F50,0)</f>
        <v>410</v>
      </c>
      <c r="D51" s="376"/>
      <c r="E51" s="376"/>
      <c r="F51" s="411"/>
      <c r="G51" s="381" t="s">
        <v>1128</v>
      </c>
    </row>
    <row r="52" spans="1:7" s="332" customFormat="1" ht="16.2">
      <c r="A52" s="412" t="s">
        <v>1129</v>
      </c>
      <c r="B52" s="413"/>
      <c r="C52" s="414">
        <f ca="1">C31+C51</f>
        <v>434</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L28" zoomScale="80" zoomScaleNormal="70" workbookViewId="0">
      <selection activeCell="R48" sqref="R48:W4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2892</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903.8329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34619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2888</v>
      </c>
      <c r="F5" s="3324"/>
      <c r="G5" s="3323" t="s">
        <v>2888</v>
      </c>
      <c r="H5" s="3324"/>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4.4">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89"/>
      <c r="Q25" s="625" t="str">
        <f t="shared" ref="Q25:Q46" si="11">B25</f>
        <v>临街状况</v>
      </c>
      <c r="R25" s="1227" t="s">
        <v>1152</v>
      </c>
      <c r="S25" s="1228">
        <f>F25</f>
        <v>100</v>
      </c>
      <c r="T25" s="1227" t="s">
        <v>1152</v>
      </c>
      <c r="U25" s="1228">
        <f>H25</f>
        <v>100</v>
      </c>
      <c r="V25" s="1227" t="s">
        <v>1152</v>
      </c>
      <c r="W25" s="1228">
        <f>J25</f>
        <v>100</v>
      </c>
      <c r="X25" s="1222"/>
      <c r="Y25" s="3291"/>
      <c r="Z25" s="1211" t="str">
        <f>Q25</f>
        <v>临街状况</v>
      </c>
      <c r="AA25" s="1211">
        <f t="shared" si="3"/>
        <v>1</v>
      </c>
      <c r="AB25" s="1211">
        <f t="shared" si="4"/>
        <v>1</v>
      </c>
      <c r="AC25" s="1211">
        <f t="shared" si="5"/>
        <v>1</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89"/>
      <c r="Q26" s="625" t="str">
        <f t="shared" si="11"/>
        <v>平面位置/可视性</v>
      </c>
      <c r="R26" s="1227" t="s">
        <v>1152</v>
      </c>
      <c r="S26" s="1228">
        <f>F26</f>
        <v>100</v>
      </c>
      <c r="T26" s="1227" t="s">
        <v>1152</v>
      </c>
      <c r="U26" s="1228">
        <f>H26</f>
        <v>100</v>
      </c>
      <c r="V26" s="1227" t="s">
        <v>1152</v>
      </c>
      <c r="W26" s="1228">
        <f>J26</f>
        <v>100</v>
      </c>
      <c r="X26" s="1222"/>
      <c r="Y26" s="3291"/>
      <c r="Z26" s="1211" t="str">
        <f>Q26</f>
        <v>平面位置/可视性</v>
      </c>
      <c r="AA26" s="1211">
        <f t="shared" si="3"/>
        <v>1</v>
      </c>
      <c r="AB26" s="1211">
        <f t="shared" si="4"/>
        <v>1</v>
      </c>
      <c r="AC26" s="1211">
        <f t="shared" si="5"/>
        <v>1</v>
      </c>
    </row>
    <row r="27" spans="1:29" s="1008" customFormat="1" ht="15">
      <c r="A27" s="1055"/>
      <c r="B27" s="1343" t="s">
        <v>1172</v>
      </c>
      <c r="C27" s="2176" t="s">
        <v>2882</v>
      </c>
      <c r="D27" s="1079">
        <v>100</v>
      </c>
      <c r="E27" s="2176" t="s">
        <v>1911</v>
      </c>
      <c r="F27" s="1098">
        <f>SUMIF(90:90,E27,91:91)-SUMIF(90:90,C27,91:91)+100</f>
        <v>98</v>
      </c>
      <c r="G27" s="2176" t="s">
        <v>1911</v>
      </c>
      <c r="H27" s="1079">
        <f>SUMIF(90:90,G27,91:91)-SUMIF(90:90,C27,91:91)+100</f>
        <v>98</v>
      </c>
      <c r="I27" s="2176" t="s">
        <v>1911</v>
      </c>
      <c r="J27" s="1079">
        <f>SUMIF(90:90,I27,91:91)-SUMIF(90:90,C27,91:91)+100</f>
        <v>98</v>
      </c>
      <c r="K27" s="1197">
        <v>2</v>
      </c>
      <c r="L27" s="1179"/>
      <c r="M27" s="1180"/>
      <c r="N27" s="1180"/>
      <c r="O27" s="1180"/>
      <c r="P27" s="3289"/>
      <c r="Q27" s="794" t="str">
        <f t="shared" si="11"/>
        <v>人流量</v>
      </c>
      <c r="R27" s="1223" t="s">
        <v>1152</v>
      </c>
      <c r="S27" s="1224">
        <f>F27</f>
        <v>98</v>
      </c>
      <c r="T27" s="1223" t="s">
        <v>1152</v>
      </c>
      <c r="U27" s="1224">
        <f>H27</f>
        <v>98</v>
      </c>
      <c r="V27" s="1223" t="s">
        <v>1152</v>
      </c>
      <c r="W27" s="1224">
        <f>J27</f>
        <v>98</v>
      </c>
      <c r="X27" s="1225"/>
      <c r="Y27" s="3291"/>
      <c r="Z27" s="1235" t="str">
        <f>Q27</f>
        <v>人流量</v>
      </c>
      <c r="AA27" s="1211">
        <f t="shared" si="3"/>
        <v>1.0204081632653061</v>
      </c>
      <c r="AB27" s="1211">
        <f t="shared" si="4"/>
        <v>1.0204081632653061</v>
      </c>
      <c r="AC27" s="1211">
        <f t="shared" si="5"/>
        <v>1.0204081632653061</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293"/>
      <c r="Q33" s="1417" t="str">
        <f t="shared" si="11"/>
        <v>项目建筑规模</v>
      </c>
      <c r="R33" s="1229" t="s">
        <v>1152</v>
      </c>
      <c r="S33" s="1230">
        <f t="shared" si="12"/>
        <v>100</v>
      </c>
      <c r="T33" s="1229" t="s">
        <v>1152</v>
      </c>
      <c r="U33" s="1230">
        <f t="shared" si="13"/>
        <v>101</v>
      </c>
      <c r="V33" s="1229" t="s">
        <v>1152</v>
      </c>
      <c r="W33" s="1230">
        <f t="shared" si="14"/>
        <v>101</v>
      </c>
      <c r="X33" s="1231"/>
      <c r="Y33" s="3295"/>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3"/>
      <c r="Q44" s="794" t="str">
        <f t="shared" si="11"/>
        <v>占比</v>
      </c>
      <c r="R44" s="1223" t="s">
        <v>1152</v>
      </c>
      <c r="S44" s="1224">
        <f t="shared" si="12"/>
        <v>105</v>
      </c>
      <c r="T44" s="1223" t="s">
        <v>1152</v>
      </c>
      <c r="U44" s="1224">
        <f t="shared" si="13"/>
        <v>105</v>
      </c>
      <c r="V44" s="1223" t="s">
        <v>1152</v>
      </c>
      <c r="W44" s="1224">
        <f t="shared" si="14"/>
        <v>105</v>
      </c>
      <c r="X44" s="1225"/>
      <c r="Y44" s="3295"/>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283" t="str">
        <f>A47</f>
        <v>成交单价（元/平方米）</v>
      </c>
      <c r="Q47" s="3283"/>
      <c r="R47" s="3284">
        <f>E47</f>
        <v>36427</v>
      </c>
      <c r="S47" s="3284"/>
      <c r="T47" s="3284">
        <f>G47</f>
        <v>35659</v>
      </c>
      <c r="U47" s="3284"/>
      <c r="V47" s="3284">
        <f>I47</f>
        <v>37646</v>
      </c>
      <c r="W47" s="3284"/>
      <c r="X47" s="1164"/>
      <c r="Y47" s="1237"/>
      <c r="Z47" s="1164"/>
      <c r="AA47" s="1164"/>
      <c r="AB47" s="1164"/>
      <c r="AC47" s="1164"/>
    </row>
    <row r="48" spans="1:29" ht="14.4">
      <c r="A48" s="1115" t="s">
        <v>1195</v>
      </c>
      <c r="B48" s="1402"/>
      <c r="C48" s="1403">
        <f>R49</f>
        <v>34619</v>
      </c>
      <c r="D48" s="1118" t="s">
        <v>1196</v>
      </c>
      <c r="E48" s="1404">
        <f>R48</f>
        <v>34706</v>
      </c>
      <c r="F48" s="1119"/>
      <c r="G48" s="1403">
        <f>T48</f>
        <v>33638</v>
      </c>
      <c r="H48" s="1119"/>
      <c r="I48" s="1404">
        <f>V48</f>
        <v>35513</v>
      </c>
      <c r="J48" s="1119"/>
      <c r="K48" s="1204">
        <f>F48+H48+J48</f>
        <v>0</v>
      </c>
      <c r="L48" s="1203"/>
      <c r="M48" s="1124"/>
      <c r="N48" s="1124"/>
      <c r="O48" s="1124"/>
      <c r="P48" s="3283" t="str">
        <f>A48</f>
        <v>比较价值（元/平方米）</v>
      </c>
      <c r="Q48" s="3283"/>
      <c r="R48" s="3284">
        <f>IF(F1="售价",ROUND(PRODUCT(R47,AA7:AA46),0),ROUND(PRODUCT(R47,AA7:AA46),1))</f>
        <v>34706</v>
      </c>
      <c r="S48" s="3284"/>
      <c r="T48" s="3284">
        <f>IF(F1="售价",ROUND(PRODUCT(T47,AB7:AB46),0),ROUND(PRODUCT(T47,AB7:AB46),1))</f>
        <v>33638</v>
      </c>
      <c r="U48" s="3284"/>
      <c r="V48" s="3284">
        <f>IF(F1="售价",ROUND(PRODUCT(V47,AC7:AC46),0),ROUND(PRODUCT(V47,AC7:AC46),1))</f>
        <v>35513</v>
      </c>
      <c r="W48" s="3284"/>
      <c r="X48" s="1164"/>
      <c r="Y48" s="1164"/>
      <c r="Z48" s="1164"/>
      <c r="AA48" s="1164"/>
      <c r="AB48" s="1164"/>
      <c r="AC48" s="1164"/>
    </row>
    <row r="49" spans="1:29" ht="14.4">
      <c r="A49" s="1121" t="s">
        <v>1197</v>
      </c>
      <c r="B49" s="1122"/>
      <c r="C49" s="1034">
        <f>R49</f>
        <v>34619</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34619</v>
      </c>
      <c r="S49" s="3287"/>
      <c r="T49" s="3287"/>
      <c r="U49" s="3287"/>
      <c r="V49" s="3287"/>
      <c r="W49" s="3287"/>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4.9587967498415209E-2</v>
      </c>
      <c r="F52" s="1128" t="str">
        <f>IF(OR(E52&gt;=0.3,E52&lt;=-0.3),"超过30%","")</f>
        <v/>
      </c>
      <c r="G52" s="1127">
        <f>IF(G47&lt;G48,G48/G47-1,G47/G48-1)</f>
        <v>6.0080860931089886E-2</v>
      </c>
      <c r="H52" s="1128" t="str">
        <f>IF(OR(G52&gt;=0.3,G52&lt;=-0.3),"超过30%","")</f>
        <v/>
      </c>
      <c r="I52" s="1127">
        <f>IF(I47&lt;I48,I48/I47-1,I47/I48-1)</f>
        <v>6.0062512319432271E-2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3.174980676615724E-2</v>
      </c>
      <c r="F53" s="1128" t="str">
        <f>IF(OR(E53&gt;=0.2,E53&lt;=-0.2),"超过20%","")</f>
        <v/>
      </c>
      <c r="G53" s="1127">
        <f>IF(G48&lt;I48,I48/G48-1,G48/I48-1)</f>
        <v>5.5740531541708771E-2</v>
      </c>
      <c r="H53" s="1128" t="str">
        <f>IF(OR(G53&gt;=0.2,G53&lt;=-0.2),"超过20%","")</f>
        <v/>
      </c>
      <c r="I53" s="1127">
        <f>IF(I48&lt;E48,E48/I48-1,I48/E48-1)</f>
        <v>2.3252463550970992E-2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3" t="s">
        <v>2875</v>
      </c>
      <c r="D86" s="3173" t="s">
        <v>2876</v>
      </c>
      <c r="E86" s="3173" t="s">
        <v>2877</v>
      </c>
      <c r="F86" s="3173" t="s">
        <v>2878</v>
      </c>
      <c r="G86" s="3173" t="s">
        <v>2918</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13" priority="16" stopIfTrue="1">
      <formula>$F$52="超过30%"</formula>
    </cfRule>
  </conditionalFormatting>
  <conditionalFormatting sqref="E53">
    <cfRule type="expression" dxfId="212" priority="15" stopIfTrue="1">
      <formula>$F$53="超过20%"</formula>
    </cfRule>
  </conditionalFormatting>
  <conditionalFormatting sqref="E54">
    <cfRule type="expression" dxfId="211" priority="14" stopIfTrue="1">
      <formula>$F$54="超过30%"</formula>
    </cfRule>
  </conditionalFormatting>
  <conditionalFormatting sqref="F7:F46 H7:H46 J7:J46">
    <cfRule type="cellIs" dxfId="210" priority="1" operator="notEqual">
      <formula>100</formula>
    </cfRule>
  </conditionalFormatting>
  <conditionalFormatting sqref="F48">
    <cfRule type="expression" dxfId="209" priority="4">
      <formula>$D$48="简单平均"</formula>
    </cfRule>
  </conditionalFormatting>
  <conditionalFormatting sqref="F52:F54 H52:H54">
    <cfRule type="containsText" dxfId="208" priority="17" stopIfTrue="1" operator="containsText" text="超过">
      <formula>NOT(ISERROR(SEARCH("超过",F52)))</formula>
    </cfRule>
  </conditionalFormatting>
  <conditionalFormatting sqref="G52">
    <cfRule type="expression" dxfId="207" priority="12" stopIfTrue="1">
      <formula>$H$52="超过30%"</formula>
    </cfRule>
  </conditionalFormatting>
  <conditionalFormatting sqref="G53">
    <cfRule type="expression" dxfId="206" priority="11" stopIfTrue="1">
      <formula>$H$53="超过20%"</formula>
    </cfRule>
  </conditionalFormatting>
  <conditionalFormatting sqref="G54">
    <cfRule type="expression" dxfId="205" priority="13" stopIfTrue="1">
      <formula>$H$54="超过30%"</formula>
    </cfRule>
  </conditionalFormatting>
  <conditionalFormatting sqref="H48">
    <cfRule type="expression" dxfId="204" priority="3">
      <formula>$D$48="简单平均"</formula>
    </cfRule>
  </conditionalFormatting>
  <conditionalFormatting sqref="I52">
    <cfRule type="expression" dxfId="203" priority="7" stopIfTrue="1">
      <formula>$J$52="超过30%"</formula>
    </cfRule>
  </conditionalFormatting>
  <conditionalFormatting sqref="I53">
    <cfRule type="expression" dxfId="202" priority="6" stopIfTrue="1">
      <formula>$J$53="超过20%"</formula>
    </cfRule>
  </conditionalFormatting>
  <conditionalFormatting sqref="I54">
    <cfRule type="expression" dxfId="201" priority="5" stopIfTrue="1">
      <formula>$J$54="超过30%"</formula>
    </cfRule>
  </conditionalFormatting>
  <conditionalFormatting sqref="J48">
    <cfRule type="expression" dxfId="200" priority="2">
      <formula>$D$48="简单平均"</formula>
    </cfRule>
  </conditionalFormatting>
  <conditionalFormatting sqref="J52:J54">
    <cfRule type="containsText" dxfId="199"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2892</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627.28530000000001</v>
      </c>
      <c r="C2" s="1808" t="s">
        <v>1223</v>
      </c>
      <c r="D2" s="2188">
        <f ca="1">C40+J29+L46</f>
        <v>6272853</v>
      </c>
      <c r="E2" s="1809" t="s">
        <v>1224</v>
      </c>
      <c r="F2" s="1810"/>
      <c r="G2" s="1811"/>
      <c r="H2" s="1812"/>
      <c r="I2" s="1812"/>
      <c r="J2" s="1812"/>
      <c r="K2" s="1968"/>
      <c r="L2" s="1812"/>
      <c r="M2" s="1812"/>
    </row>
    <row r="3" spans="1:37" ht="18" customHeight="1">
      <c r="A3" s="1813" t="s">
        <v>1225</v>
      </c>
      <c r="B3" s="1814">
        <f ca="1">IF(ISERROR(D2/F43),0,ROUND(D2/F43,0))</f>
        <v>24027</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446534</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445977</v>
      </c>
      <c r="D6" s="1828" t="s">
        <v>1236</v>
      </c>
      <c r="E6" s="1829" t="s">
        <v>1237</v>
      </c>
      <c r="F6" s="1830">
        <f ca="1">INDIRECT("'数据-取费表'!u"&amp;$G$1)</f>
        <v>5.2</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261.08</v>
      </c>
      <c r="G7" s="718"/>
      <c r="H7" s="1835"/>
      <c r="I7" s="3428"/>
      <c r="J7" s="1836"/>
      <c r="K7" s="1833"/>
      <c r="L7" s="1829" t="s">
        <v>1239</v>
      </c>
      <c r="M7" s="1830">
        <f ca="1">F7</f>
        <v>261.08</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557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1167063</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87964</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74754</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23785</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50969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1167</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4465</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358570</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6189701</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23708</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-631.21709999999996</v>
      </c>
      <c r="D45" s="2191" t="s">
        <v>1329</v>
      </c>
      <c r="E45" s="1912"/>
      <c r="F45" s="1912"/>
      <c r="O45" s="2027" t="s">
        <v>1330</v>
      </c>
      <c r="P45" s="1902"/>
      <c r="Q45" s="1902"/>
      <c r="R45" s="1902"/>
    </row>
    <row r="46" spans="1:18" s="718" customFormat="1">
      <c r="A46" s="1914" t="s">
        <v>1331</v>
      </c>
      <c r="C46" s="1915">
        <f ca="1">ROUND(C45,0)</f>
        <v>-631</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6189701</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4890391</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6272853</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1167063</v>
      </c>
      <c r="D56" s="1949"/>
      <c r="E56" s="1950"/>
      <c r="F56" s="1946"/>
      <c r="I56" s="2032" t="s">
        <v>1378</v>
      </c>
      <c r="J56" s="2033" t="s">
        <v>1379</v>
      </c>
      <c r="K56" s="2008" t="s">
        <v>1380</v>
      </c>
      <c r="L56" s="2011" t="str">
        <f ca="1">IF(L48&lt;J51,"——",L48-J51)</f>
        <v>——</v>
      </c>
      <c r="O56" s="2006" t="s">
        <v>1052</v>
      </c>
      <c r="P56" s="2007" t="s">
        <v>1339</v>
      </c>
      <c r="Q56" s="2044">
        <f ca="1">C40+J29</f>
        <v>6189701</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6189701</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1167</v>
      </c>
      <c r="D65" s="1960" t="s">
        <v>1294</v>
      </c>
      <c r="E65" s="1952" t="s">
        <v>1259</v>
      </c>
      <c r="F65" s="1896">
        <f t="shared" ca="1" si="0"/>
        <v>1E-3</v>
      </c>
      <c r="I65" s="2040" t="s">
        <v>1403</v>
      </c>
      <c r="J65" s="1141">
        <v>40</v>
      </c>
      <c r="K65" s="1141">
        <v>30</v>
      </c>
      <c r="L65" s="1141">
        <v>50</v>
      </c>
      <c r="M65" s="2042">
        <v>0.02</v>
      </c>
      <c r="O65" s="2006" t="s">
        <v>1052</v>
      </c>
      <c r="P65" s="2007" t="s">
        <v>1339</v>
      </c>
      <c r="Q65" s="2044">
        <f ca="1">C40+J29</f>
        <v>6189701</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-8745</v>
      </c>
      <c r="D67" s="1959" t="s">
        <v>1302</v>
      </c>
      <c r="E67" s="2047"/>
      <c r="F67" s="2048"/>
      <c r="O67" s="2014" t="s">
        <v>1353</v>
      </c>
      <c r="P67" s="2007" t="s">
        <v>1387</v>
      </c>
      <c r="Q67" s="2068">
        <f ca="1">L51</f>
        <v>4890391</v>
      </c>
      <c r="R67" s="2044" t="s">
        <v>1404</v>
      </c>
    </row>
    <row r="68" spans="1:18" s="718" customFormat="1" ht="15.6">
      <c r="A68" s="2049" t="s">
        <v>1306</v>
      </c>
      <c r="B68" s="2050" t="s">
        <v>1324</v>
      </c>
      <c r="C68" s="1901">
        <f ca="1">ROUND(C67*(1-((1+F70)/(1+F68))^F69)/(F68-F70),0)</f>
        <v>-122470</v>
      </c>
      <c r="D68" s="1962" t="s">
        <v>1308</v>
      </c>
      <c r="E68" s="1952" t="s">
        <v>1309</v>
      </c>
      <c r="F68" s="1837">
        <f ca="1">F40</f>
        <v>5.5E-2</v>
      </c>
      <c r="O68" s="2014" t="s">
        <v>1357</v>
      </c>
      <c r="P68" s="2067" t="s">
        <v>1405</v>
      </c>
      <c r="Q68" s="2044">
        <f ca="1">ROUND(Q69-Q70*Q71,0)</f>
        <v>276876</v>
      </c>
      <c r="R68" s="2044" t="s">
        <v>1406</v>
      </c>
    </row>
    <row r="69" spans="1:18" s="718" customFormat="1">
      <c r="A69" s="2051"/>
      <c r="B69" s="2052"/>
      <c r="C69" s="1836"/>
      <c r="D69" s="2053" t="s">
        <v>1312</v>
      </c>
      <c r="E69" s="1952" t="s">
        <v>1313</v>
      </c>
      <c r="F69" s="1905">
        <f ca="1">F41</f>
        <v>27.47</v>
      </c>
      <c r="O69" s="2014" t="s">
        <v>1407</v>
      </c>
      <c r="P69" s="2067" t="s">
        <v>1408</v>
      </c>
      <c r="Q69" s="2044">
        <f ca="1">C39</f>
        <v>358570</v>
      </c>
      <c r="R69" s="2044" t="s">
        <v>1340</v>
      </c>
    </row>
    <row r="70" spans="1:18" s="718" customFormat="1">
      <c r="A70" s="2054"/>
      <c r="B70" s="2055"/>
      <c r="C70" s="1856"/>
      <c r="D70" s="1964"/>
      <c r="E70" s="1952" t="s">
        <v>1316</v>
      </c>
      <c r="F70" s="1941"/>
      <c r="O70" s="2014" t="s">
        <v>1409</v>
      </c>
      <c r="P70" s="2067" t="s">
        <v>1410</v>
      </c>
      <c r="Q70" s="2044">
        <f ca="1">C13</f>
        <v>1167063</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81694</v>
      </c>
      <c r="D75" s="718"/>
      <c r="E75" s="718"/>
      <c r="F75" s="718"/>
      <c r="K75" s="1993"/>
      <c r="L75" s="718"/>
      <c r="O75" s="2006" t="s">
        <v>1372</v>
      </c>
      <c r="P75" s="2007" t="s">
        <v>1373</v>
      </c>
      <c r="Q75" s="2044">
        <f ca="1">Q65+Q66</f>
        <v>6189701</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0.77200000000000002</v>
      </c>
    </row>
    <row r="80" spans="1:18">
      <c r="B80" s="2061" t="s">
        <v>1420</v>
      </c>
      <c r="C80" s="419">
        <f ca="1">ROUND(C75/C39,3)</f>
        <v>0.22800000000000001</v>
      </c>
    </row>
    <row r="81" spans="2:3">
      <c r="B81" s="416" t="s">
        <v>1421</v>
      </c>
      <c r="C81" s="386"/>
    </row>
    <row r="82" spans="2:3">
      <c r="B82" s="418" t="s">
        <v>1131</v>
      </c>
      <c r="C82" s="420">
        <f ca="1">1-C83</f>
        <v>0.81099999999999994</v>
      </c>
    </row>
    <row r="83" spans="2:3">
      <c r="B83" s="418" t="s">
        <v>1132</v>
      </c>
      <c r="C83" s="419">
        <f ca="1">ROUND(C13/C40,3)</f>
        <v>0.189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8" priority="3">
      <formula>$F$10="自定义"</formula>
    </cfRule>
  </conditionalFormatting>
  <conditionalFormatting sqref="C54">
    <cfRule type="expression" dxfId="197" priority="1">
      <formula>$F$53="自定义"</formula>
    </cfRule>
  </conditionalFormatting>
  <conditionalFormatting sqref="I55 I60">
    <cfRule type="expression" dxfId="196" priority="5">
      <formula>$J$51&gt;$L$48</formula>
    </cfRule>
  </conditionalFormatting>
  <conditionalFormatting sqref="J11">
    <cfRule type="expression" dxfId="195" priority="2">
      <formula>$M$10="自定义"</formula>
    </cfRule>
  </conditionalFormatting>
  <conditionalFormatting sqref="K55 K60">
    <cfRule type="expression" dxfId="194"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zoomScaleNormal="100" zoomScalePageLayoutView="80" workbookViewId="0">
      <selection activeCell="L10" sqref="L10"/>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2906</v>
      </c>
      <c r="D1" s="1971"/>
      <c r="E1" s="1971"/>
      <c r="F1" s="2222" t="s">
        <v>816</v>
      </c>
      <c r="G1" s="2223" t="s">
        <v>2910</v>
      </c>
      <c r="H1" s="2222" t="str">
        <f>IF(G1="现房","——","估价对象范围")</f>
        <v>——</v>
      </c>
      <c r="I1" s="2350"/>
    </row>
    <row r="2" spans="1:12" ht="21.75" customHeight="1" thickBot="1">
      <c r="A2" s="3329" t="str">
        <f>项目基本情况!S2</f>
        <v>北京市房地产</v>
      </c>
      <c r="B2" s="3330"/>
      <c r="C2" s="3330"/>
      <c r="D2" s="3330"/>
      <c r="E2" s="3330"/>
      <c r="F2" s="3330"/>
      <c r="G2" s="3330"/>
      <c r="H2" s="3330"/>
      <c r="I2" s="3331"/>
    </row>
    <row r="3" spans="1:12" ht="13.2">
      <c r="A3" s="3332" t="s">
        <v>817</v>
      </c>
      <c r="B3" s="3333"/>
      <c r="C3" s="3333"/>
      <c r="D3" s="3333"/>
      <c r="E3" s="3333"/>
      <c r="F3" s="3333"/>
      <c r="G3" s="3333"/>
      <c r="H3" s="3333"/>
      <c r="I3" s="3333"/>
    </row>
    <row r="4" spans="1:12" ht="14.4">
      <c r="A4" s="2224" t="s">
        <v>818</v>
      </c>
      <c r="B4" s="2225" t="s">
        <v>819</v>
      </c>
      <c r="C4" s="2226" t="s">
        <v>2896</v>
      </c>
      <c r="D4" s="2226" t="s">
        <v>2905</v>
      </c>
      <c r="E4" s="3334" t="s">
        <v>821</v>
      </c>
      <c r="F4" s="3335"/>
      <c r="G4" s="3335"/>
      <c r="H4" s="3335"/>
      <c r="I4" s="3336"/>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379" t="s">
        <v>822</v>
      </c>
      <c r="B5" s="3301">
        <v>25</v>
      </c>
      <c r="C5" s="3349"/>
      <c r="D5" s="3348"/>
      <c r="E5" s="1870" t="s">
        <v>823</v>
      </c>
      <c r="F5" s="2230"/>
      <c r="G5" s="2230"/>
      <c r="H5" s="2230"/>
      <c r="I5" s="1943"/>
    </row>
    <row r="6" spans="1:12" ht="13.2">
      <c r="A6" s="3379"/>
      <c r="B6" s="3301"/>
      <c r="C6" s="3350"/>
      <c r="D6" s="3348"/>
      <c r="E6" s="1870" t="s">
        <v>824</v>
      </c>
      <c r="F6" s="2230"/>
      <c r="G6" s="2230"/>
      <c r="H6" s="2230"/>
      <c r="I6" s="1943"/>
    </row>
    <row r="7" spans="1:12" ht="13.2">
      <c r="A7" s="3379"/>
      <c r="B7" s="3301"/>
      <c r="C7" s="3351"/>
      <c r="D7" s="3348"/>
      <c r="E7" s="1870" t="s">
        <v>825</v>
      </c>
      <c r="F7" s="2230"/>
      <c r="G7" s="2230"/>
      <c r="H7" s="2230"/>
      <c r="I7" s="1943"/>
    </row>
    <row r="8" spans="1:12" ht="13.2">
      <c r="A8" s="3379" t="s">
        <v>826</v>
      </c>
      <c r="B8" s="3301">
        <v>15</v>
      </c>
      <c r="C8" s="3349"/>
      <c r="D8" s="3348"/>
      <c r="E8" s="1870" t="s">
        <v>827</v>
      </c>
      <c r="F8" s="2230"/>
      <c r="G8" s="2230"/>
      <c r="H8" s="2230"/>
      <c r="I8" s="1943"/>
    </row>
    <row r="9" spans="1:12" ht="13.2">
      <c r="A9" s="3379"/>
      <c r="B9" s="3301"/>
      <c r="C9" s="3351"/>
      <c r="D9" s="3348"/>
      <c r="E9" s="1870" t="s">
        <v>828</v>
      </c>
      <c r="F9" s="2230"/>
      <c r="G9" s="2230"/>
      <c r="H9" s="2230"/>
      <c r="I9" s="1943"/>
    </row>
    <row r="10" spans="1:12" ht="13.2">
      <c r="A10" s="3379" t="s">
        <v>829</v>
      </c>
      <c r="B10" s="3301">
        <v>15</v>
      </c>
      <c r="C10" s="3349"/>
      <c r="D10" s="3348"/>
      <c r="E10" s="1870" t="s">
        <v>830</v>
      </c>
      <c r="F10" s="2230"/>
      <c r="G10" s="2230"/>
      <c r="H10" s="2230"/>
      <c r="I10" s="1943"/>
    </row>
    <row r="11" spans="1:12" ht="13.2">
      <c r="A11" s="3379"/>
      <c r="B11" s="3301"/>
      <c r="C11" s="3351"/>
      <c r="D11" s="3348"/>
      <c r="E11" s="1870" t="s">
        <v>831</v>
      </c>
      <c r="F11" s="2230"/>
      <c r="G11" s="2230"/>
      <c r="H11" s="2230"/>
      <c r="I11" s="1943"/>
    </row>
    <row r="12" spans="1:12" ht="13.2">
      <c r="A12" s="3379" t="s">
        <v>832</v>
      </c>
      <c r="B12" s="3301">
        <v>15</v>
      </c>
      <c r="C12" s="3349"/>
      <c r="D12" s="3348"/>
      <c r="E12" s="1870" t="s">
        <v>833</v>
      </c>
      <c r="F12" s="2230"/>
      <c r="G12" s="2230"/>
      <c r="H12" s="2230"/>
      <c r="I12" s="1943"/>
    </row>
    <row r="13" spans="1:12" ht="13.2">
      <c r="A13" s="3379"/>
      <c r="B13" s="3301"/>
      <c r="C13" s="3351"/>
      <c r="D13" s="3348"/>
      <c r="E13" s="1870" t="s">
        <v>834</v>
      </c>
      <c r="F13" s="2230"/>
      <c r="G13" s="2230"/>
      <c r="H13" s="2230"/>
      <c r="I13" s="1943"/>
    </row>
    <row r="14" spans="1:12" ht="13.2">
      <c r="A14" s="3379" t="s">
        <v>835</v>
      </c>
      <c r="B14" s="3301">
        <v>30</v>
      </c>
      <c r="C14" s="3349">
        <v>7</v>
      </c>
      <c r="D14" s="3348">
        <v>3</v>
      </c>
      <c r="E14" s="1870" t="s">
        <v>836</v>
      </c>
      <c r="F14" s="2230"/>
      <c r="G14" s="2230"/>
      <c r="H14" s="2230"/>
      <c r="I14" s="1943"/>
    </row>
    <row r="15" spans="1:12" ht="13.2">
      <c r="A15" s="3379"/>
      <c r="B15" s="3301"/>
      <c r="C15" s="3350"/>
      <c r="D15" s="3348"/>
      <c r="E15" s="1870" t="s">
        <v>837</v>
      </c>
      <c r="F15" s="2230"/>
      <c r="G15" s="2230"/>
      <c r="H15" s="2230"/>
      <c r="I15" s="1943"/>
    </row>
    <row r="16" spans="1:12" ht="13.2">
      <c r="A16" s="3379"/>
      <c r="B16" s="3301"/>
      <c r="C16" s="3351"/>
      <c r="D16" s="3348"/>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337" t="s">
        <v>843</v>
      </c>
      <c r="F18" s="3338"/>
      <c r="G18" s="3338"/>
      <c r="H18" s="3338"/>
      <c r="I18" s="3338"/>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524.89610000000005</v>
      </c>
      <c r="D19" s="1354">
        <f ca="1">SUMIF(INDIRECT("'"&amp;D4&amp;"'"&amp;"!A:A"),结果表40!B19,INDIRECT("'"&amp;D4&amp;"'"&amp;"!B:B"))</f>
        <v>375.32619999999997</v>
      </c>
      <c r="E19" s="1238" t="s">
        <v>846</v>
      </c>
      <c r="F19" s="2237" t="s">
        <v>845</v>
      </c>
      <c r="G19" s="2239">
        <f ca="1">ROUND(C19*$C$18+D19*$D$18,0)</f>
        <v>480</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24457</v>
      </c>
      <c r="D20" s="1577">
        <f ca="1">SUMIF(INDIRECT("'"&amp;D4&amp;"'"&amp;"!A:A"),结果表40!B20,INDIRECT("'"&amp;D4&amp;"'"&amp;"!B:B"))</f>
        <v>17488</v>
      </c>
      <c r="E20" s="2241"/>
      <c r="F20" s="2242" t="s">
        <v>848</v>
      </c>
      <c r="G20" s="2243">
        <f ca="1">ROUND(C20*$C$18+D20*$D$18,0)</f>
        <v>22366</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0.39850641921613805</v>
      </c>
      <c r="E22" s="939"/>
      <c r="F22" s="939"/>
      <c r="G22" s="939"/>
      <c r="H22" s="939"/>
      <c r="I22" s="939"/>
    </row>
    <row r="23" spans="1:36" ht="13.8" thickBot="1">
      <c r="A23" s="1971"/>
      <c r="B23" s="1971"/>
      <c r="C23" s="1971"/>
      <c r="D23" s="1971"/>
      <c r="E23" s="939"/>
      <c r="F23" s="939"/>
      <c r="G23" s="939"/>
      <c r="H23" s="939"/>
      <c r="I23" s="939"/>
    </row>
    <row r="24" spans="1:36" ht="14.4">
      <c r="A24" s="3410" t="s">
        <v>852</v>
      </c>
      <c r="B24" s="2237" t="s">
        <v>845</v>
      </c>
      <c r="C24" s="2239">
        <f>IF(B30=0,0,D30)</f>
        <v>0</v>
      </c>
      <c r="D24" s="2253"/>
      <c r="E24" s="939"/>
      <c r="F24" s="939"/>
      <c r="G24" s="939"/>
      <c r="H24" s="939"/>
      <c r="I24" s="939"/>
    </row>
    <row r="25" spans="1:36" ht="14.4">
      <c r="A25" s="3411"/>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22366</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412" t="s">
        <v>869</v>
      </c>
      <c r="B36" s="2282" t="s">
        <v>870</v>
      </c>
      <c r="C36" s="2283"/>
      <c r="D36" s="2284"/>
      <c r="E36" s="2285"/>
      <c r="F36" s="2286"/>
      <c r="G36" s="939"/>
      <c r="H36" s="939"/>
      <c r="I36" s="939"/>
    </row>
    <row r="37" spans="1:15" ht="15" thickBot="1">
      <c r="A37" s="3413"/>
      <c r="B37" s="2287" t="s">
        <v>871</v>
      </c>
      <c r="C37" s="2288"/>
      <c r="D37" s="2289"/>
      <c r="E37" s="2289"/>
      <c r="F37" s="2286"/>
      <c r="G37" s="939"/>
      <c r="H37" s="939"/>
      <c r="I37" s="939"/>
    </row>
    <row r="38" spans="1:15" ht="15" thickBot="1">
      <c r="A38" s="3414"/>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39" t="s">
        <v>880</v>
      </c>
      <c r="B45" s="3340"/>
      <c r="C45" s="3341"/>
      <c r="D45" s="1828">
        <f ca="1">ROUND(H101*F45,0)</f>
        <v>480</v>
      </c>
      <c r="E45" s="2308" t="s">
        <v>881</v>
      </c>
      <c r="F45" s="2309">
        <v>1</v>
      </c>
      <c r="G45" s="1839" t="s">
        <v>882</v>
      </c>
      <c r="H45" s="939"/>
      <c r="I45" s="939"/>
      <c r="J45" s="3342" t="s">
        <v>883</v>
      </c>
      <c r="K45" s="3342"/>
      <c r="L45" s="3342"/>
      <c r="M45" s="3342"/>
      <c r="N45" s="3342"/>
      <c r="O45" s="3342"/>
    </row>
    <row r="46" spans="1:15" ht="14.25" customHeight="1">
      <c r="A46" s="3343" t="s">
        <v>884</v>
      </c>
      <c r="B46" s="3344"/>
      <c r="C46" s="3344"/>
      <c r="D46" s="3344"/>
      <c r="E46" s="3344"/>
      <c r="F46" s="3344"/>
      <c r="G46" s="3345"/>
      <c r="H46" s="2310"/>
      <c r="I46" s="940"/>
      <c r="J46" s="580">
        <v>1</v>
      </c>
      <c r="K46" s="3346" t="s">
        <v>885</v>
      </c>
      <c r="L46" s="3346"/>
      <c r="M46" s="3347"/>
      <c r="N46" s="3347"/>
      <c r="O46" s="3347"/>
    </row>
    <row r="47" spans="1:15" ht="12" customHeight="1">
      <c r="A47" s="2311" t="s">
        <v>886</v>
      </c>
      <c r="B47" s="2312"/>
      <c r="C47" s="2313"/>
      <c r="D47" s="1879" t="s">
        <v>887</v>
      </c>
      <c r="E47" s="1829" t="s">
        <v>888</v>
      </c>
      <c r="F47" s="2314" t="s">
        <v>889</v>
      </c>
      <c r="G47" s="2315" t="s">
        <v>890</v>
      </c>
      <c r="H47" s="2316"/>
      <c r="I47" s="940"/>
      <c r="J47" s="580">
        <v>2</v>
      </c>
      <c r="K47" s="3346" t="s">
        <v>891</v>
      </c>
      <c r="L47" s="3346"/>
      <c r="M47" s="3352">
        <f>'数据-取费表'!B2</f>
        <v>45923</v>
      </c>
      <c r="N47" s="3352"/>
      <c r="O47" s="3352"/>
    </row>
    <row r="48" spans="1:15" ht="39.6">
      <c r="A48" s="3353" t="s">
        <v>892</v>
      </c>
      <c r="B48" s="3354"/>
      <c r="C48" s="3354"/>
      <c r="D48" s="1978">
        <f ca="1">IF(H48="情况1",0,IF(H48="情况2",D52,IF(H48="情况3",D53,IF(H48="情况4",D54))))</f>
        <v>14</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6" t="s">
        <v>895</v>
      </c>
      <c r="L48" s="3346"/>
      <c r="M48" s="3355">
        <f ca="1">H101</f>
        <v>480.01909999999998</v>
      </c>
      <c r="N48" s="3355"/>
      <c r="O48" s="3355"/>
    </row>
    <row r="49" spans="1:35" ht="25.5" customHeight="1">
      <c r="A49" s="2317" t="s">
        <v>896</v>
      </c>
      <c r="B49" s="3356" t="s">
        <v>897</v>
      </c>
      <c r="C49" s="3356"/>
      <c r="D49" s="2321">
        <v>0</v>
      </c>
      <c r="E49" s="1889" t="s">
        <v>898</v>
      </c>
      <c r="F49" s="2322" t="s">
        <v>124</v>
      </c>
      <c r="G49" s="3362"/>
      <c r="H49" s="2323" t="s">
        <v>899</v>
      </c>
      <c r="I49" s="2357"/>
      <c r="J49" s="580">
        <v>4</v>
      </c>
      <c r="K49" s="3346" t="str">
        <f>IF(项目基本情况!E8="房地产抵押价值","房地产抵押价值","抵押担保权已注销时的房地产抵押价值")</f>
        <v>房地产抵押价值</v>
      </c>
      <c r="L49" s="3346"/>
      <c r="M49" s="3355">
        <f ca="1">IF(项目基本情况!E8="房地产抵押价值",H107,H109)</f>
        <v>480.01909999999998</v>
      </c>
      <c r="N49" s="3355"/>
      <c r="O49" s="3355"/>
    </row>
    <row r="50" spans="1:35" ht="25.5" customHeight="1">
      <c r="A50" s="2324"/>
      <c r="B50" s="3356" t="s">
        <v>900</v>
      </c>
      <c r="C50" s="3356"/>
      <c r="D50" s="2325"/>
      <c r="E50" s="1904"/>
      <c r="F50" s="2322"/>
      <c r="G50" s="3363"/>
      <c r="H50" s="2326" t="s">
        <v>901</v>
      </c>
      <c r="I50" s="2357"/>
      <c r="J50" s="3342" t="s">
        <v>902</v>
      </c>
      <c r="K50" s="3342"/>
      <c r="L50" s="3342"/>
      <c r="M50" s="3342"/>
      <c r="N50" s="3342"/>
      <c r="O50" s="3342"/>
    </row>
    <row r="51" spans="1:35" ht="20.399999999999999" customHeight="1">
      <c r="A51" s="2327"/>
      <c r="B51" s="3356" t="s">
        <v>903</v>
      </c>
      <c r="C51" s="3356"/>
      <c r="D51" s="1879"/>
      <c r="E51" s="1893"/>
      <c r="F51" s="2322"/>
      <c r="G51" s="3364"/>
      <c r="H51" s="2326" t="s">
        <v>904</v>
      </c>
      <c r="I51" s="2357"/>
      <c r="J51" s="2356" t="s">
        <v>905</v>
      </c>
      <c r="K51" s="3346" t="s">
        <v>906</v>
      </c>
      <c r="L51" s="3346"/>
      <c r="M51" s="2356" t="s">
        <v>907</v>
      </c>
      <c r="N51" s="2356" t="s">
        <v>908</v>
      </c>
      <c r="O51" s="2356" t="s">
        <v>909</v>
      </c>
    </row>
    <row r="52" spans="1:35" ht="24" customHeight="1">
      <c r="A52" s="2328" t="s">
        <v>910</v>
      </c>
      <c r="B52" s="3356" t="s">
        <v>911</v>
      </c>
      <c r="C52" s="3356"/>
      <c r="D52" s="1879">
        <f ca="1">ROUND(D45*'数据-取费表'!B41/(1+'数据-取费表'!C42),0)</f>
        <v>26</v>
      </c>
      <c r="E52" s="1883" t="s">
        <v>912</v>
      </c>
      <c r="F52" s="2329">
        <f>'数据-取费表'!B41</f>
        <v>5.6000000000000001E-2</v>
      </c>
      <c r="G52" s="2330"/>
      <c r="H52" s="1992"/>
      <c r="I52" s="2358"/>
      <c r="J52" s="580">
        <v>1</v>
      </c>
      <c r="K52" s="3358" t="s">
        <v>913</v>
      </c>
      <c r="L52" s="3358"/>
      <c r="M52" s="2359">
        <f ca="1">D48</f>
        <v>14</v>
      </c>
      <c r="N52" s="580" t="str">
        <f>E48</f>
        <v>(销售额-原购置价)×税（费）率</v>
      </c>
      <c r="O52" s="2360">
        <f>F48</f>
        <v>5.6000000000000001E-2</v>
      </c>
    </row>
    <row r="53" spans="1:35" ht="12" customHeight="1">
      <c r="A53" s="2328" t="s">
        <v>914</v>
      </c>
      <c r="B53" s="3359" t="s">
        <v>915</v>
      </c>
      <c r="C53" s="3360"/>
      <c r="D53" s="1879">
        <f ca="1">ROUND(D45*'数据-取费表'!B41/(1+'数据-取费表'!C42),0)</f>
        <v>26</v>
      </c>
      <c r="E53" s="1883" t="s">
        <v>912</v>
      </c>
      <c r="F53" s="2329">
        <f>'数据-取费表'!B41</f>
        <v>5.6000000000000001E-2</v>
      </c>
      <c r="G53" s="2330"/>
      <c r="H53" s="1992"/>
      <c r="I53" s="2358"/>
      <c r="J53" s="580">
        <v>2</v>
      </c>
      <c r="K53" s="3358" t="s">
        <v>916</v>
      </c>
      <c r="L53" s="3358"/>
      <c r="M53" s="2359">
        <f t="shared" ref="M53:O54" ca="1" si="0">D55</f>
        <v>0.24</v>
      </c>
      <c r="N53" s="580" t="str">
        <f t="shared" si="0"/>
        <v>销售额×税（费）率</v>
      </c>
      <c r="O53" s="2360">
        <f t="shared" si="0"/>
        <v>5.0000000000000001E-4</v>
      </c>
    </row>
    <row r="54" spans="1:35" ht="12" customHeight="1">
      <c r="A54" s="2328" t="s">
        <v>917</v>
      </c>
      <c r="B54" s="3359" t="s">
        <v>918</v>
      </c>
      <c r="C54" s="3360"/>
      <c r="D54" s="1879">
        <f ca="1">C68</f>
        <v>14</v>
      </c>
      <c r="E54" s="1893" t="s">
        <v>919</v>
      </c>
      <c r="F54" s="2329">
        <f>'数据-取费表'!B41</f>
        <v>5.6000000000000001E-2</v>
      </c>
      <c r="G54" s="2330"/>
      <c r="H54" s="2331"/>
      <c r="I54" s="2358"/>
      <c r="J54" s="580">
        <v>3</v>
      </c>
      <c r="K54" s="3358" t="s">
        <v>920</v>
      </c>
      <c r="L54" s="3358"/>
      <c r="M54" s="2359">
        <f t="shared" ca="1" si="0"/>
        <v>54</v>
      </c>
      <c r="N54" s="580" t="str">
        <f t="shared" si="0"/>
        <v>增值额×税（费）率</v>
      </c>
      <c r="O54" s="2361" t="str">
        <f t="shared" si="0"/>
        <v>——</v>
      </c>
    </row>
    <row r="55" spans="1:35" ht="24" customHeight="1">
      <c r="A55" s="3361" t="s">
        <v>921</v>
      </c>
      <c r="B55" s="3354"/>
      <c r="C55" s="3354"/>
      <c r="D55" s="1978">
        <f ca="1">IF(H55="个人住宅",0,ROUND(D45*I55,4))</f>
        <v>0.24</v>
      </c>
      <c r="E55" s="1883" t="s">
        <v>922</v>
      </c>
      <c r="F55" s="2329">
        <f>IF(H55="正常",I55,"免征")</f>
        <v>5.0000000000000001E-4</v>
      </c>
      <c r="G55" s="2330"/>
      <c r="H55" s="2320" t="s">
        <v>923</v>
      </c>
      <c r="I55" s="2362">
        <f>'数据-取费表'!B49</f>
        <v>5.0000000000000001E-4</v>
      </c>
      <c r="J55" s="580" t="str">
        <f>IF(H59="非个人房产","",4)</f>
        <v/>
      </c>
      <c r="K55" s="3358" t="str">
        <f>IF(H59="非个人房产","——","个人所得税")</f>
        <v>——</v>
      </c>
      <c r="L55" s="3358"/>
      <c r="M55" s="2363" t="str">
        <f>D59</f>
        <v>——</v>
      </c>
      <c r="N55" s="561" t="str">
        <f>E59</f>
        <v>——</v>
      </c>
      <c r="O55" s="2364" t="str">
        <f>F59</f>
        <v>——</v>
      </c>
    </row>
    <row r="56" spans="1:35" ht="25.2">
      <c r="A56" s="3361" t="s">
        <v>924</v>
      </c>
      <c r="B56" s="3354"/>
      <c r="C56" s="3354"/>
      <c r="D56" s="1978">
        <f ca="1">IF(H56="个人住宅",D57,D58)</f>
        <v>54</v>
      </c>
      <c r="E56" s="1883" t="s">
        <v>925</v>
      </c>
      <c r="F56" s="2329" t="str">
        <f>IF(H56="正常",F58,"免征")</f>
        <v>——</v>
      </c>
      <c r="G56" s="2332" t="s">
        <v>926</v>
      </c>
      <c r="H56" s="2333" t="s">
        <v>923</v>
      </c>
      <c r="I56" s="2342"/>
      <c r="J56" s="580" t="str">
        <f>IF(项目基本情况!K6="上海银行",IF(J55="",4,J55+1),"")</f>
        <v/>
      </c>
      <c r="K56" s="3365" t="str">
        <f>IF(项目基本情况!K6="上海银行","其他处置费用","")</f>
        <v/>
      </c>
      <c r="L56" s="3366"/>
      <c r="M56" s="2359" t="str">
        <f>IF(项目基本情况!K6="上海银行",M69,"")</f>
        <v/>
      </c>
      <c r="N56" s="3365" t="str">
        <f>IF(项目基本情况!K6="上海银行","包含处置中涉及的律师、诉讼、拍卖、评估等费用","")</f>
        <v/>
      </c>
      <c r="O56" s="3367"/>
    </row>
    <row r="57" spans="1:35" ht="13.2">
      <c r="A57" s="2328" t="s">
        <v>896</v>
      </c>
      <c r="B57" s="3359" t="s">
        <v>927</v>
      </c>
      <c r="C57" s="3360"/>
      <c r="D57" s="2321">
        <v>0</v>
      </c>
      <c r="E57" s="1889" t="s">
        <v>898</v>
      </c>
      <c r="F57" s="1829"/>
      <c r="G57" s="2330"/>
      <c r="H57" s="2334"/>
      <c r="I57" s="2342"/>
      <c r="J57" s="3358">
        <f>IF(AND(J55="",J56=""),4,IF(项目基本情况!K6="上海银行",结果表40!J56+1,结果表40!J55+1))</f>
        <v>4</v>
      </c>
      <c r="K57" s="3358" t="s">
        <v>928</v>
      </c>
      <c r="L57" s="2365" t="s">
        <v>929</v>
      </c>
      <c r="M57" s="2366"/>
      <c r="N57" s="2367">
        <f ca="1">SUMIF(M52:M56,"&lt;9e307")</f>
        <v>68.239999999999995</v>
      </c>
      <c r="O57" s="2368"/>
      <c r="P57" s="2369">
        <f ca="1">N57/M49</f>
        <v>0.14216100984315</v>
      </c>
    </row>
    <row r="58" spans="1:35" ht="25.2">
      <c r="A58" s="2328" t="s">
        <v>910</v>
      </c>
      <c r="B58" s="3359" t="s">
        <v>930</v>
      </c>
      <c r="C58" s="3356"/>
      <c r="D58" s="1978">
        <f ca="1">IF(H58="转让取得",C81,C97)</f>
        <v>54</v>
      </c>
      <c r="E58" s="1883" t="s">
        <v>925</v>
      </c>
      <c r="F58" s="1829" t="s">
        <v>124</v>
      </c>
      <c r="G58" s="2330"/>
      <c r="H58" s="2333" t="s">
        <v>931</v>
      </c>
      <c r="I58" s="2342"/>
      <c r="J58" s="3358"/>
      <c r="K58" s="3358"/>
      <c r="L58" s="2365" t="s">
        <v>932</v>
      </c>
      <c r="M58" s="2370"/>
      <c r="N58" s="2371" t="str">
        <f ca="1">NUMBERSTRING(INT(N57*10000),2)&amp;"元整"</f>
        <v>陆拾捌万贰仟肆佰元整</v>
      </c>
      <c r="O58" s="2372"/>
    </row>
    <row r="59" spans="1:35" ht="24.6" thickBot="1">
      <c r="A59" s="3368" t="s">
        <v>933</v>
      </c>
      <c r="B59" s="3369"/>
      <c r="C59" s="3369"/>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3">
        <f>J57+1</f>
        <v>5</v>
      </c>
      <c r="K59" s="3358" t="s">
        <v>936</v>
      </c>
      <c r="L59" s="580" t="s">
        <v>929</v>
      </c>
      <c r="M59" s="2374"/>
      <c r="N59" s="2375">
        <f ca="1">M49-N57</f>
        <v>411.77909999999997</v>
      </c>
      <c r="O59" s="2376"/>
    </row>
    <row r="60" spans="1:35" ht="12" customHeight="1">
      <c r="A60" s="2340"/>
      <c r="B60" s="1971"/>
      <c r="C60" s="1971"/>
      <c r="D60" s="1971"/>
      <c r="E60" s="2341"/>
      <c r="F60" s="2342"/>
      <c r="G60" s="2342"/>
      <c r="H60" s="940"/>
      <c r="I60" s="939"/>
      <c r="J60" s="3374"/>
      <c r="K60" s="3358"/>
      <c r="L60" s="2365" t="s">
        <v>932</v>
      </c>
      <c r="M60" s="2370"/>
      <c r="N60" s="2371" t="str">
        <f ca="1">NUMBERSTRING(INT(N59*10000),2)&amp;"元整"</f>
        <v>肆佰壹拾壹万柒仟柒佰玖拾壹元整</v>
      </c>
      <c r="O60" s="2372"/>
    </row>
    <row r="61" spans="1:35" ht="13.8" thickBot="1">
      <c r="A61" s="3370" t="s">
        <v>937</v>
      </c>
      <c r="B61" s="3370"/>
      <c r="C61" s="3370"/>
      <c r="D61" s="3370"/>
      <c r="E61" s="3370"/>
      <c r="F61" s="2342"/>
      <c r="G61" s="2342"/>
      <c r="H61" s="940"/>
      <c r="I61" s="939"/>
      <c r="J61" s="580">
        <f>J59+1</f>
        <v>6</v>
      </c>
      <c r="K61" s="3358" t="s">
        <v>938</v>
      </c>
      <c r="L61" s="3358"/>
      <c r="M61" s="2377"/>
      <c r="N61" s="2378">
        <f ca="1">ROUND(N59*10000/'数据-汇总表'!E3,0)</f>
        <v>4465</v>
      </c>
      <c r="O61" s="2379"/>
    </row>
    <row r="62" spans="1:35" ht="13.2">
      <c r="A62" s="3371" t="s">
        <v>939</v>
      </c>
      <c r="B62" s="3372"/>
      <c r="C62" s="532"/>
      <c r="D62" s="532" t="s">
        <v>940</v>
      </c>
      <c r="E62" s="2343" t="s">
        <v>890</v>
      </c>
      <c r="F62" s="2342"/>
      <c r="G62" s="2342"/>
      <c r="H62" s="940"/>
      <c r="I62" s="939"/>
    </row>
    <row r="63" spans="1:35" ht="13.2">
      <c r="A63" s="2344" t="s">
        <v>941</v>
      </c>
      <c r="B63" s="590" t="s">
        <v>942</v>
      </c>
      <c r="C63" s="2345">
        <f ca="1">ROUND((C64+C65)/(1+'数据-取费表'!C42),0)</f>
        <v>457</v>
      </c>
      <c r="D63" s="590"/>
      <c r="E63" s="2346"/>
      <c r="F63" s="2342"/>
      <c r="G63" s="2342"/>
      <c r="H63" s="940"/>
      <c r="I63" s="939"/>
      <c r="J63" s="3357" t="s">
        <v>943</v>
      </c>
      <c r="K63" s="2380" t="s">
        <v>944</v>
      </c>
      <c r="L63" s="2380">
        <f ca="1">IF(M49&gt;10000,M49*0.5%,IF(AND(M49&gt;1000,M49&lt;=10000),M49*1%,IF(AND(M49&gt;100,M49&lt;=1000),M49*3%,IF(AND(M49&gt;10,M49&lt;=100),M49*5%,M49*8%))))</f>
        <v>14.400573</v>
      </c>
      <c r="M63" s="1829">
        <f ca="1">ROUND(L63,1)</f>
        <v>14.4</v>
      </c>
      <c r="N63" s="2381"/>
      <c r="Z63" s="2218"/>
      <c r="AI63" s="2219"/>
    </row>
    <row r="64" spans="1:35" ht="14.25" customHeight="1">
      <c r="A64" s="2347" t="s">
        <v>945</v>
      </c>
      <c r="B64" s="513" t="s">
        <v>946</v>
      </c>
      <c r="C64" s="2348">
        <f ca="1">D45</f>
        <v>480</v>
      </c>
      <c r="D64" s="513" t="s">
        <v>124</v>
      </c>
      <c r="E64" s="2349"/>
      <c r="F64" s="2342"/>
      <c r="G64" s="2342"/>
      <c r="H64" s="940"/>
      <c r="I64" s="939"/>
      <c r="J64" s="3357"/>
      <c r="K64" s="2380" t="s">
        <v>947</v>
      </c>
      <c r="L64" s="2380">
        <f ca="1">IF(M49&gt;2000,M49*0.5%,IF(AND(M49&gt;1000,M49&lt;=2000),M49*0.6%,IF(AND(M49&gt;500,M49&lt;=1000),M49*0.7%,IF(AND(M49&gt;200,M49&lt;=500),M49*0.8%,IF(AND(M49&gt;100,M49&lt;=200),M49*0.9%,IF(AND(M49&gt;50,M49&lt;=100),M49*1%,IF(AND(M49&gt;20,M49&lt;=50),M49*1.5%,IF(AND(M49&gt;10,M49&lt;=20),M49*2%,IF(AND(M49&gt;1,M49&lt;=10),M49*2.5%)))))))))</f>
        <v>3.8401527999999998</v>
      </c>
      <c r="M64" s="1829">
        <f t="shared" ref="M64:M65" ca="1" si="1">ROUND(L64,1)</f>
        <v>3.8</v>
      </c>
      <c r="N64" s="1992" t="s">
        <v>948</v>
      </c>
      <c r="Z64" s="2218"/>
      <c r="AI64" s="2219"/>
    </row>
    <row r="65" spans="1:35" ht="14.25" customHeight="1">
      <c r="A65" s="2347" t="s">
        <v>949</v>
      </c>
      <c r="B65" s="513" t="s">
        <v>950</v>
      </c>
      <c r="C65" s="2383"/>
      <c r="D65" s="513"/>
      <c r="E65" s="2349"/>
      <c r="F65" s="2342"/>
      <c r="G65" s="2342"/>
      <c r="H65" s="940"/>
      <c r="I65" s="939"/>
      <c r="J65" s="3357"/>
      <c r="K65" s="2380" t="s">
        <v>951</v>
      </c>
      <c r="L65" s="2380">
        <f ca="1">IF(M49&gt;1000,M49*0.1%,IF(AND(M49&gt;500,M49&lt;=1000),M49*0.5%,IF(AND(M49&gt;50,M49&lt;=500),M49*1%,IF(AND(M49&gt;1,M49&lt;=50),M49*1.5%))))</f>
        <v>4.8001909999999999</v>
      </c>
      <c r="M65" s="1829">
        <f t="shared" ca="1" si="1"/>
        <v>4.8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7"/>
      <c r="K66" s="2380" t="s">
        <v>955</v>
      </c>
      <c r="L66" s="2380">
        <f ca="1">M49*0.5%</f>
        <v>2.4000954999999999</v>
      </c>
      <c r="M66" s="1829">
        <f ca="1">IF(L66&gt;0.5,0.5,ROUND(L66,0))</f>
        <v>0.5</v>
      </c>
      <c r="N66" s="1992" t="s">
        <v>956</v>
      </c>
      <c r="Z66" s="2218"/>
      <c r="AI66" s="2219"/>
    </row>
    <row r="67" spans="1:35" ht="14.25" customHeight="1">
      <c r="A67" s="2344" t="s">
        <v>957</v>
      </c>
      <c r="B67" s="2384" t="s">
        <v>958</v>
      </c>
      <c r="C67" s="2387">
        <f ca="1">C63-C66</f>
        <v>254</v>
      </c>
      <c r="D67" s="513" t="s">
        <v>124</v>
      </c>
      <c r="E67" s="2349"/>
      <c r="F67" s="2342"/>
      <c r="G67" s="2342"/>
      <c r="H67" s="940"/>
      <c r="I67" s="939"/>
      <c r="J67" s="3357"/>
      <c r="K67" s="2380" t="s">
        <v>959</v>
      </c>
      <c r="L67" s="2380">
        <f ca="1">IF(M49&gt;=10000,(8.25+(M49-10000)*0.01%),IF(AND(M49&gt;=8000,M49&lt;10000),(7.85+(M49-8000)*0.02%),IF(AND(M49&gt;=5000,M49&lt;8000),(6.65+(M49-5000)*0.04%),IF(AND(M49&gt;=2000,M49&lt;5000),(4.25+(PM49-2000)*0.08%),IF(AND(M49&gt;=1000,M49&lt;2000),(2.75+(M49-1000)*0.15%),IF(AND(M49&gt;=100,M49&lt;1000),(0.5+(M49-100)*0.25%),IF(AND(M49&gt;0,M49&lt;100),M49*0.5%)))))))</f>
        <v>1.45004775</v>
      </c>
      <c r="M67" s="1829">
        <f ca="1">ROUND(L67*0.9,1)</f>
        <v>1.3</v>
      </c>
      <c r="N67" s="2381"/>
      <c r="Z67" s="2218"/>
      <c r="AI67" s="2219"/>
    </row>
    <row r="68" spans="1:35" ht="14.25" customHeight="1" thickBot="1">
      <c r="A68" s="2388" t="s">
        <v>960</v>
      </c>
      <c r="B68" s="2389" t="s">
        <v>961</v>
      </c>
      <c r="C68" s="2390">
        <f ca="1">IF(C67&lt;=0,0,ROUND(C67*D68,0))</f>
        <v>14</v>
      </c>
      <c r="D68" s="775">
        <f>'数据-取费表'!B41</f>
        <v>5.6000000000000001E-2</v>
      </c>
      <c r="E68" s="2391"/>
      <c r="F68" s="2342"/>
      <c r="G68" s="2342"/>
      <c r="H68" s="940"/>
      <c r="I68" s="939"/>
      <c r="J68" s="3357"/>
      <c r="K68" s="2380" t="s">
        <v>962</v>
      </c>
      <c r="L68" s="2380">
        <f ca="1">IF(M49&gt;10000,M49*0.5%,IF(AND(M49&gt;5000,M49&lt;=10000),M49*1%,IF(AND(M49&gt;1000,M49&lt;=5000),M49*2%,IF(AND(M49&gt;200,M49&lt;=1000),M49*3%,M49*5%))))</f>
        <v>14.400573</v>
      </c>
      <c r="M68" s="1829">
        <f ca="1">ROUND(L68,1)</f>
        <v>14.4</v>
      </c>
      <c r="N68" s="2381"/>
      <c r="Z68" s="2218"/>
      <c r="AI68" s="2219"/>
    </row>
    <row r="69" spans="1:35" ht="16.5" customHeight="1">
      <c r="A69" s="2392"/>
      <c r="B69" s="2393"/>
      <c r="C69" s="2394"/>
      <c r="D69" s="697"/>
      <c r="E69" s="2395"/>
      <c r="F69" s="2341"/>
      <c r="G69" s="2341"/>
      <c r="H69" s="2302"/>
      <c r="I69" s="1971"/>
      <c r="J69" s="3357"/>
      <c r="K69" s="2380" t="s">
        <v>963</v>
      </c>
      <c r="L69" s="2380"/>
      <c r="M69" s="1829">
        <f ca="1">ROUND(SUM(M63:M68),0)</f>
        <v>39</v>
      </c>
      <c r="N69" s="2455">
        <f ca="1">M69/M49</f>
        <v>8.1246767055727573E-2</v>
      </c>
      <c r="Z69" s="2218"/>
      <c r="AI69" s="2219"/>
    </row>
    <row r="70" spans="1:35" s="880" customFormat="1" ht="14.4" thickBot="1">
      <c r="A70" s="3395" t="s">
        <v>964</v>
      </c>
      <c r="B70" s="3396"/>
      <c r="C70" s="3396"/>
      <c r="D70" s="3396"/>
      <c r="E70" s="3396"/>
      <c r="F70" s="3396"/>
      <c r="G70" s="3396"/>
      <c r="H70" s="339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1" t="s">
        <v>939</v>
      </c>
      <c r="B71" s="3372"/>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457</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59" t="s">
        <v>975</v>
      </c>
      <c r="F76" s="3356"/>
      <c r="G76" s="3356"/>
      <c r="H76" s="339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398" t="s">
        <v>981</v>
      </c>
      <c r="F78" s="3399"/>
      <c r="G78" s="3399"/>
      <c r="H78" s="340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170</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0.59233449477351918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54</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95" t="s">
        <v>986</v>
      </c>
      <c r="B83" s="3396"/>
      <c r="C83" s="3396"/>
      <c r="D83" s="3396"/>
      <c r="E83" s="3396"/>
      <c r="F83" s="3396"/>
      <c r="G83" s="3396"/>
      <c r="H83" s="339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1" t="s">
        <v>939</v>
      </c>
      <c r="B84" s="3372"/>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457</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407" t="s">
        <v>994</v>
      </c>
      <c r="H90" s="3408"/>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98" t="s">
        <v>998</v>
      </c>
      <c r="F91" s="3399"/>
      <c r="G91" s="339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98" t="s">
        <v>1001</v>
      </c>
      <c r="F92" s="3399"/>
      <c r="G92" s="3399"/>
      <c r="H92" s="340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398" t="s">
        <v>981</v>
      </c>
      <c r="F93" s="3399"/>
      <c r="G93" s="3399"/>
      <c r="H93" s="340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19" t="s">
        <v>1006</v>
      </c>
      <c r="F94" s="3420"/>
      <c r="G94" s="3420"/>
      <c r="H94" s="3421"/>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454</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151.33333333333334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271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83"/>
      <c r="E100" s="3273" t="s">
        <v>1009</v>
      </c>
      <c r="F100" s="3273"/>
      <c r="G100" s="3273"/>
      <c r="H100" s="3383"/>
      <c r="I100" s="939"/>
    </row>
    <row r="101" spans="1:35" ht="18.75" customHeight="1">
      <c r="A101" s="3384" t="s">
        <v>1010</v>
      </c>
      <c r="B101" s="3385"/>
      <c r="C101" s="2432" t="str">
        <f>C4</f>
        <v>比较法-商业40</v>
      </c>
      <c r="D101" s="2433" t="str">
        <f>D4</f>
        <v>收益法40</v>
      </c>
      <c r="E101" s="3406" t="s">
        <v>1011</v>
      </c>
      <c r="F101" s="3402"/>
      <c r="G101" s="2435" t="s">
        <v>1012</v>
      </c>
      <c r="H101" s="2436">
        <f ca="1">H118</f>
        <v>480.01909999999998</v>
      </c>
      <c r="I101" s="939"/>
    </row>
    <row r="102" spans="1:35" ht="18.75" customHeight="1">
      <c r="A102" s="3415" t="s">
        <v>1013</v>
      </c>
      <c r="B102" s="2437" t="s">
        <v>1012</v>
      </c>
      <c r="C102" s="2432">
        <f ca="1">IF(D32="楼面单价",ROUND(C19,0),C19)</f>
        <v>525</v>
      </c>
      <c r="D102" s="2433">
        <f ca="1">IF(D32="楼面单价",ROUND(D19,0),D19)</f>
        <v>375</v>
      </c>
      <c r="E102" s="3406"/>
      <c r="F102" s="3402"/>
      <c r="G102" s="2435" t="s">
        <v>99</v>
      </c>
      <c r="H102" s="2330">
        <f ca="1">I118</f>
        <v>22366</v>
      </c>
      <c r="I102" s="939"/>
    </row>
    <row r="103" spans="1:35" ht="42.75" customHeight="1">
      <c r="A103" s="3415"/>
      <c r="B103" s="2437" t="s">
        <v>99</v>
      </c>
      <c r="C103" s="2438">
        <f ca="1">C20</f>
        <v>24457</v>
      </c>
      <c r="D103" s="2439">
        <f ca="1">D20</f>
        <v>17488</v>
      </c>
      <c r="E103" s="3386" t="s">
        <v>1014</v>
      </c>
      <c r="F103" s="3387"/>
      <c r="G103" s="2440" t="s">
        <v>102</v>
      </c>
      <c r="H103" s="2436">
        <f>IF(D36="正常操作",H104+H105+H106,H105+H106)</f>
        <v>0</v>
      </c>
      <c r="I103" s="939"/>
    </row>
    <row r="104" spans="1:35" ht="18.75" customHeight="1">
      <c r="A104" s="3415" t="s">
        <v>1015</v>
      </c>
      <c r="B104" s="2441" t="s">
        <v>1012</v>
      </c>
      <c r="C104" s="2442">
        <f ca="1">H118</f>
        <v>480.01909999999998</v>
      </c>
      <c r="D104" s="2443"/>
      <c r="E104" s="2287" t="s">
        <v>1016</v>
      </c>
      <c r="F104" s="2444"/>
      <c r="G104" s="2440" t="s">
        <v>102</v>
      </c>
      <c r="H104" s="2445">
        <f>IF(D36="同一抵押权人同一抵押物续贷",C36&amp;"（续贷，未扣减，详见特别提示）",C36)</f>
        <v>0</v>
      </c>
      <c r="I104" s="939"/>
    </row>
    <row r="105" spans="1:35" ht="18.75" customHeight="1" thickBot="1">
      <c r="A105" s="3416"/>
      <c r="B105" s="2446" t="s">
        <v>99</v>
      </c>
      <c r="C105" s="2447">
        <f ca="1">I118</f>
        <v>22366</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1" t="str">
        <f>IF(项目基本情况!E8="已注销","——","3.房地产抵押价值")</f>
        <v>3.房地产抵押价值</v>
      </c>
      <c r="F107" s="3402"/>
      <c r="G107" s="2435" t="s">
        <v>1012</v>
      </c>
      <c r="H107" s="2436">
        <f ca="1">IF(E107="——","——",H101-H103)</f>
        <v>480.01909999999998</v>
      </c>
      <c r="I107" s="939"/>
    </row>
    <row r="108" spans="1:35" ht="18.75" customHeight="1">
      <c r="A108" s="939"/>
      <c r="B108" s="939"/>
      <c r="C108" s="939"/>
      <c r="D108" s="939"/>
      <c r="E108" s="3401"/>
      <c r="F108" s="3402"/>
      <c r="G108" s="2435" t="s">
        <v>99</v>
      </c>
      <c r="H108" s="2330">
        <f ca="1">IF(H107=H101,H102,ROUND(H107*10000/'数据-汇总表'!E3,0))</f>
        <v>22366</v>
      </c>
      <c r="I108" s="939"/>
    </row>
    <row r="109" spans="1:35" ht="18.75" customHeight="1">
      <c r="A109" s="939"/>
      <c r="B109" s="939"/>
      <c r="C109" s="939"/>
      <c r="D109" s="939"/>
      <c r="E109" s="3401" t="str">
        <f>IF(项目基本情况!E8="已注销及未注销","4.抵押担保权已注销时的房地产抵押价值",IF(项目基本情况!E8="已注销","3.抵押担保权已注销时的房地产抵押价值","——"))</f>
        <v>——</v>
      </c>
      <c r="F109" s="3402"/>
      <c r="G109" s="2435" t="s">
        <v>1012</v>
      </c>
      <c r="H109" s="2451" t="str">
        <f>IF(E109="——","——",H101-H105-H106)</f>
        <v>——</v>
      </c>
      <c r="I109" s="939"/>
    </row>
    <row r="110" spans="1:35" ht="18.75" customHeight="1">
      <c r="A110" s="939"/>
      <c r="B110" s="939"/>
      <c r="C110" s="939"/>
      <c r="D110" s="939"/>
      <c r="E110" s="3401"/>
      <c r="F110" s="3402"/>
      <c r="G110" s="2435" t="s">
        <v>99</v>
      </c>
      <c r="H110" s="2330" t="str">
        <f>IF(H109="——","——",ROUND(H109*10000/'数据-汇总表'!E3,0))</f>
        <v>——</v>
      </c>
      <c r="I110" s="939"/>
    </row>
    <row r="111" spans="1:35" ht="18.75" customHeight="1">
      <c r="A111" s="939"/>
      <c r="B111" s="939"/>
      <c r="C111" s="939"/>
      <c r="D111" s="939"/>
      <c r="E111" s="3403"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thickBot="1">
      <c r="A112" s="939"/>
      <c r="B112" s="939"/>
      <c r="C112" s="939"/>
      <c r="D112" s="939"/>
      <c r="E112" s="3404"/>
      <c r="F112" s="3405"/>
      <c r="G112" s="2452" t="s">
        <v>99</v>
      </c>
      <c r="H112" s="2453" t="str">
        <f>IF(E111="——","——",N61)</f>
        <v>——</v>
      </c>
      <c r="I112" s="939"/>
    </row>
    <row r="113" spans="1:27" ht="18.75" customHeight="1">
      <c r="A113" s="939"/>
      <c r="B113" s="939"/>
      <c r="C113" s="939"/>
      <c r="D113" s="939"/>
      <c r="E113" s="3388" t="s">
        <v>1018</v>
      </c>
      <c r="F113" s="3388"/>
      <c r="G113" s="3388"/>
      <c r="H113" s="3388"/>
      <c r="I113" s="939"/>
    </row>
    <row r="114" spans="1:27" ht="3.75" customHeight="1">
      <c r="A114" s="1971"/>
      <c r="B114" s="1971"/>
      <c r="C114" s="1971"/>
      <c r="D114" s="1971"/>
      <c r="E114" s="2340"/>
      <c r="F114" s="2340"/>
      <c r="G114" s="2340"/>
      <c r="H114" s="2340"/>
      <c r="I114" s="1971"/>
    </row>
    <row r="115" spans="1:27" ht="18.75" customHeight="1">
      <c r="A115" s="3389" t="s">
        <v>1020</v>
      </c>
      <c r="B115" s="3390"/>
      <c r="C115" s="3390"/>
      <c r="D115" s="3390"/>
      <c r="E115" s="3390"/>
      <c r="F115" s="3390"/>
      <c r="G115" s="3390"/>
      <c r="H115" s="3390"/>
      <c r="I115" s="3391"/>
    </row>
    <row r="116" spans="1:27" ht="27" customHeight="1">
      <c r="A116" s="3379" t="s">
        <v>1021</v>
      </c>
      <c r="B116" s="3417" t="s">
        <v>1022</v>
      </c>
      <c r="C116" s="3417" t="s">
        <v>1023</v>
      </c>
      <c r="D116" s="3392" t="s">
        <v>1024</v>
      </c>
      <c r="E116" s="3393"/>
      <c r="F116" s="3394" t="s">
        <v>1025</v>
      </c>
      <c r="G116" s="3394"/>
      <c r="H116" s="3379" t="s">
        <v>1026</v>
      </c>
      <c r="I116" s="3379"/>
    </row>
    <row r="117" spans="1:27" ht="18.75" customHeight="1">
      <c r="A117" s="3379"/>
      <c r="B117" s="3418"/>
      <c r="C117" s="3418"/>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480.01909999999998</v>
      </c>
      <c r="I118" s="872">
        <f ca="1">ROUND(IF(D32="楼面单价",C32,H118*10000/B118),0)</f>
        <v>22366</v>
      </c>
    </row>
    <row r="119" spans="1:27" ht="18.75" customHeight="1">
      <c r="A119" s="3379" t="s">
        <v>1028</v>
      </c>
      <c r="B119" s="3379"/>
      <c r="C119" s="3379"/>
      <c r="D119" s="3380" t="e">
        <f ca="1">NUMBERSTRING(INT(D118*10000),2)&amp;"元整"</f>
        <v>#N/A</v>
      </c>
      <c r="E119" s="3382"/>
      <c r="F119" s="3380" t="e">
        <f ca="1">NUMBERSTRING(INT(F118*10000),2)&amp;"元整"</f>
        <v>#N/A</v>
      </c>
      <c r="G119" s="3382"/>
      <c r="H119" s="3380" t="str">
        <f ca="1">NUMBERSTRING(INT(H118*10000),2)&amp;"元整"</f>
        <v>肆佰捌拾万零壹佰玖拾壹元整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0" t="s">
        <v>1028</v>
      </c>
      <c r="B121" s="3381"/>
      <c r="C121" s="3382"/>
      <c r="D121" s="3380" t="str">
        <f>IF(D120=0,"零元整",NUMBERSTRING(INT(D120*10000),2)&amp;"元整")</f>
        <v>零元整</v>
      </c>
      <c r="E121" s="3381"/>
      <c r="F121" s="3381"/>
      <c r="G121" s="3381"/>
      <c r="H121" s="3381"/>
      <c r="I121" s="3382"/>
      <c r="AA121" s="898"/>
    </row>
    <row r="122" spans="1:27" ht="18.75" customHeight="1">
      <c r="A122" s="3375" t="str">
        <f>IF(项目基本情况!B9="房地产市场价值","",MID(E107,3,LEN(E107)-2))</f>
        <v>房地产抵押价值</v>
      </c>
      <c r="B122" s="3375"/>
      <c r="C122" s="3375"/>
      <c r="D122" s="3376">
        <f ca="1">H107</f>
        <v>480.01909999999998</v>
      </c>
      <c r="E122" s="3377"/>
      <c r="F122" s="3377"/>
      <c r="G122" s="3377"/>
      <c r="H122" s="3377"/>
      <c r="I122" s="3378"/>
      <c r="AA122" s="898"/>
    </row>
    <row r="123" spans="1:27" ht="18.75" customHeight="1">
      <c r="A123" s="3379" t="s">
        <v>1028</v>
      </c>
      <c r="B123" s="3379"/>
      <c r="C123" s="3379"/>
      <c r="D123" s="3380" t="str">
        <f ca="1">NUMBERSTRING(INT(D122*10000),2)&amp;"元整"</f>
        <v>肆佰捌拾万零壹佰玖拾壹元整</v>
      </c>
      <c r="E123" s="3381"/>
      <c r="F123" s="3381"/>
      <c r="G123" s="3381"/>
      <c r="H123" s="3381"/>
      <c r="I123" s="3382"/>
      <c r="AA123" s="898"/>
    </row>
    <row r="124" spans="1:27" ht="18.75" customHeight="1">
      <c r="A124" s="3375" t="str">
        <f>IF(项目基本情况!B9="房地产市场价值","",MID(E109,3,LEN(E109)-2))</f>
        <v/>
      </c>
      <c r="B124" s="3375"/>
      <c r="C124" s="3375"/>
      <c r="D124" s="3376" t="str">
        <f>H109</f>
        <v>——</v>
      </c>
      <c r="E124" s="3377"/>
      <c r="F124" s="3377"/>
      <c r="G124" s="3377"/>
      <c r="H124" s="3377"/>
      <c r="I124" s="3378"/>
      <c r="AA124" s="898"/>
    </row>
    <row r="125" spans="1:27" ht="18.75" customHeight="1">
      <c r="A125" s="3379" t="s">
        <v>1028</v>
      </c>
      <c r="B125" s="3379"/>
      <c r="C125" s="3379"/>
      <c r="D125" s="3380" t="e">
        <f>NUMBERSTRING(INT(D124*10000),2)&amp;"元整"</f>
        <v>#VALUE!</v>
      </c>
      <c r="E125" s="3381"/>
      <c r="F125" s="3381"/>
      <c r="G125" s="3381"/>
      <c r="H125" s="3381"/>
      <c r="I125" s="3382"/>
      <c r="AA125" s="898"/>
    </row>
    <row r="126" spans="1:27" ht="18.75" customHeight="1">
      <c r="A126" s="3375" t="str">
        <f>IF(项目基本情况!B9="房地产市场价值","",MID(E111,3,LEN(E111)-2))</f>
        <v/>
      </c>
      <c r="B126" s="3375"/>
      <c r="C126" s="3375"/>
      <c r="D126" s="3376" t="str">
        <f>H111</f>
        <v>——</v>
      </c>
      <c r="E126" s="3377"/>
      <c r="F126" s="3377"/>
      <c r="G126" s="3377"/>
      <c r="H126" s="3377"/>
      <c r="I126" s="3378"/>
      <c r="AA126" s="898"/>
    </row>
    <row r="127" spans="1:27" ht="18.75" customHeight="1">
      <c r="A127" s="3379" t="s">
        <v>1028</v>
      </c>
      <c r="B127" s="3379"/>
      <c r="C127" s="3379"/>
      <c r="D127" s="3380" t="e">
        <f>NUMBERSTRING(INT(D126*10000),2)&amp;"元整"</f>
        <v>#VALUE!</v>
      </c>
      <c r="E127" s="3381"/>
      <c r="F127" s="3381"/>
      <c r="G127" s="3381"/>
      <c r="H127" s="3381"/>
      <c r="I127" s="3382"/>
      <c r="AA127" s="898"/>
    </row>
    <row r="128" spans="1:27" ht="21.75" customHeight="1">
      <c r="A128" s="3409" t="s">
        <v>113</v>
      </c>
      <c r="B128" s="3409"/>
      <c r="C128" s="3409"/>
      <c r="D128" s="3409"/>
      <c r="E128" s="3409"/>
      <c r="F128" s="3409"/>
      <c r="G128" s="3409"/>
      <c r="H128" s="3409"/>
      <c r="I128" s="340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D7">
    <cfRule type="cellIs" dxfId="191" priority="6" stopIfTrue="1" operator="equal">
      <formula>25</formula>
    </cfRule>
  </conditionalFormatting>
  <conditionalFormatting sqref="C8:D13">
    <cfRule type="cellIs" dxfId="190" priority="5" stopIfTrue="1" operator="equal">
      <formula>15</formula>
    </cfRule>
  </conditionalFormatting>
  <conditionalFormatting sqref="C14:D16">
    <cfRule type="cellIs" dxfId="189" priority="4" stopIfTrue="1" operator="equal">
      <formula>30</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A13" zoomScale="80" zoomScaleNormal="70" workbookViewId="0">
      <selection activeCell="M24" sqref="M24"/>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2906</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524.89610000000005</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24457</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2888</v>
      </c>
      <c r="F5" s="3324"/>
      <c r="G5" s="3323" t="s">
        <v>2888</v>
      </c>
      <c r="H5" s="3324"/>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5" thickBot="1">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289"/>
      <c r="Q25" s="625" t="str">
        <f t="shared" ref="Q25:Q46" si="11">B25</f>
        <v>临街状况</v>
      </c>
      <c r="R25" s="1227" t="s">
        <v>1152</v>
      </c>
      <c r="S25" s="1228">
        <f>F25</f>
        <v>102</v>
      </c>
      <c r="T25" s="1227" t="s">
        <v>1152</v>
      </c>
      <c r="U25" s="1228">
        <f>H25</f>
        <v>102</v>
      </c>
      <c r="V25" s="1227" t="s">
        <v>1152</v>
      </c>
      <c r="W25" s="1228">
        <f>J25</f>
        <v>102</v>
      </c>
      <c r="X25" s="1222"/>
      <c r="Y25" s="3291"/>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89"/>
      <c r="Q26" s="625" t="str">
        <f t="shared" si="11"/>
        <v>平面位置/可视性</v>
      </c>
      <c r="R26" s="1227" t="s">
        <v>1152</v>
      </c>
      <c r="S26" s="1228">
        <f>F26</f>
        <v>100</v>
      </c>
      <c r="T26" s="1227" t="s">
        <v>1152</v>
      </c>
      <c r="U26" s="1228">
        <f>H26</f>
        <v>100</v>
      </c>
      <c r="V26" s="1227" t="s">
        <v>1152</v>
      </c>
      <c r="W26" s="1228">
        <f>J26</f>
        <v>100</v>
      </c>
      <c r="X26" s="1222"/>
      <c r="Y26" s="3291"/>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289"/>
      <c r="Q27" s="794" t="str">
        <f t="shared" si="11"/>
        <v>人流量</v>
      </c>
      <c r="R27" s="1223" t="s">
        <v>1152</v>
      </c>
      <c r="S27" s="1224">
        <f>F27</f>
        <v>102</v>
      </c>
      <c r="T27" s="1223" t="s">
        <v>1152</v>
      </c>
      <c r="U27" s="1224">
        <f>H27</f>
        <v>102</v>
      </c>
      <c r="V27" s="1223" t="s">
        <v>1152</v>
      </c>
      <c r="W27" s="1224">
        <f>J27</f>
        <v>102</v>
      </c>
      <c r="X27" s="1225"/>
      <c r="Y27" s="3291"/>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293"/>
      <c r="Q33" s="1417" t="str">
        <f t="shared" si="11"/>
        <v>项目建筑规模</v>
      </c>
      <c r="R33" s="1229" t="s">
        <v>1152</v>
      </c>
      <c r="S33" s="1230">
        <f t="shared" si="12"/>
        <v>100</v>
      </c>
      <c r="T33" s="1229" t="s">
        <v>1152</v>
      </c>
      <c r="U33" s="1230">
        <f t="shared" si="13"/>
        <v>101</v>
      </c>
      <c r="V33" s="1229" t="s">
        <v>1152</v>
      </c>
      <c r="W33" s="1230">
        <f t="shared" si="14"/>
        <v>101</v>
      </c>
      <c r="X33" s="1231"/>
      <c r="Y33" s="3295"/>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3"/>
      <c r="Q44" s="794" t="str">
        <f t="shared" si="11"/>
        <v>占比</v>
      </c>
      <c r="R44" s="1223" t="s">
        <v>1152</v>
      </c>
      <c r="S44" s="1224">
        <f t="shared" si="12"/>
        <v>105</v>
      </c>
      <c r="T44" s="1223" t="s">
        <v>1152</v>
      </c>
      <c r="U44" s="1224">
        <f t="shared" si="13"/>
        <v>105</v>
      </c>
      <c r="V44" s="1223" t="s">
        <v>1152</v>
      </c>
      <c r="W44" s="1224">
        <f t="shared" si="14"/>
        <v>105</v>
      </c>
      <c r="X44" s="1225"/>
      <c r="Y44" s="3295"/>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283" t="str">
        <f>A47</f>
        <v>成交单价（元/平方米）</v>
      </c>
      <c r="Q47" s="3283"/>
      <c r="R47" s="3284">
        <f>E47</f>
        <v>27320</v>
      </c>
      <c r="S47" s="3284"/>
      <c r="T47" s="3284">
        <f>G47</f>
        <v>26744</v>
      </c>
      <c r="U47" s="3284"/>
      <c r="V47" s="3284">
        <f>I47</f>
        <v>28235</v>
      </c>
      <c r="W47" s="3284"/>
      <c r="X47" s="1164"/>
      <c r="Y47" s="1237"/>
      <c r="Z47" s="1164"/>
      <c r="AA47" s="1164"/>
      <c r="AB47" s="1164"/>
      <c r="AC47" s="1164"/>
    </row>
    <row r="48" spans="1:29" ht="15" thickBot="1">
      <c r="A48" s="1115" t="s">
        <v>1195</v>
      </c>
      <c r="B48" s="1402"/>
      <c r="C48" s="1403">
        <f>R49</f>
        <v>24457</v>
      </c>
      <c r="D48" s="1118" t="s">
        <v>1196</v>
      </c>
      <c r="E48" s="1404">
        <f>R48</f>
        <v>24518</v>
      </c>
      <c r="F48" s="1119"/>
      <c r="G48" s="1403">
        <f>T48</f>
        <v>23764</v>
      </c>
      <c r="H48" s="1119"/>
      <c r="I48" s="1404">
        <f>V48</f>
        <v>25089</v>
      </c>
      <c r="J48" s="1119"/>
      <c r="K48" s="1204">
        <f>F48+H48+J48</f>
        <v>0</v>
      </c>
      <c r="L48" s="1203"/>
      <c r="M48" s="1124"/>
      <c r="N48" s="1124"/>
      <c r="O48" s="1124"/>
      <c r="P48" s="3283" t="str">
        <f>A48</f>
        <v>比较价值（元/平方米）</v>
      </c>
      <c r="Q48" s="3283"/>
      <c r="R48" s="3284">
        <f>IF(F1="售价",ROUND(PRODUCT(R47,AA7:AA46),0),ROUND(PRODUCT(R47,AA7:AA46),1))</f>
        <v>24518</v>
      </c>
      <c r="S48" s="3284"/>
      <c r="T48" s="3284">
        <f>IF(F1="售价",ROUND(PRODUCT(T47,AB7:AB46),0),ROUND(PRODUCT(T47,AB7:AB46),1))</f>
        <v>23764</v>
      </c>
      <c r="U48" s="3284"/>
      <c r="V48" s="3284">
        <f>IF(F1="售价",ROUND(PRODUCT(V47,AC7:AC46),0),ROUND(PRODUCT(V47,AC7:AC46),1))</f>
        <v>25089</v>
      </c>
      <c r="W48" s="3284"/>
      <c r="X48" s="1164"/>
      <c r="Y48" s="1164"/>
      <c r="Z48" s="1164"/>
      <c r="AA48" s="1164"/>
      <c r="AB48" s="1164"/>
      <c r="AC48" s="1164"/>
    </row>
    <row r="49" spans="1:29" ht="15" thickBot="1">
      <c r="A49" s="1121" t="s">
        <v>1197</v>
      </c>
      <c r="B49" s="1122"/>
      <c r="C49" s="1034">
        <f>R49</f>
        <v>24457</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24457</v>
      </c>
      <c r="S49" s="3287"/>
      <c r="T49" s="3287"/>
      <c r="U49" s="3287"/>
      <c r="V49" s="3287"/>
      <c r="W49" s="3287"/>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0.11428338363651203</v>
      </c>
      <c r="F52" s="1128" t="str">
        <f>IF(OR(E52&gt;=0.3,E52&lt;=-0.3),"超过30%","")</f>
        <v/>
      </c>
      <c r="G52" s="1127">
        <f>IF(G47&lt;G48,G48/G47-1,G47/G48-1)</f>
        <v>0.12539976434943623</v>
      </c>
      <c r="H52" s="1128" t="str">
        <f>IF(OR(G52&gt;=0.3,G52&lt;=-0.3),"超过30%","")</f>
        <v/>
      </c>
      <c r="I52" s="1127">
        <f>IF(I47&lt;I48,I48/I47-1,I47/I48-1)</f>
        <v>0.12539359878831369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3.1728665207877427E-2</v>
      </c>
      <c r="F53" s="1128" t="str">
        <f>IF(OR(E53&gt;=0.2,E53&lt;=-0.2),"超过20%","")</f>
        <v/>
      </c>
      <c r="G53" s="1127">
        <f>IF(G48&lt;I48,I48/G48-1,G48/I48-1)</f>
        <v>5.5756606631880201E-2</v>
      </c>
      <c r="H53" s="1128" t="str">
        <f>IF(OR(G53&gt;=0.2,G53&lt;=-0.2),"超过20%","")</f>
        <v/>
      </c>
      <c r="I53" s="1127">
        <f>IF(I48&lt;E48,E48/I48-1,I48/E48-1)</f>
        <v>2.3289012154335653E-2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2917</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87" priority="14" stopIfTrue="1">
      <formula>$F$52="超过30%"</formula>
    </cfRule>
  </conditionalFormatting>
  <conditionalFormatting sqref="E53">
    <cfRule type="expression" dxfId="186" priority="13" stopIfTrue="1">
      <formula>$F$53="超过20%"</formula>
    </cfRule>
  </conditionalFormatting>
  <conditionalFormatting sqref="E54">
    <cfRule type="expression" dxfId="185" priority="12" stopIfTrue="1">
      <formula>$F$54="超过30%"</formula>
    </cfRule>
  </conditionalFormatting>
  <conditionalFormatting sqref="F7:F46 H7:H46 J7:J46">
    <cfRule type="cellIs" dxfId="184" priority="1" operator="notEqual">
      <formula>100</formula>
    </cfRule>
  </conditionalFormatting>
  <conditionalFormatting sqref="F48">
    <cfRule type="expression" dxfId="183" priority="4">
      <formula>$D$48="简单平均"</formula>
    </cfRule>
  </conditionalFormatting>
  <conditionalFormatting sqref="F52:F54 H52:H54">
    <cfRule type="containsText" dxfId="182" priority="15" stopIfTrue="1" operator="containsText" text="超过">
      <formula>NOT(ISERROR(SEARCH("超过",F52)))</formula>
    </cfRule>
  </conditionalFormatting>
  <conditionalFormatting sqref="G52">
    <cfRule type="expression" dxfId="181" priority="10" stopIfTrue="1">
      <formula>$H$52="超过30%"</formula>
    </cfRule>
  </conditionalFormatting>
  <conditionalFormatting sqref="G53">
    <cfRule type="expression" dxfId="180" priority="9" stopIfTrue="1">
      <formula>$H$53="超过20%"</formula>
    </cfRule>
  </conditionalFormatting>
  <conditionalFormatting sqref="G54">
    <cfRule type="expression" dxfId="179" priority="11" stopIfTrue="1">
      <formula>$H$54="超过30%"</formula>
    </cfRule>
  </conditionalFormatting>
  <conditionalFormatting sqref="H48">
    <cfRule type="expression" dxfId="178" priority="3">
      <formula>$D$48="简单平均"</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J48">
    <cfRule type="expression" dxfId="174" priority="2">
      <formula>$D$48="简单平均"</formula>
    </cfRule>
  </conditionalFormatting>
  <conditionalFormatting sqref="J52:J54">
    <cfRule type="containsText" dxfId="173"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topLeftCell="A31" zoomScale="70" zoomScaleNormal="70" workbookViewId="0">
      <selection activeCell="C4" sqref="C4:D4"/>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2906</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375.32619999999997</v>
      </c>
      <c r="C2" s="1808" t="s">
        <v>1223</v>
      </c>
      <c r="D2" s="2188">
        <f ca="1">C40+J29+L46</f>
        <v>3753262</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268245</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267910</v>
      </c>
      <c r="D6" s="1828" t="s">
        <v>1236</v>
      </c>
      <c r="E6" s="1829" t="s">
        <v>1237</v>
      </c>
      <c r="F6" s="1830">
        <f ca="1">INDIRECT("'数据-取费表'!u"&amp;$G$1)</f>
        <v>3.8</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214.62</v>
      </c>
      <c r="G7" s="718"/>
      <c r="H7" s="1835"/>
      <c r="I7" s="3428"/>
      <c r="J7" s="1836"/>
      <c r="K7" s="1833"/>
      <c r="L7" s="1829" t="s">
        <v>1239</v>
      </c>
      <c r="M7" s="1830">
        <f ca="1">F7</f>
        <v>214.62</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335</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959381</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54778</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44907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14289</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30618</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959</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2682</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213467</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3684907</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-378.55860000000001</v>
      </c>
      <c r="D45" s="2191" t="s">
        <v>1329</v>
      </c>
      <c r="E45" s="1912"/>
      <c r="F45" s="1912"/>
      <c r="O45" s="2027" t="s">
        <v>1330</v>
      </c>
      <c r="P45" s="1902"/>
      <c r="Q45" s="1902"/>
      <c r="R45" s="1902"/>
    </row>
    <row r="46" spans="1:18" s="718" customFormat="1" ht="13.8" thickBot="1">
      <c r="A46" s="1914" t="s">
        <v>1331</v>
      </c>
      <c r="C46" s="1915">
        <f ca="1">ROUND(C45,0)</f>
        <v>-379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3684907</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2584246</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3753262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959381</v>
      </c>
      <c r="D56" s="1949"/>
      <c r="E56" s="1950"/>
      <c r="F56" s="1946"/>
      <c r="I56" s="2032" t="s">
        <v>1378</v>
      </c>
      <c r="J56" s="2033" t="s">
        <v>1379</v>
      </c>
      <c r="K56" s="2008" t="s">
        <v>1380</v>
      </c>
      <c r="L56" s="2011" t="str">
        <f ca="1">IF(L48&lt;J51,"——",L48-J51)</f>
        <v>——</v>
      </c>
      <c r="O56" s="2006" t="s">
        <v>1052</v>
      </c>
      <c r="P56" s="2007" t="s">
        <v>1339</v>
      </c>
      <c r="Q56" s="2044">
        <f ca="1">C40+J29</f>
        <v>3684907</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7189</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3684907</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959</v>
      </c>
      <c r="D65" s="1960" t="s">
        <v>1294</v>
      </c>
      <c r="E65" s="1952" t="s">
        <v>1259</v>
      </c>
      <c r="F65" s="1896">
        <f t="shared" ca="1" si="0"/>
        <v>1E-3</v>
      </c>
      <c r="I65" s="2040" t="s">
        <v>1403</v>
      </c>
      <c r="J65" s="1141">
        <v>40</v>
      </c>
      <c r="K65" s="1141">
        <v>30</v>
      </c>
      <c r="L65" s="1141">
        <v>50</v>
      </c>
      <c r="M65" s="2042">
        <v>0.02</v>
      </c>
      <c r="O65" s="2006" t="s">
        <v>1052</v>
      </c>
      <c r="P65" s="2007" t="s">
        <v>1339</v>
      </c>
      <c r="Q65" s="2044">
        <f ca="1">C40+J29</f>
        <v>3684907</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-7189</v>
      </c>
      <c r="D67" s="1959" t="s">
        <v>1302</v>
      </c>
      <c r="E67" s="2047"/>
      <c r="F67" s="2048"/>
      <c r="O67" s="2014" t="s">
        <v>1353</v>
      </c>
      <c r="P67" s="2007" t="s">
        <v>1387</v>
      </c>
      <c r="Q67" s="2068">
        <f ca="1">L51</f>
        <v>2584246</v>
      </c>
      <c r="R67" s="2044" t="s">
        <v>1404</v>
      </c>
    </row>
    <row r="68" spans="1:18" s="718" customFormat="1" ht="16.2" thickBot="1">
      <c r="A68" s="2049" t="s">
        <v>1306</v>
      </c>
      <c r="B68" s="2050" t="s">
        <v>1324</v>
      </c>
      <c r="C68" s="1901">
        <f ca="1">ROUND(C67*(1-((1+F70)/(1+F68))^F69)/(F68-F70),0)</f>
        <v>-100679</v>
      </c>
      <c r="D68" s="1962" t="s">
        <v>1308</v>
      </c>
      <c r="E68" s="1952" t="s">
        <v>1309</v>
      </c>
      <c r="F68" s="1837">
        <f ca="1">F40</f>
        <v>5.5E-2</v>
      </c>
      <c r="O68" s="2014" t="s">
        <v>1357</v>
      </c>
      <c r="P68" s="2067" t="s">
        <v>1405</v>
      </c>
      <c r="Q68" s="2044">
        <f ca="1">ROUND(Q69-Q70*Q71,0)</f>
        <v>146310</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213467</v>
      </c>
      <c r="R69" s="2044" t="s">
        <v>1340</v>
      </c>
    </row>
    <row r="70" spans="1:18" s="718" customFormat="1" ht="13.8" thickBot="1">
      <c r="A70" s="2054"/>
      <c r="B70" s="2055"/>
      <c r="C70" s="1856"/>
      <c r="D70" s="1964"/>
      <c r="E70" s="1952" t="s">
        <v>1316</v>
      </c>
      <c r="F70" s="1941"/>
      <c r="O70" s="2014" t="s">
        <v>1409</v>
      </c>
      <c r="P70" s="2067" t="s">
        <v>1410</v>
      </c>
      <c r="Q70" s="2044">
        <f ca="1">C13</f>
        <v>959381</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67157</v>
      </c>
      <c r="D75" s="718"/>
      <c r="E75" s="718"/>
      <c r="F75" s="718"/>
      <c r="K75" s="1993"/>
      <c r="L75" s="718"/>
      <c r="O75" s="2006" t="s">
        <v>1372</v>
      </c>
      <c r="P75" s="2007" t="s">
        <v>1373</v>
      </c>
      <c r="Q75" s="2044">
        <f ca="1">Q65+Q66</f>
        <v>3684907</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34" zoomScale="80" zoomScaleNormal="70" workbookViewId="0">
      <selection activeCell="C126" sqref="C126:D12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9.4E-2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3.6</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2907</v>
      </c>
      <c r="F5" s="3324"/>
      <c r="G5" s="3321" t="s">
        <v>2889</v>
      </c>
      <c r="H5" s="3322"/>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5" thickBot="1">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89"/>
      <c r="Q25" s="625" t="str">
        <f t="shared" ref="Q25:Q46" si="11">B25</f>
        <v>临街状况</v>
      </c>
      <c r="R25" s="1227" t="s">
        <v>1152</v>
      </c>
      <c r="S25" s="1228">
        <f>F25</f>
        <v>100</v>
      </c>
      <c r="T25" s="1227" t="s">
        <v>1152</v>
      </c>
      <c r="U25" s="1228">
        <f>H25</f>
        <v>100</v>
      </c>
      <c r="V25" s="1227" t="s">
        <v>1152</v>
      </c>
      <c r="W25" s="1228">
        <f>J25</f>
        <v>100</v>
      </c>
      <c r="X25" s="1222"/>
      <c r="Y25" s="3291"/>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89"/>
      <c r="Q26" s="625" t="str">
        <f t="shared" si="11"/>
        <v>平面位置/可视性</v>
      </c>
      <c r="R26" s="1227" t="s">
        <v>1152</v>
      </c>
      <c r="S26" s="1228">
        <f>F26</f>
        <v>103</v>
      </c>
      <c r="T26" s="1227" t="s">
        <v>1152</v>
      </c>
      <c r="U26" s="1228">
        <f>H26</f>
        <v>103</v>
      </c>
      <c r="V26" s="1227" t="s">
        <v>1152</v>
      </c>
      <c r="W26" s="1228">
        <f>J26</f>
        <v>103</v>
      </c>
      <c r="X26" s="1222"/>
      <c r="Y26" s="329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289"/>
      <c r="Q27" s="794" t="str">
        <f t="shared" si="11"/>
        <v>人流量</v>
      </c>
      <c r="R27" s="1223" t="s">
        <v>1152</v>
      </c>
      <c r="S27" s="1224">
        <f>F27</f>
        <v>106</v>
      </c>
      <c r="T27" s="1223" t="s">
        <v>1152</v>
      </c>
      <c r="U27" s="1224">
        <f>H27</f>
        <v>106</v>
      </c>
      <c r="V27" s="1223" t="s">
        <v>1152</v>
      </c>
      <c r="W27" s="1224">
        <f>J27</f>
        <v>106</v>
      </c>
      <c r="X27" s="1225"/>
      <c r="Y27" s="329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293"/>
      <c r="Q33" s="1417" t="str">
        <f t="shared" si="11"/>
        <v>项目建筑规模</v>
      </c>
      <c r="R33" s="1229" t="s">
        <v>1152</v>
      </c>
      <c r="S33" s="1230">
        <f t="shared" si="12"/>
        <v>98</v>
      </c>
      <c r="T33" s="1229" t="s">
        <v>1152</v>
      </c>
      <c r="U33" s="1230">
        <f t="shared" si="13"/>
        <v>102</v>
      </c>
      <c r="V33" s="1229" t="s">
        <v>1152</v>
      </c>
      <c r="W33" s="1230">
        <f t="shared" si="14"/>
        <v>100</v>
      </c>
      <c r="X33" s="1231"/>
      <c r="Y33" s="3295"/>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293"/>
      <c r="Q44" s="794" t="str">
        <f t="shared" si="11"/>
        <v>占比</v>
      </c>
      <c r="R44" s="1223" t="s">
        <v>1152</v>
      </c>
      <c r="S44" s="1224">
        <f t="shared" si="12"/>
        <v>110</v>
      </c>
      <c r="T44" s="1223" t="s">
        <v>1152</v>
      </c>
      <c r="U44" s="1224">
        <f t="shared" si="13"/>
        <v>110</v>
      </c>
      <c r="V44" s="1223" t="s">
        <v>1152</v>
      </c>
      <c r="W44" s="1224">
        <f t="shared" si="14"/>
        <v>110</v>
      </c>
      <c r="X44" s="1225"/>
      <c r="Y44" s="3295"/>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283" t="str">
        <f>A47</f>
        <v>成交单价（元/平方米）</v>
      </c>
      <c r="Q47" s="3283"/>
      <c r="R47" s="3284">
        <f>E47</f>
        <v>4.57</v>
      </c>
      <c r="S47" s="3284"/>
      <c r="T47" s="3284">
        <f>G47</f>
        <v>4.38</v>
      </c>
      <c r="U47" s="3284"/>
      <c r="V47" s="3284">
        <f>I47</f>
        <v>4.3099999999999996</v>
      </c>
      <c r="W47" s="3284"/>
      <c r="X47" s="1164"/>
      <c r="Y47" s="1237"/>
      <c r="Z47" s="1164"/>
      <c r="AA47" s="1164"/>
      <c r="AB47" s="1164"/>
      <c r="AC47" s="1164"/>
    </row>
    <row r="48" spans="1:29" ht="15" thickBot="1">
      <c r="A48" s="1115" t="s">
        <v>1195</v>
      </c>
      <c r="B48" s="1402"/>
      <c r="C48" s="1403">
        <f>R49</f>
        <v>3.6</v>
      </c>
      <c r="D48" s="1118" t="s">
        <v>1196</v>
      </c>
      <c r="E48" s="1404">
        <f>R48</f>
        <v>3.8</v>
      </c>
      <c r="F48" s="1119"/>
      <c r="G48" s="1403">
        <f>T48</f>
        <v>3.5</v>
      </c>
      <c r="H48" s="1119"/>
      <c r="I48" s="1404">
        <f>V48</f>
        <v>3.5</v>
      </c>
      <c r="J48" s="1119"/>
      <c r="K48" s="1204">
        <f>F48+H48+J48</f>
        <v>0</v>
      </c>
      <c r="L48" s="1203"/>
      <c r="M48" s="1124"/>
      <c r="N48" s="1124"/>
      <c r="O48" s="1124"/>
      <c r="P48" s="3283" t="str">
        <f>A48</f>
        <v>比较价值（元/平方米）</v>
      </c>
      <c r="Q48" s="3283"/>
      <c r="R48" s="3284">
        <f>IF(F1="售价",ROUND(PRODUCT(R47,AA7:AA46),0),ROUND(PRODUCT(R47,AA7:AA46),1))</f>
        <v>3.8</v>
      </c>
      <c r="S48" s="3284"/>
      <c r="T48" s="3284">
        <f>IF(F1="售价",ROUND(PRODUCT(T47,AB7:AB46),0),ROUND(PRODUCT(T47,AB7:AB46),1))</f>
        <v>3.5</v>
      </c>
      <c r="U48" s="3284"/>
      <c r="V48" s="3284">
        <f>IF(F1="售价",ROUND(PRODUCT(V47,AC7:AC46),0),ROUND(PRODUCT(V47,AC7:AC46),1))</f>
        <v>3.5</v>
      </c>
      <c r="W48" s="3284"/>
      <c r="X48" s="1164"/>
      <c r="Y48" s="1164"/>
      <c r="Z48" s="1164"/>
      <c r="AA48" s="1164"/>
      <c r="AB48" s="1164"/>
      <c r="AC48" s="1164"/>
    </row>
    <row r="49" spans="1:29" ht="15" thickBot="1">
      <c r="A49" s="1121" t="s">
        <v>1197</v>
      </c>
      <c r="B49" s="1122"/>
      <c r="C49" s="1034">
        <f>R49</f>
        <v>3.6</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3.6</v>
      </c>
      <c r="S49" s="3287"/>
      <c r="T49" s="3287"/>
      <c r="U49" s="3287"/>
      <c r="V49" s="3287"/>
      <c r="W49" s="3287"/>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0.2026315789473685</v>
      </c>
      <c r="F52" s="1128" t="str">
        <f>IF(OR(E52&gt;=0.3,E52&lt;=-0.3),"超过30%","")</f>
        <v/>
      </c>
      <c r="G52" s="1127">
        <f>IF(G47&lt;G48,G48/G47-1,G47/G48-1)</f>
        <v>0.25142857142857133</v>
      </c>
      <c r="H52" s="1128" t="str">
        <f>IF(OR(G52&gt;=0.3,G52&lt;=-0.3),"超过30%","")</f>
        <v/>
      </c>
      <c r="I52" s="1127">
        <f>IF(I47&lt;I48,I48/I47-1,I47/I48-1)</f>
        <v>0.23142857142857132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8.5714285714285632E-2</v>
      </c>
      <c r="F53" s="1128" t="str">
        <f>IF(OR(E53&gt;=0.2,E53&lt;=-0.2),"超过20%","")</f>
        <v/>
      </c>
      <c r="G53" s="1127">
        <f>IF(G48&lt;I48,I48/G48-1,G48/I48-1)</f>
        <v>0</v>
      </c>
      <c r="H53" s="1128" t="str">
        <f>IF(OR(G53&gt;=0.2,G53&lt;=-0.2),"超过20%","")</f>
        <v/>
      </c>
      <c r="I53" s="1127">
        <f>IF(I48&lt;E48,E48/I48-1,I48/E48-1)</f>
        <v>8.5714285714285632E-2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67" priority="14" stopIfTrue="1">
      <formula>$F$52="超过30%"</formula>
    </cfRule>
  </conditionalFormatting>
  <conditionalFormatting sqref="E53">
    <cfRule type="expression" dxfId="166" priority="13" stopIfTrue="1">
      <formula>$F$53="超过20%"</formula>
    </cfRule>
  </conditionalFormatting>
  <conditionalFormatting sqref="E54">
    <cfRule type="expression" dxfId="165" priority="12"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5" stopIfTrue="1" operator="containsText" text="超过">
      <formula>NOT(ISERROR(SEARCH("超过",F52)))</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G54">
    <cfRule type="expression" dxfId="159" priority="11"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view="pageBreakPreview" zoomScaleNormal="100" zoomScalePageLayoutView="80" workbookViewId="0">
      <selection activeCell="E24" sqref="E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2910</v>
      </c>
      <c r="H1" s="2222" t="str">
        <f>IF(G1="现房","——","估价对象范围")</f>
        <v>——</v>
      </c>
      <c r="I1" s="2350"/>
    </row>
    <row r="2" spans="1:12" ht="21.75" customHeight="1" thickBot="1">
      <c r="A2" s="3329" t="str">
        <f>项目基本情况!S2</f>
        <v>北京市房地产</v>
      </c>
      <c r="B2" s="3330"/>
      <c r="C2" s="3330"/>
      <c r="D2" s="3330"/>
      <c r="E2" s="3330"/>
      <c r="F2" s="3330"/>
      <c r="G2" s="3330"/>
      <c r="H2" s="3330"/>
      <c r="I2" s="3331"/>
    </row>
    <row r="3" spans="1:12" ht="13.2">
      <c r="A3" s="3332" t="s">
        <v>817</v>
      </c>
      <c r="B3" s="3333"/>
      <c r="C3" s="3333"/>
      <c r="D3" s="3333"/>
      <c r="E3" s="3333"/>
      <c r="F3" s="3333"/>
      <c r="G3" s="3333"/>
      <c r="H3" s="3333"/>
      <c r="I3" s="3333"/>
    </row>
    <row r="4" spans="1:12" ht="14.4">
      <c r="A4" s="2224" t="s">
        <v>818</v>
      </c>
      <c r="B4" s="2225" t="s">
        <v>819</v>
      </c>
      <c r="C4" s="2226" t="s">
        <v>2898</v>
      </c>
      <c r="D4" s="2226" t="s">
        <v>2909</v>
      </c>
      <c r="E4" s="3334" t="s">
        <v>821</v>
      </c>
      <c r="F4" s="3335"/>
      <c r="G4" s="3335"/>
      <c r="H4" s="3335"/>
      <c r="I4" s="3336"/>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379" t="s">
        <v>822</v>
      </c>
      <c r="B5" s="3301">
        <v>25</v>
      </c>
      <c r="C5" s="3349"/>
      <c r="D5" s="3348"/>
      <c r="E5" s="1870" t="s">
        <v>823</v>
      </c>
      <c r="F5" s="2230"/>
      <c r="G5" s="2230"/>
      <c r="H5" s="2230"/>
      <c r="I5" s="1943"/>
    </row>
    <row r="6" spans="1:12" ht="13.2">
      <c r="A6" s="3379"/>
      <c r="B6" s="3301"/>
      <c r="C6" s="3350"/>
      <c r="D6" s="3348"/>
      <c r="E6" s="1870" t="s">
        <v>824</v>
      </c>
      <c r="F6" s="2230"/>
      <c r="G6" s="2230"/>
      <c r="H6" s="2230"/>
      <c r="I6" s="1943"/>
    </row>
    <row r="7" spans="1:12" ht="13.2">
      <c r="A7" s="3379"/>
      <c r="B7" s="3301"/>
      <c r="C7" s="3351"/>
      <c r="D7" s="3348"/>
      <c r="E7" s="1870" t="s">
        <v>825</v>
      </c>
      <c r="F7" s="2230"/>
      <c r="G7" s="2230"/>
      <c r="H7" s="2230"/>
      <c r="I7" s="1943"/>
    </row>
    <row r="8" spans="1:12" ht="13.2">
      <c r="A8" s="3379" t="s">
        <v>826</v>
      </c>
      <c r="B8" s="3301">
        <v>15</v>
      </c>
      <c r="C8" s="3349"/>
      <c r="D8" s="3348"/>
      <c r="E8" s="1870" t="s">
        <v>827</v>
      </c>
      <c r="F8" s="2230"/>
      <c r="G8" s="2230"/>
      <c r="H8" s="2230"/>
      <c r="I8" s="1943"/>
    </row>
    <row r="9" spans="1:12" ht="13.2">
      <c r="A9" s="3379"/>
      <c r="B9" s="3301"/>
      <c r="C9" s="3351"/>
      <c r="D9" s="3348"/>
      <c r="E9" s="1870" t="s">
        <v>828</v>
      </c>
      <c r="F9" s="2230"/>
      <c r="G9" s="2230"/>
      <c r="H9" s="2230"/>
      <c r="I9" s="1943"/>
    </row>
    <row r="10" spans="1:12" ht="13.2">
      <c r="A10" s="3379" t="s">
        <v>829</v>
      </c>
      <c r="B10" s="3301">
        <v>15</v>
      </c>
      <c r="C10" s="3349"/>
      <c r="D10" s="3348"/>
      <c r="E10" s="1870" t="s">
        <v>830</v>
      </c>
      <c r="F10" s="2230"/>
      <c r="G10" s="2230"/>
      <c r="H10" s="2230"/>
      <c r="I10" s="1943"/>
    </row>
    <row r="11" spans="1:12" ht="13.2">
      <c r="A11" s="3379"/>
      <c r="B11" s="3301"/>
      <c r="C11" s="3351"/>
      <c r="D11" s="3348"/>
      <c r="E11" s="1870" t="s">
        <v>831</v>
      </c>
      <c r="F11" s="2230"/>
      <c r="G11" s="2230"/>
      <c r="H11" s="2230"/>
      <c r="I11" s="1943"/>
    </row>
    <row r="12" spans="1:12" ht="13.2">
      <c r="A12" s="3379" t="s">
        <v>832</v>
      </c>
      <c r="B12" s="3301">
        <v>15</v>
      </c>
      <c r="C12" s="3349"/>
      <c r="D12" s="3348"/>
      <c r="E12" s="1870" t="s">
        <v>833</v>
      </c>
      <c r="F12" s="2230"/>
      <c r="G12" s="2230"/>
      <c r="H12" s="2230"/>
      <c r="I12" s="1943"/>
    </row>
    <row r="13" spans="1:12" ht="13.2">
      <c r="A13" s="3379"/>
      <c r="B13" s="3301"/>
      <c r="C13" s="3351"/>
      <c r="D13" s="3348"/>
      <c r="E13" s="1870" t="s">
        <v>834</v>
      </c>
      <c r="F13" s="2230"/>
      <c r="G13" s="2230"/>
      <c r="H13" s="2230"/>
      <c r="I13" s="1943"/>
    </row>
    <row r="14" spans="1:12" ht="13.2">
      <c r="A14" s="3379" t="s">
        <v>835</v>
      </c>
      <c r="B14" s="3301">
        <v>30</v>
      </c>
      <c r="C14" s="3349">
        <v>7</v>
      </c>
      <c r="D14" s="3348">
        <v>3</v>
      </c>
      <c r="E14" s="1870" t="s">
        <v>836</v>
      </c>
      <c r="F14" s="2230"/>
      <c r="G14" s="2230"/>
      <c r="H14" s="2230"/>
      <c r="I14" s="1943"/>
    </row>
    <row r="15" spans="1:12" ht="13.2">
      <c r="A15" s="3379"/>
      <c r="B15" s="3301"/>
      <c r="C15" s="3350"/>
      <c r="D15" s="3348"/>
      <c r="E15" s="1870" t="s">
        <v>837</v>
      </c>
      <c r="F15" s="2230"/>
      <c r="G15" s="2230"/>
      <c r="H15" s="2230"/>
      <c r="I15" s="1943"/>
    </row>
    <row r="16" spans="1:12" ht="13.2">
      <c r="A16" s="3379"/>
      <c r="B16" s="3301"/>
      <c r="C16" s="3351"/>
      <c r="D16" s="3348"/>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337" t="s">
        <v>843</v>
      </c>
      <c r="F18" s="3338"/>
      <c r="G18" s="3338"/>
      <c r="H18" s="3338"/>
      <c r="I18" s="3338"/>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1081.1922</v>
      </c>
      <c r="D19" s="1354">
        <f ca="1">SUMIF(INDIRECT("'"&amp;D4&amp;"'"&amp;"!A:A"),结果表43!B19,INDIRECT("'"&amp;D4&amp;"'"&amp;"!B:B"))</f>
        <v>780.76570000000004</v>
      </c>
      <c r="E19" s="1238" t="s">
        <v>846</v>
      </c>
      <c r="F19" s="2237" t="s">
        <v>845</v>
      </c>
      <c r="G19" s="2239">
        <f ca="1">ROUND(C19*$C$18+D19*$D$18,0)</f>
        <v>991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24217</v>
      </c>
      <c r="D20" s="1577">
        <f ca="1">SUMIF(INDIRECT("'"&amp;D4&amp;"'"&amp;"!A:A"),结果表43!B20,INDIRECT("'"&amp;D4&amp;"'"&amp;"!B:B"))</f>
        <v>17488</v>
      </c>
      <c r="E20" s="2241"/>
      <c r="F20" s="2242" t="s">
        <v>848</v>
      </c>
      <c r="G20" s="2243">
        <f ca="1">ROUND(C20*$C$18+D20*$D$18,0)</f>
        <v>22198</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0.38478444941933265</v>
      </c>
      <c r="E22" s="939"/>
      <c r="F22" s="939"/>
      <c r="G22" s="939"/>
      <c r="H22" s="939"/>
      <c r="I22" s="939"/>
    </row>
    <row r="23" spans="1:36" ht="13.8" thickBot="1">
      <c r="A23" s="1971"/>
      <c r="B23" s="1971"/>
      <c r="C23" s="1971"/>
      <c r="D23" s="1971"/>
      <c r="E23" s="939"/>
      <c r="F23" s="939"/>
      <c r="G23" s="939"/>
      <c r="H23" s="939"/>
      <c r="I23" s="939"/>
    </row>
    <row r="24" spans="1:36" ht="14.4">
      <c r="A24" s="3410" t="s">
        <v>852</v>
      </c>
      <c r="B24" s="2237" t="s">
        <v>845</v>
      </c>
      <c r="C24" s="2239">
        <f>IF(B30=0,0,D30)</f>
        <v>0</v>
      </c>
      <c r="D24" s="2253"/>
      <c r="E24" s="939"/>
      <c r="F24" s="939"/>
      <c r="G24" s="939"/>
      <c r="H24" s="939"/>
      <c r="I24" s="939"/>
    </row>
    <row r="25" spans="1:36" ht="14.4">
      <c r="A25" s="3411"/>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22198</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412" t="s">
        <v>869</v>
      </c>
      <c r="B36" s="2282" t="s">
        <v>870</v>
      </c>
      <c r="C36" s="2283"/>
      <c r="D36" s="2284"/>
      <c r="E36" s="2285"/>
      <c r="F36" s="2286"/>
      <c r="G36" s="939"/>
      <c r="H36" s="939"/>
      <c r="I36" s="939"/>
    </row>
    <row r="37" spans="1:15" ht="15" thickBot="1">
      <c r="A37" s="3413"/>
      <c r="B37" s="2287" t="s">
        <v>871</v>
      </c>
      <c r="C37" s="2288"/>
      <c r="D37" s="2289"/>
      <c r="E37" s="2289"/>
      <c r="F37" s="2286"/>
      <c r="G37" s="939"/>
      <c r="H37" s="939"/>
      <c r="I37" s="939"/>
    </row>
    <row r="38" spans="1:15" ht="15" thickBot="1">
      <c r="A38" s="3414"/>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39" t="s">
        <v>880</v>
      </c>
      <c r="B45" s="3340"/>
      <c r="C45" s="3341"/>
      <c r="D45" s="1828">
        <f ca="1">ROUND(H101*F45,0)</f>
        <v>991</v>
      </c>
      <c r="E45" s="2308" t="s">
        <v>881</v>
      </c>
      <c r="F45" s="2309">
        <v>1</v>
      </c>
      <c r="G45" s="1839" t="s">
        <v>882</v>
      </c>
      <c r="H45" s="939"/>
      <c r="I45" s="939"/>
      <c r="J45" s="3342" t="s">
        <v>883</v>
      </c>
      <c r="K45" s="3342"/>
      <c r="L45" s="3342"/>
      <c r="M45" s="3342"/>
      <c r="N45" s="3342"/>
      <c r="O45" s="3342"/>
    </row>
    <row r="46" spans="1:15" ht="14.25" customHeight="1">
      <c r="A46" s="3343" t="s">
        <v>884</v>
      </c>
      <c r="B46" s="3344"/>
      <c r="C46" s="3344"/>
      <c r="D46" s="3344"/>
      <c r="E46" s="3344"/>
      <c r="F46" s="3344"/>
      <c r="G46" s="3345"/>
      <c r="H46" s="2310"/>
      <c r="I46" s="940"/>
      <c r="J46" s="580">
        <v>1</v>
      </c>
      <c r="K46" s="3346" t="s">
        <v>885</v>
      </c>
      <c r="L46" s="3346"/>
      <c r="M46" s="3347"/>
      <c r="N46" s="3347"/>
      <c r="O46" s="3347"/>
    </row>
    <row r="47" spans="1:15" ht="12" customHeight="1">
      <c r="A47" s="2311" t="s">
        <v>886</v>
      </c>
      <c r="B47" s="2312"/>
      <c r="C47" s="2313"/>
      <c r="D47" s="1879" t="s">
        <v>887</v>
      </c>
      <c r="E47" s="1829" t="s">
        <v>888</v>
      </c>
      <c r="F47" s="2314" t="s">
        <v>889</v>
      </c>
      <c r="G47" s="2315" t="s">
        <v>890</v>
      </c>
      <c r="H47" s="2316"/>
      <c r="I47" s="940"/>
      <c r="J47" s="580">
        <v>2</v>
      </c>
      <c r="K47" s="3346" t="s">
        <v>891</v>
      </c>
      <c r="L47" s="3346"/>
      <c r="M47" s="3352">
        <f>'数据-取费表'!B2</f>
        <v>45923</v>
      </c>
      <c r="N47" s="3352"/>
      <c r="O47" s="3352"/>
    </row>
    <row r="48" spans="1:15" ht="39.6">
      <c r="A48" s="3353" t="s">
        <v>892</v>
      </c>
      <c r="B48" s="3354"/>
      <c r="C48" s="3354"/>
      <c r="D48" s="1978">
        <f ca="1">IF(H48="情况1",0,IF(H48="情况2",D52,IF(H48="情况3",D53,IF(H48="情况4",D54))))</f>
        <v>41</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6" t="s">
        <v>895</v>
      </c>
      <c r="L48" s="3346"/>
      <c r="M48" s="3355">
        <f ca="1">H101</f>
        <v>991.05190000000005</v>
      </c>
      <c r="N48" s="3355"/>
      <c r="O48" s="3355"/>
    </row>
    <row r="49" spans="1:35" ht="25.5" customHeight="1">
      <c r="A49" s="2317" t="s">
        <v>896</v>
      </c>
      <c r="B49" s="3356" t="s">
        <v>897</v>
      </c>
      <c r="C49" s="3356"/>
      <c r="D49" s="2321">
        <v>0</v>
      </c>
      <c r="E49" s="1889" t="s">
        <v>898</v>
      </c>
      <c r="F49" s="2322" t="s">
        <v>124</v>
      </c>
      <c r="G49" s="3362"/>
      <c r="H49" s="2323" t="s">
        <v>899</v>
      </c>
      <c r="I49" s="2357"/>
      <c r="J49" s="580">
        <v>4</v>
      </c>
      <c r="K49" s="3346" t="str">
        <f>IF(项目基本情况!E8="房地产抵押价值","房地产抵押价值","抵押担保权已注销时的房地产抵押价值")</f>
        <v>房地产抵押价值</v>
      </c>
      <c r="L49" s="3346"/>
      <c r="M49" s="3355">
        <f ca="1">IF(项目基本情况!E8="房地产抵押价值",H107,H109)</f>
        <v>991.05190000000005</v>
      </c>
      <c r="N49" s="3355"/>
      <c r="O49" s="3355"/>
    </row>
    <row r="50" spans="1:35" ht="25.5" customHeight="1">
      <c r="A50" s="2324"/>
      <c r="B50" s="3356" t="s">
        <v>900</v>
      </c>
      <c r="C50" s="3356"/>
      <c r="D50" s="2325"/>
      <c r="E50" s="1904"/>
      <c r="F50" s="2322"/>
      <c r="G50" s="3363"/>
      <c r="H50" s="2326" t="s">
        <v>901</v>
      </c>
      <c r="I50" s="2357"/>
      <c r="J50" s="3342" t="s">
        <v>902</v>
      </c>
      <c r="K50" s="3342"/>
      <c r="L50" s="3342"/>
      <c r="M50" s="3342"/>
      <c r="N50" s="3342"/>
      <c r="O50" s="3342"/>
    </row>
    <row r="51" spans="1:35" ht="20.399999999999999" customHeight="1">
      <c r="A51" s="2327"/>
      <c r="B51" s="3356" t="s">
        <v>903</v>
      </c>
      <c r="C51" s="3356"/>
      <c r="D51" s="1879"/>
      <c r="E51" s="1893"/>
      <c r="F51" s="2322"/>
      <c r="G51" s="3364"/>
      <c r="H51" s="2326" t="s">
        <v>904</v>
      </c>
      <c r="I51" s="2357"/>
      <c r="J51" s="2356" t="s">
        <v>905</v>
      </c>
      <c r="K51" s="3346" t="s">
        <v>906</v>
      </c>
      <c r="L51" s="3346"/>
      <c r="M51" s="2356" t="s">
        <v>907</v>
      </c>
      <c r="N51" s="2356" t="s">
        <v>908</v>
      </c>
      <c r="O51" s="2356" t="s">
        <v>909</v>
      </c>
    </row>
    <row r="52" spans="1:35" ht="24" customHeight="1">
      <c r="A52" s="2328" t="s">
        <v>910</v>
      </c>
      <c r="B52" s="3356" t="s">
        <v>911</v>
      </c>
      <c r="C52" s="3356"/>
      <c r="D52" s="1879">
        <f ca="1">ROUND(D45*'数据-取费表'!B41/(1+'数据-取费表'!C42),0)</f>
        <v>53</v>
      </c>
      <c r="E52" s="1883" t="s">
        <v>912</v>
      </c>
      <c r="F52" s="2329">
        <f>'数据-取费表'!B41</f>
        <v>5.6000000000000001E-2</v>
      </c>
      <c r="G52" s="2330"/>
      <c r="H52" s="1992"/>
      <c r="I52" s="2358"/>
      <c r="J52" s="580">
        <v>1</v>
      </c>
      <c r="K52" s="3358" t="s">
        <v>913</v>
      </c>
      <c r="L52" s="3358"/>
      <c r="M52" s="2359">
        <f ca="1">D48</f>
        <v>41</v>
      </c>
      <c r="N52" s="580" t="str">
        <f>E48</f>
        <v>(销售额-原购置价)×税（费）率</v>
      </c>
      <c r="O52" s="2360">
        <f>F48</f>
        <v>5.6000000000000001E-2</v>
      </c>
    </row>
    <row r="53" spans="1:35" ht="12" customHeight="1">
      <c r="A53" s="2328" t="s">
        <v>914</v>
      </c>
      <c r="B53" s="3359" t="s">
        <v>915</v>
      </c>
      <c r="C53" s="3360"/>
      <c r="D53" s="1879">
        <f ca="1">ROUND(D45*'数据-取费表'!B41/(1+'数据-取费表'!C42),0)</f>
        <v>53</v>
      </c>
      <c r="E53" s="1883" t="s">
        <v>912</v>
      </c>
      <c r="F53" s="2329">
        <f>'数据-取费表'!B41</f>
        <v>5.6000000000000001E-2</v>
      </c>
      <c r="G53" s="2330"/>
      <c r="H53" s="1992"/>
      <c r="I53" s="2358"/>
      <c r="J53" s="580">
        <v>2</v>
      </c>
      <c r="K53" s="3358" t="s">
        <v>916</v>
      </c>
      <c r="L53" s="3358"/>
      <c r="M53" s="2359">
        <f t="shared" ref="M53:O54" ca="1" si="0">D55</f>
        <v>0.4955</v>
      </c>
      <c r="N53" s="580" t="str">
        <f t="shared" si="0"/>
        <v>销售额×税（费）率</v>
      </c>
      <c r="O53" s="2360">
        <f t="shared" si="0"/>
        <v>5.0000000000000001E-4</v>
      </c>
    </row>
    <row r="54" spans="1:35" ht="12" customHeight="1">
      <c r="A54" s="2328" t="s">
        <v>917</v>
      </c>
      <c r="B54" s="3359" t="s">
        <v>918</v>
      </c>
      <c r="C54" s="3360"/>
      <c r="D54" s="1879">
        <f ca="1">C68</f>
        <v>41</v>
      </c>
      <c r="E54" s="1893" t="s">
        <v>919</v>
      </c>
      <c r="F54" s="2329">
        <f>'数据-取费表'!B41</f>
        <v>5.6000000000000001E-2</v>
      </c>
      <c r="G54" s="2330"/>
      <c r="H54" s="2331"/>
      <c r="I54" s="2358"/>
      <c r="J54" s="580">
        <v>3</v>
      </c>
      <c r="K54" s="3358" t="s">
        <v>920</v>
      </c>
      <c r="L54" s="3358"/>
      <c r="M54" s="2359">
        <f t="shared" ca="1" si="0"/>
        <v>291</v>
      </c>
      <c r="N54" s="580" t="str">
        <f t="shared" si="0"/>
        <v>增值额×税（费）率</v>
      </c>
      <c r="O54" s="2361" t="str">
        <f t="shared" si="0"/>
        <v>——</v>
      </c>
    </row>
    <row r="55" spans="1:35" ht="24" customHeight="1">
      <c r="A55" s="3361" t="s">
        <v>921</v>
      </c>
      <c r="B55" s="3354"/>
      <c r="C55" s="3354"/>
      <c r="D55" s="1978">
        <f ca="1">IF(H55="个人住宅",0,ROUND(D45*I55,4))</f>
        <v>0.4955</v>
      </c>
      <c r="E55" s="1883" t="s">
        <v>922</v>
      </c>
      <c r="F55" s="2329">
        <f>IF(H55="正常",I55,"免征")</f>
        <v>5.0000000000000001E-4</v>
      </c>
      <c r="G55" s="2330"/>
      <c r="H55" s="2320" t="s">
        <v>923</v>
      </c>
      <c r="I55" s="2362">
        <f>'数据-取费表'!B49</f>
        <v>5.0000000000000001E-4</v>
      </c>
      <c r="J55" s="580" t="str">
        <f>IF(H59="非个人房产","",4)</f>
        <v/>
      </c>
      <c r="K55" s="3358" t="str">
        <f>IF(H59="非个人房产","——","个人所得税")</f>
        <v>——</v>
      </c>
      <c r="L55" s="3358"/>
      <c r="M55" s="2363" t="str">
        <f>D59</f>
        <v>——</v>
      </c>
      <c r="N55" s="561" t="str">
        <f>E59</f>
        <v>——</v>
      </c>
      <c r="O55" s="2364" t="str">
        <f>F59</f>
        <v>——</v>
      </c>
    </row>
    <row r="56" spans="1:35" ht="25.2">
      <c r="A56" s="3361" t="s">
        <v>924</v>
      </c>
      <c r="B56" s="3354"/>
      <c r="C56" s="3354"/>
      <c r="D56" s="1978">
        <f ca="1">IF(H56="个人住宅",D57,D58)</f>
        <v>291</v>
      </c>
      <c r="E56" s="1883" t="s">
        <v>925</v>
      </c>
      <c r="F56" s="2329" t="str">
        <f>IF(H56="正常",F58,"免征")</f>
        <v>——</v>
      </c>
      <c r="G56" s="2332" t="s">
        <v>926</v>
      </c>
      <c r="H56" s="2333" t="s">
        <v>923</v>
      </c>
      <c r="I56" s="2342"/>
      <c r="J56" s="580" t="str">
        <f>IF(项目基本情况!K6="上海银行",IF(J55="",4,J55+1),"")</f>
        <v/>
      </c>
      <c r="K56" s="3365" t="str">
        <f>IF(项目基本情况!K6="上海银行","其他处置费用","")</f>
        <v/>
      </c>
      <c r="L56" s="3366"/>
      <c r="M56" s="2359" t="str">
        <f>IF(项目基本情况!K6="上海银行",M69,"")</f>
        <v/>
      </c>
      <c r="N56" s="3365" t="str">
        <f>IF(项目基本情况!K6="上海银行","包含处置中涉及的律师、诉讼、拍卖、评估等费用","")</f>
        <v/>
      </c>
      <c r="O56" s="3367"/>
    </row>
    <row r="57" spans="1:35" ht="13.2">
      <c r="A57" s="2328" t="s">
        <v>896</v>
      </c>
      <c r="B57" s="3359" t="s">
        <v>927</v>
      </c>
      <c r="C57" s="3360"/>
      <c r="D57" s="2321">
        <v>0</v>
      </c>
      <c r="E57" s="1889" t="s">
        <v>898</v>
      </c>
      <c r="F57" s="1829"/>
      <c r="G57" s="2330"/>
      <c r="H57" s="2334"/>
      <c r="I57" s="2342"/>
      <c r="J57" s="3358">
        <f>IF(AND(J55="",J56=""),4,IF(项目基本情况!K6="上海银行",结果表43!J56+1,结果表43!J55+1))</f>
        <v>4</v>
      </c>
      <c r="K57" s="3358" t="s">
        <v>928</v>
      </c>
      <c r="L57" s="2365" t="s">
        <v>929</v>
      </c>
      <c r="M57" s="2366"/>
      <c r="N57" s="2367">
        <f ca="1">SUMIF(M52:M56,"&lt;9e307")</f>
        <v>332.49549999999999</v>
      </c>
      <c r="O57" s="2368"/>
      <c r="P57" s="2369">
        <f ca="1">N57/M49</f>
        <v>0.33549756576825085</v>
      </c>
    </row>
    <row r="58" spans="1:35" ht="25.2">
      <c r="A58" s="2328" t="s">
        <v>910</v>
      </c>
      <c r="B58" s="3359" t="s">
        <v>930</v>
      </c>
      <c r="C58" s="3356"/>
      <c r="D58" s="1978">
        <f ca="1">IF(H58="转让取得",C81,C97)</f>
        <v>291</v>
      </c>
      <c r="E58" s="1883" t="s">
        <v>925</v>
      </c>
      <c r="F58" s="1829" t="s">
        <v>124</v>
      </c>
      <c r="G58" s="2330"/>
      <c r="H58" s="2333" t="s">
        <v>931</v>
      </c>
      <c r="I58" s="2342"/>
      <c r="J58" s="3358"/>
      <c r="K58" s="3358"/>
      <c r="L58" s="2365" t="s">
        <v>932</v>
      </c>
      <c r="M58" s="2370"/>
      <c r="N58" s="2371" t="str">
        <f ca="1">NUMBERSTRING(INT(N57*10000),2)&amp;"元整"</f>
        <v>叁佰叁拾贰万肆仟玖佰伍拾伍元整</v>
      </c>
      <c r="O58" s="2372"/>
    </row>
    <row r="59" spans="1:35" ht="24.6" thickBot="1">
      <c r="A59" s="3368" t="s">
        <v>933</v>
      </c>
      <c r="B59" s="3369"/>
      <c r="C59" s="3369"/>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73">
        <f>J57+1</f>
        <v>5</v>
      </c>
      <c r="K59" s="3358" t="s">
        <v>936</v>
      </c>
      <c r="L59" s="580" t="s">
        <v>929</v>
      </c>
      <c r="M59" s="2374"/>
      <c r="N59" s="2375">
        <f ca="1">M49-N57</f>
        <v>658.55640000000005</v>
      </c>
      <c r="O59" s="2376"/>
    </row>
    <row r="60" spans="1:35" ht="12" customHeight="1">
      <c r="A60" s="2340"/>
      <c r="B60" s="1971"/>
      <c r="C60" s="1971"/>
      <c r="D60" s="1971"/>
      <c r="E60" s="2341"/>
      <c r="F60" s="2342"/>
      <c r="G60" s="2342"/>
      <c r="H60" s="940"/>
      <c r="I60" s="939"/>
      <c r="J60" s="3374"/>
      <c r="K60" s="3358"/>
      <c r="L60" s="2365" t="s">
        <v>932</v>
      </c>
      <c r="M60" s="2370"/>
      <c r="N60" s="2371" t="str">
        <f ca="1">NUMBERSTRING(INT(N59*10000),2)&amp;"元整"</f>
        <v>陆佰伍拾捌万伍仟伍佰陆拾肆元整</v>
      </c>
      <c r="O60" s="2372"/>
    </row>
    <row r="61" spans="1:35" ht="13.8" thickBot="1">
      <c r="A61" s="3370" t="s">
        <v>937</v>
      </c>
      <c r="B61" s="3370"/>
      <c r="C61" s="3370"/>
      <c r="D61" s="3370"/>
      <c r="E61" s="3370"/>
      <c r="F61" s="2342"/>
      <c r="G61" s="2342"/>
      <c r="H61" s="940"/>
      <c r="I61" s="939"/>
      <c r="J61" s="580">
        <f>J59+1</f>
        <v>6</v>
      </c>
      <c r="K61" s="3358" t="s">
        <v>938</v>
      </c>
      <c r="L61" s="3358"/>
      <c r="M61" s="2377"/>
      <c r="N61" s="2378">
        <f ca="1">ROUND(N59*10000/'数据-汇总表'!E3,0)</f>
        <v>7141</v>
      </c>
      <c r="O61" s="2379"/>
    </row>
    <row r="62" spans="1:35" ht="13.2">
      <c r="A62" s="3371" t="s">
        <v>939</v>
      </c>
      <c r="B62" s="3372"/>
      <c r="C62" s="532"/>
      <c r="D62" s="532" t="s">
        <v>940</v>
      </c>
      <c r="E62" s="2343" t="s">
        <v>890</v>
      </c>
      <c r="F62" s="2342"/>
      <c r="G62" s="2342"/>
      <c r="H62" s="940"/>
      <c r="I62" s="939"/>
    </row>
    <row r="63" spans="1:35" ht="13.2">
      <c r="A63" s="2344" t="s">
        <v>941</v>
      </c>
      <c r="B63" s="590" t="s">
        <v>942</v>
      </c>
      <c r="C63" s="2345">
        <f ca="1">ROUND((C64+C65)/(1+'数据-取费表'!C42),0)</f>
        <v>944</v>
      </c>
      <c r="D63" s="590"/>
      <c r="E63" s="2346"/>
      <c r="F63" s="2342"/>
      <c r="G63" s="2342"/>
      <c r="H63" s="940"/>
      <c r="I63" s="939"/>
      <c r="J63" s="3357" t="s">
        <v>943</v>
      </c>
      <c r="K63" s="2380" t="s">
        <v>944</v>
      </c>
      <c r="L63" s="2380">
        <f ca="1">IF(M49&gt;10000,M49*0.5%,IF(AND(M49&gt;1000,M49&lt;=10000),M49*1%,IF(AND(M49&gt;100,M49&lt;=1000),M49*3%,IF(AND(M49&gt;10,M49&lt;=100),M49*5%,M49*8%))))</f>
        <v>29.731556999999999</v>
      </c>
      <c r="M63" s="1829">
        <f ca="1">ROUND(L63,1)</f>
        <v>29.7</v>
      </c>
      <c r="N63" s="2381"/>
      <c r="Z63" s="2218"/>
      <c r="AI63" s="2219"/>
    </row>
    <row r="64" spans="1:35" ht="14.25" customHeight="1">
      <c r="A64" s="2347" t="s">
        <v>945</v>
      </c>
      <c r="B64" s="513" t="s">
        <v>946</v>
      </c>
      <c r="C64" s="2348">
        <f ca="1">D45</f>
        <v>991</v>
      </c>
      <c r="D64" s="513" t="s">
        <v>124</v>
      </c>
      <c r="E64" s="2349"/>
      <c r="F64" s="2342"/>
      <c r="G64" s="2342"/>
      <c r="H64" s="940"/>
      <c r="I64" s="939"/>
      <c r="J64" s="3357"/>
      <c r="K64" s="2380" t="s">
        <v>947</v>
      </c>
      <c r="L64" s="2380">
        <f ca="1">IF(M49&gt;2000,M49*0.5%,IF(AND(M49&gt;1000,M49&lt;=2000),M49*0.6%,IF(AND(M49&gt;500,M49&lt;=1000),M49*0.7%,IF(AND(M49&gt;200,M49&lt;=500),M49*0.8%,IF(AND(M49&gt;100,M49&lt;=200),M49*0.9%,IF(AND(M49&gt;50,M49&lt;=100),M49*1%,IF(AND(M49&gt;20,M49&lt;=50),M49*1.5%,IF(AND(M49&gt;10,M49&lt;=20),M49*2%,IF(AND(M49&gt;1,M49&lt;=10),M49*2.5%)))))))))</f>
        <v>6.9373632999999995</v>
      </c>
      <c r="M64" s="1829">
        <f t="shared" ref="M64:M65" ca="1" si="1">ROUND(L64,1)</f>
        <v>6.9</v>
      </c>
      <c r="N64" s="1992" t="s">
        <v>948</v>
      </c>
      <c r="Z64" s="2218"/>
      <c r="AI64" s="2219"/>
    </row>
    <row r="65" spans="1:35" ht="14.25" customHeight="1">
      <c r="A65" s="2347" t="s">
        <v>949</v>
      </c>
      <c r="B65" s="513" t="s">
        <v>950</v>
      </c>
      <c r="C65" s="2383"/>
      <c r="D65" s="513"/>
      <c r="E65" s="2349"/>
      <c r="F65" s="2342"/>
      <c r="G65" s="2342"/>
      <c r="H65" s="940"/>
      <c r="I65" s="939"/>
      <c r="J65" s="3357"/>
      <c r="K65" s="2380" t="s">
        <v>951</v>
      </c>
      <c r="L65" s="2380">
        <f ca="1">IF(M49&gt;1000,M49*0.1%,IF(AND(M49&gt;500,M49&lt;=1000),M49*0.5%,IF(AND(M49&gt;50,M49&lt;=500),M49*1%,IF(AND(M49&gt;1,M49&lt;=50),M49*1.5%))))</f>
        <v>4.9552595000000004</v>
      </c>
      <c r="M65" s="1829">
        <f t="shared" ca="1" si="1"/>
        <v>5</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7"/>
      <c r="K66" s="2380" t="s">
        <v>955</v>
      </c>
      <c r="L66" s="2380">
        <f ca="1">M49*0.5%</f>
        <v>4.9552595000000004</v>
      </c>
      <c r="M66" s="1829">
        <f ca="1">IF(L66&gt;0.5,0.5,ROUND(L66,0))</f>
        <v>0.5</v>
      </c>
      <c r="N66" s="1992" t="s">
        <v>956</v>
      </c>
      <c r="Z66" s="2218"/>
      <c r="AI66" s="2219"/>
    </row>
    <row r="67" spans="1:35" ht="14.25" customHeight="1">
      <c r="A67" s="2344" t="s">
        <v>957</v>
      </c>
      <c r="B67" s="2384" t="s">
        <v>958</v>
      </c>
      <c r="C67" s="2387">
        <f ca="1">C63-C66</f>
        <v>741</v>
      </c>
      <c r="D67" s="513" t="s">
        <v>124</v>
      </c>
      <c r="E67" s="2349"/>
      <c r="F67" s="2342"/>
      <c r="G67" s="2342"/>
      <c r="H67" s="940"/>
      <c r="I67" s="939"/>
      <c r="J67" s="3357"/>
      <c r="K67" s="2380" t="s">
        <v>959</v>
      </c>
      <c r="L67" s="2380">
        <f ca="1">IF(M49&gt;=10000,(8.25+(M49-10000)*0.01%),IF(AND(M49&gt;=8000,M49&lt;10000),(7.85+(M49-8000)*0.02%),IF(AND(M49&gt;=5000,M49&lt;8000),(6.65+(M49-5000)*0.04%),IF(AND(M49&gt;=2000,M49&lt;5000),(4.25+(PM49-2000)*0.08%),IF(AND(M49&gt;=1000,M49&lt;2000),(2.75+(M49-1000)*0.15%),IF(AND(M49&gt;=100,M49&lt;1000),(0.5+(M49-100)*0.25%),IF(AND(M49&gt;0,M49&lt;100),M49*0.5%)))))))</f>
        <v>2.7276297500000002</v>
      </c>
      <c r="M67" s="1829">
        <f ca="1">ROUND(L67*0.9,1)</f>
        <v>2.5</v>
      </c>
      <c r="N67" s="2381"/>
      <c r="Z67" s="2218"/>
      <c r="AI67" s="2219"/>
    </row>
    <row r="68" spans="1:35" ht="14.25" customHeight="1" thickBot="1">
      <c r="A68" s="2388" t="s">
        <v>960</v>
      </c>
      <c r="B68" s="2389" t="s">
        <v>961</v>
      </c>
      <c r="C68" s="2390">
        <f ca="1">IF(C67&lt;=0,0,ROUND(C67*D68,0))</f>
        <v>41</v>
      </c>
      <c r="D68" s="775">
        <f>'数据-取费表'!B41</f>
        <v>5.6000000000000001E-2</v>
      </c>
      <c r="E68" s="2391"/>
      <c r="F68" s="2342"/>
      <c r="G68" s="2342"/>
      <c r="H68" s="940"/>
      <c r="I68" s="939"/>
      <c r="J68" s="3357"/>
      <c r="K68" s="2380" t="s">
        <v>962</v>
      </c>
      <c r="L68" s="2380">
        <f ca="1">IF(M49&gt;10000,M49*0.5%,IF(AND(M49&gt;5000,M49&lt;=10000),M49*1%,IF(AND(M49&gt;1000,M49&lt;=5000),M49*2%,IF(AND(M49&gt;200,M49&lt;=1000),M49*3%,M49*5%))))</f>
        <v>29.731556999999999</v>
      </c>
      <c r="M68" s="1829">
        <f ca="1">ROUND(L68,1)</f>
        <v>29.7</v>
      </c>
      <c r="N68" s="2381"/>
      <c r="Z68" s="2218"/>
      <c r="AI68" s="2219"/>
    </row>
    <row r="69" spans="1:35" ht="16.5" customHeight="1">
      <c r="A69" s="2392"/>
      <c r="B69" s="2393"/>
      <c r="C69" s="2394"/>
      <c r="D69" s="697"/>
      <c r="E69" s="2395"/>
      <c r="F69" s="2341"/>
      <c r="G69" s="2341"/>
      <c r="H69" s="2302"/>
      <c r="I69" s="1971"/>
      <c r="J69" s="3357"/>
      <c r="K69" s="2380" t="s">
        <v>963</v>
      </c>
      <c r="L69" s="2380"/>
      <c r="M69" s="1829">
        <f ca="1">ROUND(SUM(M63:M68),0)</f>
        <v>74</v>
      </c>
      <c r="N69" s="2455">
        <f ca="1">M69/M49</f>
        <v>7.466813796532755E-2</v>
      </c>
      <c r="Z69" s="2218"/>
      <c r="AI69" s="2219"/>
    </row>
    <row r="70" spans="1:35" s="880" customFormat="1" ht="14.4" thickBot="1">
      <c r="A70" s="3395" t="s">
        <v>964</v>
      </c>
      <c r="B70" s="3396"/>
      <c r="C70" s="3396"/>
      <c r="D70" s="3396"/>
      <c r="E70" s="3396"/>
      <c r="F70" s="3396"/>
      <c r="G70" s="3396"/>
      <c r="H70" s="339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71" t="s">
        <v>939</v>
      </c>
      <c r="B71" s="3372"/>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944</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290</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59" t="s">
        <v>975</v>
      </c>
      <c r="F76" s="3356"/>
      <c r="G76" s="3356"/>
      <c r="H76" s="339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6</v>
      </c>
      <c r="D78" s="2410">
        <f>'数据-取费表'!B43</f>
        <v>6.0000000000000001E-3</v>
      </c>
      <c r="E78" s="3398" t="s">
        <v>981</v>
      </c>
      <c r="F78" s="3399"/>
      <c r="G78" s="3399"/>
      <c r="H78" s="340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654</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2.2551724137931033</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291</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95" t="s">
        <v>986</v>
      </c>
      <c r="B83" s="3396"/>
      <c r="C83" s="3396"/>
      <c r="D83" s="3396"/>
      <c r="E83" s="3396"/>
      <c r="F83" s="3396"/>
      <c r="G83" s="3396"/>
      <c r="H83" s="339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71" t="s">
        <v>939</v>
      </c>
      <c r="B84" s="3372"/>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944</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6</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407" t="s">
        <v>994</v>
      </c>
      <c r="H90" s="3408"/>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98" t="s">
        <v>998</v>
      </c>
      <c r="F91" s="3399"/>
      <c r="G91" s="339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98" t="s">
        <v>1001</v>
      </c>
      <c r="F92" s="3399"/>
      <c r="G92" s="3399"/>
      <c r="H92" s="340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6</v>
      </c>
      <c r="D93" s="2410">
        <f>'数据-取费表'!B43</f>
        <v>6.0000000000000001E-3</v>
      </c>
      <c r="E93" s="3398" t="s">
        <v>981</v>
      </c>
      <c r="F93" s="3399"/>
      <c r="G93" s="3399"/>
      <c r="H93" s="340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419" t="s">
        <v>1006</v>
      </c>
      <c r="F94" s="3420"/>
      <c r="G94" s="3420"/>
      <c r="H94" s="3421"/>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938</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156.33333333333334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561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83"/>
      <c r="E100" s="3273" t="s">
        <v>1009</v>
      </c>
      <c r="F100" s="3273"/>
      <c r="G100" s="3273"/>
      <c r="H100" s="3383"/>
      <c r="I100" s="939"/>
    </row>
    <row r="101" spans="1:35" ht="18.75" customHeight="1">
      <c r="A101" s="3384" t="s">
        <v>1010</v>
      </c>
      <c r="B101" s="3385"/>
      <c r="C101" s="2432" t="str">
        <f>C4</f>
        <v>比较法-商业43</v>
      </c>
      <c r="D101" s="2433" t="str">
        <f>D4</f>
        <v>收益法43</v>
      </c>
      <c r="E101" s="3406" t="s">
        <v>1011</v>
      </c>
      <c r="F101" s="3402"/>
      <c r="G101" s="2435" t="s">
        <v>1012</v>
      </c>
      <c r="H101" s="2436">
        <f ca="1">H118</f>
        <v>991.05190000000005</v>
      </c>
      <c r="I101" s="939"/>
    </row>
    <row r="102" spans="1:35" ht="18.75" customHeight="1">
      <c r="A102" s="3415" t="s">
        <v>1013</v>
      </c>
      <c r="B102" s="2437" t="s">
        <v>1012</v>
      </c>
      <c r="C102" s="2432">
        <f ca="1">IF(D32="楼面单价",ROUND(C19,0),C19)</f>
        <v>1081</v>
      </c>
      <c r="D102" s="2433">
        <f ca="1">IF(D32="楼面单价",ROUND(D19,0),D19)</f>
        <v>781</v>
      </c>
      <c r="E102" s="3406"/>
      <c r="F102" s="3402"/>
      <c r="G102" s="2435" t="s">
        <v>99</v>
      </c>
      <c r="H102" s="2330">
        <f ca="1">I118</f>
        <v>22198</v>
      </c>
      <c r="I102" s="939"/>
    </row>
    <row r="103" spans="1:35" ht="42.75" customHeight="1">
      <c r="A103" s="3415"/>
      <c r="B103" s="2437" t="s">
        <v>99</v>
      </c>
      <c r="C103" s="2438">
        <f ca="1">C20</f>
        <v>24217</v>
      </c>
      <c r="D103" s="2439">
        <f ca="1">D20</f>
        <v>17488</v>
      </c>
      <c r="E103" s="3386" t="s">
        <v>1014</v>
      </c>
      <c r="F103" s="3387"/>
      <c r="G103" s="2440" t="s">
        <v>102</v>
      </c>
      <c r="H103" s="2436">
        <f>IF(D36="正常操作",H104+H105+H106,H105+H106)</f>
        <v>0</v>
      </c>
      <c r="I103" s="939"/>
    </row>
    <row r="104" spans="1:35" ht="18.75" customHeight="1">
      <c r="A104" s="3415" t="s">
        <v>1015</v>
      </c>
      <c r="B104" s="2441" t="s">
        <v>1012</v>
      </c>
      <c r="C104" s="2442">
        <f ca="1">H118</f>
        <v>991.05190000000005</v>
      </c>
      <c r="D104" s="2443"/>
      <c r="E104" s="2287" t="s">
        <v>1016</v>
      </c>
      <c r="F104" s="2444"/>
      <c r="G104" s="2440" t="s">
        <v>102</v>
      </c>
      <c r="H104" s="2445">
        <f>IF(D36="同一抵押权人同一抵押物续贷",C36&amp;"（续贷，未扣减，详见特别提示）",C36)</f>
        <v>0</v>
      </c>
      <c r="I104" s="939"/>
    </row>
    <row r="105" spans="1:35" ht="18.75" customHeight="1" thickBot="1">
      <c r="A105" s="3416"/>
      <c r="B105" s="2446" t="s">
        <v>99</v>
      </c>
      <c r="C105" s="2447">
        <f ca="1">I118</f>
        <v>22198</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401" t="str">
        <f>IF(项目基本情况!E8="已注销","——","3.房地产抵押价值")</f>
        <v>3.房地产抵押价值</v>
      </c>
      <c r="F107" s="3402"/>
      <c r="G107" s="2435" t="s">
        <v>1012</v>
      </c>
      <c r="H107" s="2436">
        <f ca="1">IF(E107="——","——",H101-H103)</f>
        <v>991.05190000000005</v>
      </c>
      <c r="I107" s="939"/>
    </row>
    <row r="108" spans="1:35" ht="18.75" customHeight="1">
      <c r="A108" s="939"/>
      <c r="B108" s="939"/>
      <c r="C108" s="939"/>
      <c r="D108" s="939"/>
      <c r="E108" s="3401"/>
      <c r="F108" s="3402"/>
      <c r="G108" s="2435" t="s">
        <v>99</v>
      </c>
      <c r="H108" s="2330">
        <f ca="1">IF(H107=H101,H102,ROUND(H107*10000/'数据-汇总表'!E3,0))</f>
        <v>22198</v>
      </c>
      <c r="I108" s="939"/>
    </row>
    <row r="109" spans="1:35" ht="18.75" customHeight="1">
      <c r="A109" s="939"/>
      <c r="B109" s="939"/>
      <c r="C109" s="939"/>
      <c r="D109" s="939"/>
      <c r="E109" s="3401" t="str">
        <f>IF(项目基本情况!E8="已注销及未注销","4.抵押担保权已注销时的房地产抵押价值",IF(项目基本情况!E8="已注销","3.抵押担保权已注销时的房地产抵押价值","——"))</f>
        <v>——</v>
      </c>
      <c r="F109" s="3402"/>
      <c r="G109" s="2435" t="s">
        <v>1012</v>
      </c>
      <c r="H109" s="2451" t="str">
        <f>IF(E109="——","——",H101-H105-H106)</f>
        <v>——</v>
      </c>
      <c r="I109" s="939"/>
    </row>
    <row r="110" spans="1:35" ht="18.75" customHeight="1">
      <c r="A110" s="939"/>
      <c r="B110" s="939"/>
      <c r="C110" s="939"/>
      <c r="D110" s="939"/>
      <c r="E110" s="3401"/>
      <c r="F110" s="3402"/>
      <c r="G110" s="2435" t="s">
        <v>99</v>
      </c>
      <c r="H110" s="2330" t="str">
        <f>IF(H109="——","——",ROUND(H109*10000/'数据-汇总表'!E3,0))</f>
        <v>——</v>
      </c>
      <c r="I110" s="939"/>
    </row>
    <row r="111" spans="1:35" ht="18.75" customHeight="1">
      <c r="A111" s="939"/>
      <c r="B111" s="939"/>
      <c r="C111" s="939"/>
      <c r="D111" s="939"/>
      <c r="E111" s="3403"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thickBot="1">
      <c r="A112" s="939"/>
      <c r="B112" s="939"/>
      <c r="C112" s="939"/>
      <c r="D112" s="939"/>
      <c r="E112" s="3404"/>
      <c r="F112" s="3405"/>
      <c r="G112" s="2452" t="s">
        <v>99</v>
      </c>
      <c r="H112" s="2453" t="str">
        <f>IF(E111="——","——",N61)</f>
        <v>——</v>
      </c>
      <c r="I112" s="939"/>
    </row>
    <row r="113" spans="1:27" ht="18.75" customHeight="1">
      <c r="A113" s="939"/>
      <c r="B113" s="939"/>
      <c r="C113" s="939"/>
      <c r="D113" s="939"/>
      <c r="E113" s="3388" t="s">
        <v>1018</v>
      </c>
      <c r="F113" s="3388"/>
      <c r="G113" s="3388"/>
      <c r="H113" s="3388"/>
      <c r="I113" s="939"/>
    </row>
    <row r="114" spans="1:27" ht="3.75" customHeight="1">
      <c r="A114" s="1971"/>
      <c r="B114" s="1971"/>
      <c r="C114" s="1971"/>
      <c r="D114" s="1971"/>
      <c r="E114" s="2340"/>
      <c r="F114" s="2340"/>
      <c r="G114" s="2340"/>
      <c r="H114" s="2340"/>
      <c r="I114" s="1971"/>
    </row>
    <row r="115" spans="1:27" ht="18.75" customHeight="1">
      <c r="A115" s="3389" t="s">
        <v>1020</v>
      </c>
      <c r="B115" s="3390"/>
      <c r="C115" s="3390"/>
      <c r="D115" s="3390"/>
      <c r="E115" s="3390"/>
      <c r="F115" s="3390"/>
      <c r="G115" s="3390"/>
      <c r="H115" s="3390"/>
      <c r="I115" s="3391"/>
    </row>
    <row r="116" spans="1:27" ht="27" customHeight="1">
      <c r="A116" s="3379" t="s">
        <v>1021</v>
      </c>
      <c r="B116" s="3417" t="s">
        <v>1022</v>
      </c>
      <c r="C116" s="3417" t="s">
        <v>1023</v>
      </c>
      <c r="D116" s="3392" t="s">
        <v>1024</v>
      </c>
      <c r="E116" s="3393"/>
      <c r="F116" s="3394" t="s">
        <v>1025</v>
      </c>
      <c r="G116" s="3394"/>
      <c r="H116" s="3379" t="s">
        <v>1026</v>
      </c>
      <c r="I116" s="3379"/>
    </row>
    <row r="117" spans="1:27" ht="18.75" customHeight="1">
      <c r="A117" s="3379"/>
      <c r="B117" s="3418"/>
      <c r="C117" s="3418"/>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991.05190000000005</v>
      </c>
      <c r="I118" s="872">
        <f ca="1">ROUND(IF(D32="楼面单价",C32,H118*10000/B118),0)</f>
        <v>22198</v>
      </c>
    </row>
    <row r="119" spans="1:27" ht="18.75" customHeight="1">
      <c r="A119" s="3379" t="s">
        <v>1028</v>
      </c>
      <c r="B119" s="3379"/>
      <c r="C119" s="3379"/>
      <c r="D119" s="3380" t="e">
        <f ca="1">NUMBERSTRING(INT(D118*10000),2)&amp;"元整"</f>
        <v>#N/A</v>
      </c>
      <c r="E119" s="3382"/>
      <c r="F119" s="3380" t="e">
        <f ca="1">NUMBERSTRING(INT(F118*10000),2)&amp;"元整"</f>
        <v>#N/A</v>
      </c>
      <c r="G119" s="3382"/>
      <c r="H119" s="3380" t="str">
        <f ca="1">NUMBERSTRING(INT(H118*10000),2)&amp;"元整"</f>
        <v>玖佰玖拾壹万零伍佰壹拾玖元整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80" t="s">
        <v>1028</v>
      </c>
      <c r="B121" s="3381"/>
      <c r="C121" s="3382"/>
      <c r="D121" s="3380" t="str">
        <f>IF(D120=0,"零元整",NUMBERSTRING(INT(D120*10000),2)&amp;"元整")</f>
        <v>零元整</v>
      </c>
      <c r="E121" s="3381"/>
      <c r="F121" s="3381"/>
      <c r="G121" s="3381"/>
      <c r="H121" s="3381"/>
      <c r="I121" s="3382"/>
      <c r="AA121" s="898"/>
    </row>
    <row r="122" spans="1:27" ht="18.75" customHeight="1">
      <c r="A122" s="3375" t="str">
        <f>IF(项目基本情况!B9="房地产市场价值","",MID(E107,3,LEN(E107)-2))</f>
        <v>房地产抵押价值</v>
      </c>
      <c r="B122" s="3375"/>
      <c r="C122" s="3375"/>
      <c r="D122" s="3376">
        <f ca="1">H107</f>
        <v>991.05190000000005</v>
      </c>
      <c r="E122" s="3377"/>
      <c r="F122" s="3377"/>
      <c r="G122" s="3377"/>
      <c r="H122" s="3377"/>
      <c r="I122" s="3378"/>
      <c r="AA122" s="898"/>
    </row>
    <row r="123" spans="1:27" ht="18.75" customHeight="1">
      <c r="A123" s="3379" t="s">
        <v>1028</v>
      </c>
      <c r="B123" s="3379"/>
      <c r="C123" s="3379"/>
      <c r="D123" s="3380" t="str">
        <f ca="1">NUMBERSTRING(INT(D122*10000),2)&amp;"元整"</f>
        <v>玖佰玖拾壹万零伍佰壹拾玖元整</v>
      </c>
      <c r="E123" s="3381"/>
      <c r="F123" s="3381"/>
      <c r="G123" s="3381"/>
      <c r="H123" s="3381"/>
      <c r="I123" s="3382"/>
      <c r="AA123" s="898"/>
    </row>
    <row r="124" spans="1:27" ht="18.75" customHeight="1">
      <c r="A124" s="3375" t="str">
        <f>IF(项目基本情况!B9="房地产市场价值","",MID(E109,3,LEN(E109)-2))</f>
        <v/>
      </c>
      <c r="B124" s="3375"/>
      <c r="C124" s="3375"/>
      <c r="D124" s="3376" t="str">
        <f>H109</f>
        <v>——</v>
      </c>
      <c r="E124" s="3377"/>
      <c r="F124" s="3377"/>
      <c r="G124" s="3377"/>
      <c r="H124" s="3377"/>
      <c r="I124" s="3378"/>
      <c r="AA124" s="898"/>
    </row>
    <row r="125" spans="1:27" ht="18.75" customHeight="1">
      <c r="A125" s="3379" t="s">
        <v>1028</v>
      </c>
      <c r="B125" s="3379"/>
      <c r="C125" s="3379"/>
      <c r="D125" s="3380" t="e">
        <f>NUMBERSTRING(INT(D124*10000),2)&amp;"元整"</f>
        <v>#VALUE!</v>
      </c>
      <c r="E125" s="3381"/>
      <c r="F125" s="3381"/>
      <c r="G125" s="3381"/>
      <c r="H125" s="3381"/>
      <c r="I125" s="3382"/>
      <c r="AA125" s="898"/>
    </row>
    <row r="126" spans="1:27" ht="18.75" customHeight="1">
      <c r="A126" s="3375" t="str">
        <f>IF(项目基本情况!B9="房地产市场价值","",MID(E111,3,LEN(E111)-2))</f>
        <v/>
      </c>
      <c r="B126" s="3375"/>
      <c r="C126" s="3375"/>
      <c r="D126" s="3376" t="str">
        <f>H111</f>
        <v>——</v>
      </c>
      <c r="E126" s="3377"/>
      <c r="F126" s="3377"/>
      <c r="G126" s="3377"/>
      <c r="H126" s="3377"/>
      <c r="I126" s="3378"/>
      <c r="AA126" s="898"/>
    </row>
    <row r="127" spans="1:27" ht="18.75" customHeight="1">
      <c r="A127" s="3379" t="s">
        <v>1028</v>
      </c>
      <c r="B127" s="3379"/>
      <c r="C127" s="3379"/>
      <c r="D127" s="3380" t="e">
        <f>NUMBERSTRING(INT(D126*10000),2)&amp;"元整"</f>
        <v>#VALUE!</v>
      </c>
      <c r="E127" s="3381"/>
      <c r="F127" s="3381"/>
      <c r="G127" s="3381"/>
      <c r="H127" s="3381"/>
      <c r="I127" s="3382"/>
      <c r="AA127" s="898"/>
    </row>
    <row r="128" spans="1:27" ht="21.75" customHeight="1">
      <c r="A128" s="3409" t="s">
        <v>113</v>
      </c>
      <c r="B128" s="3409"/>
      <c r="C128" s="3409"/>
      <c r="D128" s="3409"/>
      <c r="E128" s="3409"/>
      <c r="F128" s="3409"/>
      <c r="G128" s="3409"/>
      <c r="H128" s="3409"/>
      <c r="I128" s="3409"/>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19" zoomScale="80" zoomScaleNormal="70" workbookViewId="0">
      <selection activeCell="N29" sqref="N2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1081.1922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24217</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2888</v>
      </c>
      <c r="F5" s="3324"/>
      <c r="G5" s="3323" t="s">
        <v>2888</v>
      </c>
      <c r="H5" s="3324"/>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5" thickBot="1">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289"/>
      <c r="Q25" s="625" t="str">
        <f t="shared" ref="Q25:Q46" si="11">B25</f>
        <v>临街状况</v>
      </c>
      <c r="R25" s="1227" t="s">
        <v>1152</v>
      </c>
      <c r="S25" s="1228">
        <f>F25</f>
        <v>102</v>
      </c>
      <c r="T25" s="1227" t="s">
        <v>1152</v>
      </c>
      <c r="U25" s="1228">
        <f>H25</f>
        <v>102</v>
      </c>
      <c r="V25" s="1227" t="s">
        <v>1152</v>
      </c>
      <c r="W25" s="1228">
        <f>J25</f>
        <v>102</v>
      </c>
      <c r="X25" s="1222"/>
      <c r="Y25" s="3291"/>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289"/>
      <c r="Q26" s="625" t="str">
        <f t="shared" si="11"/>
        <v>平面位置/可视性</v>
      </c>
      <c r="R26" s="1227" t="s">
        <v>1152</v>
      </c>
      <c r="S26" s="1228">
        <f>F26</f>
        <v>100</v>
      </c>
      <c r="T26" s="1227" t="s">
        <v>1152</v>
      </c>
      <c r="U26" s="1228">
        <f>H26</f>
        <v>100</v>
      </c>
      <c r="V26" s="1227" t="s">
        <v>1152</v>
      </c>
      <c r="W26" s="1228">
        <f>J26</f>
        <v>100</v>
      </c>
      <c r="X26" s="1222"/>
      <c r="Y26" s="3291"/>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289"/>
      <c r="Q27" s="794" t="str">
        <f t="shared" si="11"/>
        <v>人流量</v>
      </c>
      <c r="R27" s="1223" t="s">
        <v>1152</v>
      </c>
      <c r="S27" s="1224">
        <f>F27</f>
        <v>102</v>
      </c>
      <c r="T27" s="1223" t="s">
        <v>1152</v>
      </c>
      <c r="U27" s="1224">
        <f>H27</f>
        <v>102</v>
      </c>
      <c r="V27" s="1223" t="s">
        <v>1152</v>
      </c>
      <c r="W27" s="1224">
        <f>J27</f>
        <v>102</v>
      </c>
      <c r="X27" s="1225"/>
      <c r="Y27" s="3291"/>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101</v>
      </c>
      <c r="G33" s="1053">
        <v>164.61</v>
      </c>
      <c r="H33" s="1051">
        <f>LOOKUP(G33,103:103,104:104)-LOOKUP(C33,103:103,104:104)+100</f>
        <v>102</v>
      </c>
      <c r="I33" s="1053">
        <v>139.38999999999999</v>
      </c>
      <c r="J33" s="1051">
        <f>LOOKUP(I33,103:103,104:104)-LOOKUP(C33,103:103,104:104)+100</f>
        <v>102</v>
      </c>
      <c r="K33" s="1196"/>
      <c r="L33" s="1188"/>
      <c r="M33" s="1198"/>
      <c r="N33" s="1198"/>
      <c r="O33" s="1198"/>
      <c r="P33" s="3293"/>
      <c r="Q33" s="1417" t="str">
        <f t="shared" si="11"/>
        <v>项目建筑规模</v>
      </c>
      <c r="R33" s="1229" t="s">
        <v>1152</v>
      </c>
      <c r="S33" s="1230">
        <f t="shared" si="12"/>
        <v>101</v>
      </c>
      <c r="T33" s="1229" t="s">
        <v>1152</v>
      </c>
      <c r="U33" s="1230">
        <f t="shared" si="13"/>
        <v>102</v>
      </c>
      <c r="V33" s="1229" t="s">
        <v>1152</v>
      </c>
      <c r="W33" s="1230">
        <f t="shared" si="14"/>
        <v>102</v>
      </c>
      <c r="X33" s="1231"/>
      <c r="Y33" s="3295"/>
      <c r="Z33" s="1236" t="str">
        <f t="shared" si="15"/>
        <v>项目建筑规模</v>
      </c>
      <c r="AA33" s="1211">
        <f t="shared" si="3"/>
        <v>0.99009900990099009</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293"/>
      <c r="Q44" s="794" t="str">
        <f t="shared" si="11"/>
        <v>占比</v>
      </c>
      <c r="R44" s="1223" t="s">
        <v>1152</v>
      </c>
      <c r="S44" s="1224">
        <f t="shared" si="12"/>
        <v>105</v>
      </c>
      <c r="T44" s="1223" t="s">
        <v>1152</v>
      </c>
      <c r="U44" s="1224">
        <f t="shared" si="13"/>
        <v>105</v>
      </c>
      <c r="V44" s="1223" t="s">
        <v>1152</v>
      </c>
      <c r="W44" s="1224">
        <f t="shared" si="14"/>
        <v>105</v>
      </c>
      <c r="X44" s="1225"/>
      <c r="Y44" s="3295"/>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283" t="str">
        <f>A47</f>
        <v>成交单价（元/平方米）</v>
      </c>
      <c r="Q47" s="3283"/>
      <c r="R47" s="3284">
        <f>E47</f>
        <v>27320</v>
      </c>
      <c r="S47" s="3284"/>
      <c r="T47" s="3284">
        <f>G47</f>
        <v>26744</v>
      </c>
      <c r="U47" s="3284"/>
      <c r="V47" s="3284">
        <f>I47</f>
        <v>28235</v>
      </c>
      <c r="W47" s="3284"/>
      <c r="X47" s="1164"/>
      <c r="Y47" s="1237"/>
      <c r="Z47" s="1164"/>
      <c r="AA47" s="1164"/>
      <c r="AB47" s="1164"/>
      <c r="AC47" s="1164"/>
    </row>
    <row r="48" spans="1:29" ht="15" thickBot="1">
      <c r="A48" s="1115" t="s">
        <v>1195</v>
      </c>
      <c r="B48" s="1402"/>
      <c r="C48" s="1403">
        <f>R49</f>
        <v>24217</v>
      </c>
      <c r="D48" s="1118" t="s">
        <v>1196</v>
      </c>
      <c r="E48" s="1404">
        <f>R48</f>
        <v>24276</v>
      </c>
      <c r="F48" s="1119"/>
      <c r="G48" s="1403">
        <f>T48</f>
        <v>23531</v>
      </c>
      <c r="H48" s="1119"/>
      <c r="I48" s="1404">
        <f>V48</f>
        <v>24843</v>
      </c>
      <c r="J48" s="1119"/>
      <c r="K48" s="1204">
        <f>F48+H48+J48</f>
        <v>0</v>
      </c>
      <c r="L48" s="1203"/>
      <c r="M48" s="1124"/>
      <c r="N48" s="1124"/>
      <c r="O48" s="1124"/>
      <c r="P48" s="3283" t="str">
        <f>A48</f>
        <v>比较价值（元/平方米）</v>
      </c>
      <c r="Q48" s="3283"/>
      <c r="R48" s="3284">
        <f>IF(F1="售价",ROUND(PRODUCT(R47,AA7:AA46),0),ROUND(PRODUCT(R47,AA7:AA46),1))</f>
        <v>24276</v>
      </c>
      <c r="S48" s="3284"/>
      <c r="T48" s="3284">
        <f>IF(F1="售价",ROUND(PRODUCT(T47,AB7:AB46),0),ROUND(PRODUCT(T47,AB7:AB46),1))</f>
        <v>23531</v>
      </c>
      <c r="U48" s="3284"/>
      <c r="V48" s="3284">
        <f>IF(F1="售价",ROUND(PRODUCT(V47,AC7:AC46),0),ROUND(PRODUCT(V47,AC7:AC46),1))</f>
        <v>24843</v>
      </c>
      <c r="W48" s="3284"/>
      <c r="X48" s="1164"/>
      <c r="Y48" s="1164"/>
      <c r="Z48" s="1164"/>
      <c r="AA48" s="1164"/>
      <c r="AB48" s="1164"/>
      <c r="AC48" s="1164"/>
    </row>
    <row r="49" spans="1:29" ht="15" thickBot="1">
      <c r="A49" s="1121" t="s">
        <v>1197</v>
      </c>
      <c r="B49" s="1122"/>
      <c r="C49" s="1034">
        <f>R49</f>
        <v>24217</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24217</v>
      </c>
      <c r="S49" s="3287"/>
      <c r="T49" s="3287"/>
      <c r="U49" s="3287"/>
      <c r="V49" s="3287"/>
      <c r="W49" s="3287"/>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0.12539133300378968</v>
      </c>
      <c r="F52" s="1128" t="str">
        <f>IF(OR(E52&gt;=0.3,E52&lt;=-0.3),"超过30%","")</f>
        <v/>
      </c>
      <c r="G52" s="1127">
        <f>IF(G47&lt;G48,G48/G47-1,G47/G48-1)</f>
        <v>0.13654328332837529</v>
      </c>
      <c r="H52" s="1128" t="str">
        <f>IF(OR(G52&gt;=0.3,G52&lt;=-0.3),"超过30%","")</f>
        <v/>
      </c>
      <c r="I52" s="1127">
        <f>IF(I47&lt;I48,I48/I47-1,I47/I48-1)</f>
        <v>0.13653745521877392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3.1660362925502561E-2</v>
      </c>
      <c r="F53" s="1128" t="str">
        <f>IF(OR(E53&gt;=0.2,E53&lt;=-0.2),"超过20%","")</f>
        <v/>
      </c>
      <c r="G53" s="1127">
        <f>IF(G48&lt;I48,I48/G48-1,G48/I48-1)</f>
        <v>5.5756236454039376E-2</v>
      </c>
      <c r="H53" s="1128" t="str">
        <f>IF(OR(G53&gt;=0.2,G53&lt;=-0.2),"超过20%","")</f>
        <v/>
      </c>
      <c r="I53" s="1127">
        <f>IF(I48&lt;E48,E48/I48-1,I48/E48-1)</f>
        <v>2.3356401384083014E-2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2919</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2" t="s">
        <v>82</v>
      </c>
    </row>
    <row r="3" spans="1:1" ht="17.399999999999999">
      <c r="A3" s="3133" t="str">
        <f>项目基本情况!B5&amp;"："</f>
        <v>：</v>
      </c>
    </row>
    <row r="4" spans="1:1" ht="17.399999999999999">
      <c r="A4" s="3134" t="str">
        <f>"受贵公司委托，我公司对"&amp;项目基本情况!S1&amp;"进行了预评估。"</f>
        <v>受贵公司委托，我公司对北京市房地产抵押价值进行了预评估。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2025年9月23日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本次评估采用的主估价方法为比较法和收益法。</v>
      </c>
    </row>
    <row r="25" spans="1:1" ht="17.399999999999999">
      <c r="A25" s="3108"/>
    </row>
    <row r="26" spans="1:1" ht="17.399999999999999">
      <c r="A26" s="313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780.76570000000004</v>
      </c>
      <c r="C2" s="1808" t="s">
        <v>1223</v>
      </c>
      <c r="D2" s="2188">
        <f ca="1">C40+J29+L46</f>
        <v>7807657</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558013</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ROUND(F6*F8*F7*(1-F9),0)</f>
        <v>557316</v>
      </c>
      <c r="D6" s="1828" t="s">
        <v>1236</v>
      </c>
      <c r="E6" s="1829" t="s">
        <v>1237</v>
      </c>
      <c r="F6" s="1830">
        <f ca="1">INDIRECT("'数据-取费表'!u"&amp;$G$1)</f>
        <v>3.8</v>
      </c>
      <c r="G6" s="718"/>
      <c r="H6" s="1826" t="s">
        <v>945</v>
      </c>
      <c r="I6" s="3427" t="s">
        <v>1235</v>
      </c>
      <c r="J6" s="1901">
        <f ca="1">ROUND(M6*M8*M7*(1-M9),0)</f>
        <v>0</v>
      </c>
      <c r="K6" s="2194" t="s">
        <v>1238</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446.46</v>
      </c>
      <c r="G7" s="718"/>
      <c r="H7" s="1835"/>
      <c r="I7" s="3428"/>
      <c r="J7" s="1836"/>
      <c r="K7" s="1833"/>
      <c r="L7" s="1829" t="s">
        <v>1239</v>
      </c>
      <c r="M7" s="1830">
        <f ca="1">F7</f>
        <v>446.46</v>
      </c>
    </row>
    <row r="8" spans="1:37" ht="18" customHeight="1">
      <c r="A8" s="1835"/>
      <c r="B8" s="3428"/>
      <c r="C8" s="1836"/>
      <c r="D8" s="1833"/>
      <c r="E8" s="1829" t="s">
        <v>1240</v>
      </c>
      <c r="F8" s="1830">
        <f ca="1">INDIRECT("'数据-取费表'!ai"&amp;$G$1)</f>
        <v>365</v>
      </c>
      <c r="G8" s="718"/>
      <c r="H8" s="1835"/>
      <c r="I8" s="3428"/>
      <c r="J8" s="1836"/>
      <c r="K8" s="1833"/>
      <c r="L8" s="1829" t="s">
        <v>1240</v>
      </c>
      <c r="M8" s="1830">
        <f ca="1">INDIRECT("'数据-取费表'!ai"&amp;$G$1)</f>
        <v>365</v>
      </c>
    </row>
    <row r="9" spans="1:37" ht="18" customHeight="1">
      <c r="A9" s="1835"/>
      <c r="B9" s="3429"/>
      <c r="C9" s="1836"/>
      <c r="D9" s="1833"/>
      <c r="E9" s="1829" t="s">
        <v>1241</v>
      </c>
      <c r="F9" s="1837">
        <f ca="1">INDIRECT("'数据-取费表'!w"&amp;$G$1)</f>
        <v>0.1</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697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1995737</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113952</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93417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29724</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63693</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1996</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5580</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444061</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7665463</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-787.49009999999998</v>
      </c>
      <c r="D45" s="2191" t="s">
        <v>1329</v>
      </c>
      <c r="E45" s="1912"/>
      <c r="F45" s="1912"/>
      <c r="O45" s="2027" t="s">
        <v>1330</v>
      </c>
      <c r="P45" s="1902"/>
      <c r="Q45" s="1902"/>
      <c r="R45" s="1902"/>
    </row>
    <row r="46" spans="1:18" s="718" customFormat="1" ht="13.8" thickBot="1">
      <c r="A46" s="1914" t="s">
        <v>1331</v>
      </c>
      <c r="C46" s="1915">
        <f ca="1">ROUND(C45,0)</f>
        <v>-787</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7665463</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5375831</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5" t="s">
        <v>1371</v>
      </c>
      <c r="L53" s="3426"/>
      <c r="O53" s="2006" t="s">
        <v>1372</v>
      </c>
      <c r="P53" s="2007" t="s">
        <v>1373</v>
      </c>
      <c r="Q53" s="2044">
        <f ca="1">Q47+Q48</f>
        <v>7807657</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1995737</v>
      </c>
      <c r="D56" s="1949"/>
      <c r="E56" s="1950"/>
      <c r="F56" s="1946"/>
      <c r="I56" s="2032" t="s">
        <v>1378</v>
      </c>
      <c r="J56" s="2033" t="s">
        <v>1379</v>
      </c>
      <c r="K56" s="2008" t="s">
        <v>1380</v>
      </c>
      <c r="L56" s="2011" t="str">
        <f ca="1">IF(L48&lt;J51,"——",L48-J51)</f>
        <v>——</v>
      </c>
      <c r="O56" s="2006" t="s">
        <v>1052</v>
      </c>
      <c r="P56" s="2007" t="s">
        <v>1339</v>
      </c>
      <c r="Q56" s="2044">
        <f ca="1">C40+J29</f>
        <v>7665463</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14955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7665463</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1996</v>
      </c>
      <c r="D65" s="1960" t="s">
        <v>1294</v>
      </c>
      <c r="E65" s="1952" t="s">
        <v>1259</v>
      </c>
      <c r="F65" s="1896">
        <f t="shared" ca="1" si="0"/>
        <v>1E-3</v>
      </c>
      <c r="I65" s="2040" t="s">
        <v>1403</v>
      </c>
      <c r="J65" s="1141">
        <v>40</v>
      </c>
      <c r="K65" s="1141">
        <v>30</v>
      </c>
      <c r="L65" s="1141">
        <v>50</v>
      </c>
      <c r="M65" s="2042">
        <v>0.02</v>
      </c>
      <c r="O65" s="2006" t="s">
        <v>1052</v>
      </c>
      <c r="P65" s="2007" t="s">
        <v>1339</v>
      </c>
      <c r="Q65" s="2044">
        <f ca="1">C40+J29</f>
        <v>7665463</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-14955</v>
      </c>
      <c r="D67" s="1959" t="s">
        <v>1302</v>
      </c>
      <c r="E67" s="2047"/>
      <c r="F67" s="2048"/>
      <c r="O67" s="2014" t="s">
        <v>1353</v>
      </c>
      <c r="P67" s="2007" t="s">
        <v>1387</v>
      </c>
      <c r="Q67" s="2068">
        <f ca="1">L51</f>
        <v>5375831</v>
      </c>
      <c r="R67" s="2044" t="s">
        <v>1404</v>
      </c>
    </row>
    <row r="68" spans="1:18" s="718" customFormat="1" ht="16.2" thickBot="1">
      <c r="A68" s="2049" t="s">
        <v>1306</v>
      </c>
      <c r="B68" s="2050" t="s">
        <v>1324</v>
      </c>
      <c r="C68" s="1901">
        <f ca="1">ROUND(C67*(1-((1+F70)/(1+F68))^F69)/(F68-F70),0)</f>
        <v>-209438</v>
      </c>
      <c r="D68" s="1962" t="s">
        <v>1308</v>
      </c>
      <c r="E68" s="1952" t="s">
        <v>1309</v>
      </c>
      <c r="F68" s="1837">
        <f ca="1">F40</f>
        <v>5.5E-2</v>
      </c>
      <c r="O68" s="2014" t="s">
        <v>1357</v>
      </c>
      <c r="P68" s="2067" t="s">
        <v>1405</v>
      </c>
      <c r="Q68" s="2044">
        <f ca="1">ROUND(Q69-Q70*Q71,0)</f>
        <v>304359</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444061</v>
      </c>
      <c r="R69" s="2044" t="s">
        <v>1340</v>
      </c>
    </row>
    <row r="70" spans="1:18" s="718" customFormat="1" ht="13.8" thickBot="1">
      <c r="A70" s="2054"/>
      <c r="B70" s="2055"/>
      <c r="C70" s="1856"/>
      <c r="D70" s="1964"/>
      <c r="E70" s="1952" t="s">
        <v>1316</v>
      </c>
      <c r="F70" s="1941"/>
      <c r="O70" s="2014" t="s">
        <v>1409</v>
      </c>
      <c r="P70" s="2067" t="s">
        <v>1410</v>
      </c>
      <c r="Q70" s="2044">
        <f ca="1">C13</f>
        <v>1995737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139702</v>
      </c>
      <c r="D75" s="718"/>
      <c r="E75" s="718"/>
      <c r="F75" s="718"/>
      <c r="K75" s="1993"/>
      <c r="L75" s="718"/>
      <c r="O75" s="2006" t="s">
        <v>1372</v>
      </c>
      <c r="P75" s="2007" t="s">
        <v>1373</v>
      </c>
      <c r="Q75" s="2044">
        <f ca="1">Q65+Q66</f>
        <v>7665463</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118" zoomScale="80" zoomScaleNormal="70" workbookViewId="0">
      <selection activeCell="F139" sqref="F13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9.1399999999999995E-2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3.5</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284" t="s">
        <v>1143</v>
      </c>
      <c r="AC4" s="3308" t="s">
        <v>1144</v>
      </c>
    </row>
    <row r="5" spans="1:29" ht="13.8" customHeight="1">
      <c r="A5" s="1031"/>
      <c r="B5" s="1032"/>
      <c r="C5" s="3321" t="s">
        <v>2887</v>
      </c>
      <c r="D5" s="3322"/>
      <c r="E5" s="3323" t="s">
        <v>2907</v>
      </c>
      <c r="F5" s="3324"/>
      <c r="G5" s="3321" t="s">
        <v>2889</v>
      </c>
      <c r="H5" s="3322"/>
      <c r="I5" s="3321" t="s">
        <v>2889</v>
      </c>
      <c r="J5" s="3322"/>
      <c r="K5" s="1173"/>
      <c r="L5" s="1174"/>
      <c r="M5" s="1124"/>
      <c r="N5" s="1124"/>
      <c r="O5" s="1124"/>
      <c r="P5" s="3317"/>
      <c r="Q5" s="3318"/>
      <c r="R5" s="3304"/>
      <c r="S5" s="3305"/>
      <c r="T5" s="3304"/>
      <c r="U5" s="3305"/>
      <c r="V5" s="3284"/>
      <c r="W5" s="3284"/>
      <c r="X5" s="1222"/>
      <c r="Y5" s="3304"/>
      <c r="Z5" s="3305"/>
      <c r="AA5" s="3309"/>
      <c r="AB5" s="3284"/>
      <c r="AC5" s="3309"/>
    </row>
    <row r="6" spans="1:29" ht="15" thickBot="1">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284"/>
      <c r="AC6" s="3310"/>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297"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297" t="s">
        <v>1155</v>
      </c>
      <c r="Q8" s="3299"/>
      <c r="R8" s="1223" t="s">
        <v>1152</v>
      </c>
      <c r="S8" s="1224">
        <f t="shared" si="0"/>
        <v>102</v>
      </c>
      <c r="T8" s="1223" t="s">
        <v>1152</v>
      </c>
      <c r="U8" s="1224">
        <f t="shared" si="1"/>
        <v>102</v>
      </c>
      <c r="V8" s="1223" t="s">
        <v>1152</v>
      </c>
      <c r="W8" s="1224">
        <f t="shared" si="2"/>
        <v>102</v>
      </c>
      <c r="X8" s="1225"/>
      <c r="Y8" s="3297" t="s">
        <v>1155</v>
      </c>
      <c r="Z8" s="3299"/>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288" t="s">
        <v>1164</v>
      </c>
      <c r="Q15" s="625" t="str">
        <f t="shared" si="6"/>
        <v>商业繁华度</v>
      </c>
      <c r="R15" s="1227" t="s">
        <v>1152</v>
      </c>
      <c r="S15" s="1228">
        <f t="shared" si="0"/>
        <v>100</v>
      </c>
      <c r="T15" s="1227" t="s">
        <v>1152</v>
      </c>
      <c r="U15" s="1228">
        <f t="shared" si="1"/>
        <v>100</v>
      </c>
      <c r="V15" s="1227" t="s">
        <v>1152</v>
      </c>
      <c r="W15" s="1228">
        <f t="shared" si="2"/>
        <v>100</v>
      </c>
      <c r="X15" s="1222"/>
      <c r="Y15" s="329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289"/>
      <c r="Q25" s="625" t="str">
        <f t="shared" ref="Q25:Q46" si="11">B25</f>
        <v>临街状况</v>
      </c>
      <c r="R25" s="1227" t="s">
        <v>1152</v>
      </c>
      <c r="S25" s="1228">
        <f>F25</f>
        <v>100</v>
      </c>
      <c r="T25" s="1227" t="s">
        <v>1152</v>
      </c>
      <c r="U25" s="1228">
        <f>H25</f>
        <v>100</v>
      </c>
      <c r="V25" s="1227" t="s">
        <v>1152</v>
      </c>
      <c r="W25" s="1228">
        <f>J25</f>
        <v>100</v>
      </c>
      <c r="X25" s="1222"/>
      <c r="Y25" s="3291"/>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289"/>
      <c r="Q26" s="625" t="str">
        <f t="shared" si="11"/>
        <v>平面位置/可视性</v>
      </c>
      <c r="R26" s="1227" t="s">
        <v>1152</v>
      </c>
      <c r="S26" s="1228">
        <f>F26</f>
        <v>103</v>
      </c>
      <c r="T26" s="1227" t="s">
        <v>1152</v>
      </c>
      <c r="U26" s="1228">
        <f>H26</f>
        <v>103</v>
      </c>
      <c r="V26" s="1227" t="s">
        <v>1152</v>
      </c>
      <c r="W26" s="1228">
        <f>J26</f>
        <v>103</v>
      </c>
      <c r="X26" s="1222"/>
      <c r="Y26" s="329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289"/>
      <c r="Q27" s="794" t="str">
        <f t="shared" si="11"/>
        <v>人流量</v>
      </c>
      <c r="R27" s="1223" t="s">
        <v>1152</v>
      </c>
      <c r="S27" s="1224">
        <f>F27</f>
        <v>106</v>
      </c>
      <c r="T27" s="1223" t="s">
        <v>1152</v>
      </c>
      <c r="U27" s="1224">
        <f>H27</f>
        <v>106</v>
      </c>
      <c r="V27" s="1223" t="s">
        <v>1152</v>
      </c>
      <c r="W27" s="1224">
        <f>J27</f>
        <v>106</v>
      </c>
      <c r="X27" s="1225"/>
      <c r="Y27" s="329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289"/>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29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292" t="s">
        <v>1178</v>
      </c>
      <c r="Q32" s="625" t="str">
        <f t="shared" si="11"/>
        <v>商业类型</v>
      </c>
      <c r="R32" s="1227" t="s">
        <v>1152</v>
      </c>
      <c r="S32" s="1228">
        <f t="shared" si="12"/>
        <v>100</v>
      </c>
      <c r="T32" s="1227" t="s">
        <v>1152</v>
      </c>
      <c r="U32" s="1228">
        <f t="shared" si="13"/>
        <v>100</v>
      </c>
      <c r="V32" s="1227" t="s">
        <v>1152</v>
      </c>
      <c r="W32" s="1228">
        <f t="shared" si="14"/>
        <v>100</v>
      </c>
      <c r="X32" s="1222"/>
      <c r="Y32" s="3295"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293"/>
      <c r="Q33" s="1417" t="str">
        <f t="shared" si="11"/>
        <v>项目建筑规模</v>
      </c>
      <c r="R33" s="1229" t="s">
        <v>1152</v>
      </c>
      <c r="S33" s="1230">
        <f t="shared" si="12"/>
        <v>100</v>
      </c>
      <c r="T33" s="1229" t="s">
        <v>1152</v>
      </c>
      <c r="U33" s="1230">
        <f t="shared" si="13"/>
        <v>104</v>
      </c>
      <c r="V33" s="1229" t="s">
        <v>1152</v>
      </c>
      <c r="W33" s="1230">
        <f t="shared" si="14"/>
        <v>102</v>
      </c>
      <c r="X33" s="1231"/>
      <c r="Y33" s="3295"/>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293"/>
      <c r="Q35" s="625" t="str">
        <f t="shared" si="11"/>
        <v>公共部分装修</v>
      </c>
      <c r="R35" s="1227" t="s">
        <v>1152</v>
      </c>
      <c r="S35" s="1228">
        <f t="shared" si="12"/>
        <v>100</v>
      </c>
      <c r="T35" s="1227" t="s">
        <v>1152</v>
      </c>
      <c r="U35" s="1228">
        <f t="shared" si="13"/>
        <v>100</v>
      </c>
      <c r="V35" s="1227" t="s">
        <v>1152</v>
      </c>
      <c r="W35" s="1228">
        <f t="shared" si="14"/>
        <v>100</v>
      </c>
      <c r="X35" s="1222"/>
      <c r="Y35" s="3295"/>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293"/>
      <c r="Q36" s="625" t="str">
        <f t="shared" si="11"/>
        <v>成新度</v>
      </c>
      <c r="R36" s="1227" t="s">
        <v>1152</v>
      </c>
      <c r="S36" s="1228">
        <f t="shared" si="12"/>
        <v>100</v>
      </c>
      <c r="T36" s="1227" t="s">
        <v>1152</v>
      </c>
      <c r="U36" s="1228">
        <f t="shared" si="13"/>
        <v>100</v>
      </c>
      <c r="V36" s="1227" t="s">
        <v>1152</v>
      </c>
      <c r="W36" s="1228">
        <f t="shared" si="14"/>
        <v>100</v>
      </c>
      <c r="X36" s="1222"/>
      <c r="Y36" s="3295"/>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293"/>
      <c r="Q37" s="794" t="str">
        <f t="shared" si="11"/>
        <v>市政基础设施</v>
      </c>
      <c r="R37" s="1223" t="s">
        <v>1152</v>
      </c>
      <c r="S37" s="1224">
        <f t="shared" si="12"/>
        <v>100</v>
      </c>
      <c r="T37" s="1223" t="s">
        <v>1152</v>
      </c>
      <c r="U37" s="1224">
        <f t="shared" si="13"/>
        <v>100</v>
      </c>
      <c r="V37" s="1223" t="s">
        <v>1152</v>
      </c>
      <c r="W37" s="1224">
        <f t="shared" si="14"/>
        <v>100</v>
      </c>
      <c r="X37" s="1225"/>
      <c r="Y37" s="3295"/>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293" t="s">
        <v>1178</v>
      </c>
      <c r="Q38" s="625" t="str">
        <f t="shared" si="11"/>
        <v>业态</v>
      </c>
      <c r="R38" s="1227" t="s">
        <v>1152</v>
      </c>
      <c r="S38" s="1228">
        <f t="shared" si="12"/>
        <v>100</v>
      </c>
      <c r="T38" s="1227" t="s">
        <v>1152</v>
      </c>
      <c r="U38" s="1228">
        <f t="shared" si="13"/>
        <v>100</v>
      </c>
      <c r="V38" s="1227" t="s">
        <v>1152</v>
      </c>
      <c r="W38" s="1228">
        <f t="shared" si="14"/>
        <v>100</v>
      </c>
      <c r="X38" s="1222"/>
      <c r="Y38" s="3295"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293"/>
      <c r="Q39" s="625" t="str">
        <f t="shared" si="11"/>
        <v>层高</v>
      </c>
      <c r="R39" s="1227" t="s">
        <v>1152</v>
      </c>
      <c r="S39" s="1228">
        <f t="shared" si="12"/>
        <v>100</v>
      </c>
      <c r="T39" s="1227" t="s">
        <v>1152</v>
      </c>
      <c r="U39" s="1228">
        <f t="shared" si="13"/>
        <v>100</v>
      </c>
      <c r="V39" s="1227" t="s">
        <v>1152</v>
      </c>
      <c r="W39" s="1228">
        <f t="shared" si="14"/>
        <v>100</v>
      </c>
      <c r="X39" s="1222"/>
      <c r="Y39" s="3295"/>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293"/>
      <c r="Q40" s="625" t="str">
        <f t="shared" si="11"/>
        <v>单套建筑面积</v>
      </c>
      <c r="R40" s="1227" t="s">
        <v>1152</v>
      </c>
      <c r="S40" s="1228">
        <f t="shared" si="12"/>
        <v>100</v>
      </c>
      <c r="T40" s="1227" t="s">
        <v>1152</v>
      </c>
      <c r="U40" s="1228">
        <f t="shared" si="13"/>
        <v>100</v>
      </c>
      <c r="V40" s="1227" t="s">
        <v>1152</v>
      </c>
      <c r="W40" s="1228">
        <f t="shared" si="14"/>
        <v>100</v>
      </c>
      <c r="X40" s="1222"/>
      <c r="Y40" s="3295"/>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293"/>
      <c r="Q41" s="1417" t="str">
        <f t="shared" si="11"/>
        <v>进深比</v>
      </c>
      <c r="R41" s="1229" t="s">
        <v>1152</v>
      </c>
      <c r="S41" s="1230">
        <f t="shared" si="12"/>
        <v>100</v>
      </c>
      <c r="T41" s="1229" t="s">
        <v>1152</v>
      </c>
      <c r="U41" s="1230">
        <f t="shared" si="13"/>
        <v>100</v>
      </c>
      <c r="V41" s="1229" t="s">
        <v>1152</v>
      </c>
      <c r="W41" s="1230">
        <f t="shared" si="14"/>
        <v>100</v>
      </c>
      <c r="X41" s="1231"/>
      <c r="Y41" s="3295"/>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293"/>
      <c r="Q44" s="794" t="str">
        <f t="shared" si="11"/>
        <v>占比</v>
      </c>
      <c r="R44" s="1223" t="s">
        <v>1152</v>
      </c>
      <c r="S44" s="1224">
        <f t="shared" si="12"/>
        <v>110</v>
      </c>
      <c r="T44" s="1223" t="s">
        <v>1152</v>
      </c>
      <c r="U44" s="1224">
        <f t="shared" si="13"/>
        <v>110</v>
      </c>
      <c r="V44" s="1223" t="s">
        <v>1152</v>
      </c>
      <c r="W44" s="1224">
        <f t="shared" si="14"/>
        <v>110</v>
      </c>
      <c r="X44" s="1225"/>
      <c r="Y44" s="3295"/>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283" t="str">
        <f>A47</f>
        <v>成交单价（元/平方米）</v>
      </c>
      <c r="Q47" s="3283"/>
      <c r="R47" s="3284">
        <f>E47</f>
        <v>4.57</v>
      </c>
      <c r="S47" s="3284"/>
      <c r="T47" s="3284">
        <f>G47</f>
        <v>4.38</v>
      </c>
      <c r="U47" s="3284"/>
      <c r="V47" s="3284">
        <f>I47</f>
        <v>4.3099999999999996</v>
      </c>
      <c r="W47" s="3284"/>
      <c r="X47" s="1164"/>
      <c r="Y47" s="1237"/>
      <c r="Z47" s="1164"/>
      <c r="AA47" s="1164"/>
      <c r="AB47" s="1164"/>
      <c r="AC47" s="1164"/>
    </row>
    <row r="48" spans="1:29" ht="15" thickBot="1">
      <c r="A48" s="1115" t="s">
        <v>1195</v>
      </c>
      <c r="B48" s="1402"/>
      <c r="C48" s="1403">
        <f>R49</f>
        <v>3.5</v>
      </c>
      <c r="D48" s="1118" t="s">
        <v>1196</v>
      </c>
      <c r="E48" s="1404">
        <f>R48</f>
        <v>3.7</v>
      </c>
      <c r="F48" s="1119"/>
      <c r="G48" s="1403">
        <f>T48</f>
        <v>3.4</v>
      </c>
      <c r="H48" s="1119"/>
      <c r="I48" s="1404">
        <f>V48</f>
        <v>3.4</v>
      </c>
      <c r="J48" s="1119"/>
      <c r="K48" s="1204">
        <f>F48+H48+J48</f>
        <v>0</v>
      </c>
      <c r="L48" s="1203"/>
      <c r="M48" s="1124"/>
      <c r="N48" s="1124"/>
      <c r="O48" s="1124"/>
      <c r="P48" s="3283" t="str">
        <f>A48</f>
        <v>比较价值（元/平方米）</v>
      </c>
      <c r="Q48" s="3283"/>
      <c r="R48" s="3284">
        <f>IF(F1="售价",ROUND(PRODUCT(R47,AA7:AA46),0),ROUND(PRODUCT(R47,AA7:AA46),1))</f>
        <v>3.7</v>
      </c>
      <c r="S48" s="3284"/>
      <c r="T48" s="3284">
        <f>IF(F1="售价",ROUND(PRODUCT(T47,AB7:AB46),0),ROUND(PRODUCT(T47,AB7:AB46),1))</f>
        <v>3.4</v>
      </c>
      <c r="U48" s="3284"/>
      <c r="V48" s="3284">
        <f>IF(F1="售价",ROUND(PRODUCT(V47,AC7:AC46),0),ROUND(PRODUCT(V47,AC7:AC46),1))</f>
        <v>3.4</v>
      </c>
      <c r="W48" s="3284"/>
      <c r="X48" s="1164"/>
      <c r="Y48" s="1164"/>
      <c r="Z48" s="1164"/>
      <c r="AA48" s="1164"/>
      <c r="AB48" s="1164"/>
      <c r="AC48" s="1164"/>
    </row>
    <row r="49" spans="1:29" ht="15" thickBot="1">
      <c r="A49" s="1121" t="s">
        <v>1197</v>
      </c>
      <c r="B49" s="1122"/>
      <c r="C49" s="1034">
        <f>R49</f>
        <v>3.5</v>
      </c>
      <c r="D49" s="1034"/>
      <c r="E49" s="1034"/>
      <c r="F49" s="1034"/>
      <c r="G49" s="1034"/>
      <c r="H49" s="1034"/>
      <c r="I49" s="1034"/>
      <c r="J49" s="1034"/>
      <c r="K49" s="1205"/>
      <c r="L49" s="1203"/>
      <c r="M49" s="1124"/>
      <c r="N49" s="1124"/>
      <c r="O49" s="1124"/>
      <c r="P49" s="3285" t="str">
        <f>A49</f>
        <v>估价对象XX用房的比较价值（楼面单价，元/平方米）</v>
      </c>
      <c r="Q49" s="3286"/>
      <c r="R49" s="3287">
        <f>IF(F1="售价",ROUND(IF(D48="简单平均",AVERAGE(R48:V48),R48*F48+T48*H48+V48*J48),0),ROUND(IF(D48="简单平均",AVERAGE(R48:V48),R48*F48+T48*H48+V48*J48),1))</f>
        <v>3.5</v>
      </c>
      <c r="S49" s="3287"/>
      <c r="T49" s="3287"/>
      <c r="U49" s="3287"/>
      <c r="V49" s="3287"/>
      <c r="W49" s="3287"/>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0.23513513513513518</v>
      </c>
      <c r="F52" s="1128" t="str">
        <f>IF(OR(E52&gt;=0.3,E52&lt;=-0.3),"超过30%","")</f>
        <v/>
      </c>
      <c r="G52" s="1127">
        <f>IF(G47&lt;G48,G48/G47-1,G47/G48-1)</f>
        <v>0.28823529411764715</v>
      </c>
      <c r="H52" s="1128" t="str">
        <f>IF(OR(G52&gt;=0.3,G52&lt;=-0.3),"超过30%","")</f>
        <v/>
      </c>
      <c r="I52" s="1127">
        <f>IF(I47&lt;I48,I48/I47-1,I47/I48-1)</f>
        <v>0.26764705882352935</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8.8235294117647189E-2</v>
      </c>
      <c r="F53" s="1128" t="str">
        <f>IF(OR(E53&gt;=0.2,E53&lt;=-0.2),"超过20%","")</f>
        <v/>
      </c>
      <c r="G53" s="1127">
        <f>IF(G48&lt;I48,I48/G48-1,G48/I48-1)</f>
        <v>0</v>
      </c>
      <c r="H53" s="1128" t="str">
        <f>IF(OR(G53&gt;=0.2,G53&lt;=-0.2),"超过20%","")</f>
        <v/>
      </c>
      <c r="I53" s="1127">
        <f>IF(I48&lt;E48,E48/I48-1,I48/E48-1)</f>
        <v>8.8235294117647189E-2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439" t="s">
        <v>1146</v>
      </c>
      <c r="Q4" s="3440"/>
      <c r="R4" s="3443" t="s">
        <v>1142</v>
      </c>
      <c r="S4" s="3444"/>
      <c r="T4" s="3443" t="s">
        <v>1143</v>
      </c>
      <c r="U4" s="3444"/>
      <c r="V4" s="3445" t="s">
        <v>1144</v>
      </c>
      <c r="W4" s="3445"/>
      <c r="X4" s="2178"/>
      <c r="Y4" s="3443" t="s">
        <v>1146</v>
      </c>
      <c r="Z4" s="3444"/>
      <c r="AA4" s="3435" t="s">
        <v>1142</v>
      </c>
      <c r="AB4" s="3435" t="s">
        <v>1143</v>
      </c>
      <c r="AC4" s="3436" t="s">
        <v>1144</v>
      </c>
    </row>
    <row r="5" spans="1:29">
      <c r="A5" s="1031"/>
      <c r="B5" s="1032"/>
      <c r="C5" s="3430" t="s">
        <v>1147</v>
      </c>
      <c r="D5" s="3322"/>
      <c r="E5" s="3323" t="s">
        <v>1423</v>
      </c>
      <c r="F5" s="3324"/>
      <c r="G5" s="3323" t="s">
        <v>1423</v>
      </c>
      <c r="H5" s="3324"/>
      <c r="I5" s="3321" t="s">
        <v>1424</v>
      </c>
      <c r="J5" s="3322"/>
      <c r="K5" s="1173"/>
      <c r="L5" s="1174"/>
      <c r="M5" s="1124"/>
      <c r="N5" s="1124"/>
      <c r="O5" s="1124"/>
      <c r="P5" s="3441"/>
      <c r="Q5" s="3318"/>
      <c r="R5" s="3304"/>
      <c r="S5" s="3305"/>
      <c r="T5" s="3304"/>
      <c r="U5" s="3305"/>
      <c r="V5" s="3284"/>
      <c r="W5" s="3284"/>
      <c r="X5" s="1222"/>
      <c r="Y5" s="3304"/>
      <c r="Z5" s="3305"/>
      <c r="AA5" s="3309"/>
      <c r="AB5" s="3309"/>
      <c r="AC5" s="3437"/>
    </row>
    <row r="6" spans="1:29" ht="14.4">
      <c r="A6" s="1033"/>
      <c r="B6" s="1034"/>
      <c r="C6" s="3325" t="s">
        <v>1148</v>
      </c>
      <c r="D6" s="3326"/>
      <c r="E6" s="3327" t="s">
        <v>1148</v>
      </c>
      <c r="F6" s="3328"/>
      <c r="G6" s="3325" t="s">
        <v>1148</v>
      </c>
      <c r="H6" s="3326"/>
      <c r="I6" s="3325" t="s">
        <v>1148</v>
      </c>
      <c r="J6" s="3326"/>
      <c r="K6" s="1173" t="s">
        <v>1149</v>
      </c>
      <c r="L6" s="1174"/>
      <c r="M6" s="1124"/>
      <c r="N6" s="1124"/>
      <c r="O6" s="1124"/>
      <c r="P6" s="3442"/>
      <c r="Q6" s="3320"/>
      <c r="R6" s="3304"/>
      <c r="S6" s="3305"/>
      <c r="T6" s="3306"/>
      <c r="U6" s="3307"/>
      <c r="V6" s="3284"/>
      <c r="W6" s="3284"/>
      <c r="X6" s="1222"/>
      <c r="Y6" s="3306"/>
      <c r="Z6" s="3307"/>
      <c r="AA6" s="3310"/>
      <c r="AB6" s="3310"/>
      <c r="AC6" s="3438"/>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31" t="s">
        <v>1151</v>
      </c>
      <c r="Q7" s="3298"/>
      <c r="R7" s="1223" t="s">
        <v>1152</v>
      </c>
      <c r="S7" s="1224">
        <f t="shared" ref="S7:S15" si="0">F7</f>
        <v>100</v>
      </c>
      <c r="T7" s="1223" t="s">
        <v>1152</v>
      </c>
      <c r="U7" s="1224">
        <f t="shared" ref="U7:U15" si="1">H7</f>
        <v>100</v>
      </c>
      <c r="V7" s="1223" t="s">
        <v>1152</v>
      </c>
      <c r="W7" s="1224">
        <f t="shared" ref="W7:W15" si="2">J7</f>
        <v>100</v>
      </c>
      <c r="X7" s="1225"/>
      <c r="Y7" s="3297" t="s">
        <v>1151</v>
      </c>
      <c r="Z7" s="3299"/>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31" t="s">
        <v>1155</v>
      </c>
      <c r="Q8" s="3299"/>
      <c r="R8" s="1223" t="s">
        <v>1152</v>
      </c>
      <c r="S8" s="1224">
        <f t="shared" si="0"/>
        <v>102</v>
      </c>
      <c r="T8" s="1223" t="s">
        <v>1152</v>
      </c>
      <c r="U8" s="1224">
        <f t="shared" si="1"/>
        <v>102</v>
      </c>
      <c r="V8" s="1223" t="s">
        <v>1152</v>
      </c>
      <c r="W8" s="1224">
        <f t="shared" si="2"/>
        <v>102</v>
      </c>
      <c r="X8" s="1225"/>
      <c r="Y8" s="3297" t="s">
        <v>1155</v>
      </c>
      <c r="Z8" s="3299"/>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00"/>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288" t="s">
        <v>1164</v>
      </c>
      <c r="Q15" s="625" t="str">
        <f t="shared" si="6"/>
        <v>办公集聚程度</v>
      </c>
      <c r="R15" s="1227" t="s">
        <v>1152</v>
      </c>
      <c r="S15" s="1228">
        <f t="shared" si="0"/>
        <v>100</v>
      </c>
      <c r="T15" s="1227" t="s">
        <v>1152</v>
      </c>
      <c r="U15" s="1228">
        <f t="shared" si="1"/>
        <v>100</v>
      </c>
      <c r="V15" s="1227" t="s">
        <v>1152</v>
      </c>
      <c r="W15" s="1228">
        <f t="shared" si="2"/>
        <v>100</v>
      </c>
      <c r="X15" s="1222"/>
      <c r="Y15" s="3290"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289"/>
      <c r="Q16" s="625"/>
      <c r="R16" s="1227"/>
      <c r="S16" s="1228"/>
      <c r="T16" s="1227"/>
      <c r="U16" s="1228"/>
      <c r="V16" s="1227"/>
      <c r="W16" s="1228"/>
      <c r="X16" s="1222"/>
      <c r="Y16" s="3291"/>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289"/>
      <c r="Q18" s="625"/>
      <c r="R18" s="1227"/>
      <c r="S18" s="1228"/>
      <c r="T18" s="1227"/>
      <c r="U18" s="1228"/>
      <c r="V18" s="1227"/>
      <c r="W18" s="1228"/>
      <c r="X18" s="1222"/>
      <c r="Y18" s="3291"/>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289"/>
      <c r="Q20" s="625"/>
      <c r="R20" s="1227"/>
      <c r="S20" s="1228"/>
      <c r="T20" s="1227"/>
      <c r="U20" s="1228"/>
      <c r="V20" s="1227"/>
      <c r="W20" s="1228"/>
      <c r="X20" s="1222"/>
      <c r="Y20" s="3291"/>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289"/>
      <c r="Q22" s="625"/>
      <c r="R22" s="1227"/>
      <c r="S22" s="1228"/>
      <c r="T22" s="1227"/>
      <c r="U22" s="1228"/>
      <c r="V22" s="1227"/>
      <c r="W22" s="1228"/>
      <c r="X22" s="1222"/>
      <c r="Y22" s="3291"/>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289"/>
      <c r="Q23" s="625" t="str">
        <f>B23</f>
        <v>环境质量</v>
      </c>
      <c r="R23" s="1227" t="s">
        <v>1152</v>
      </c>
      <c r="S23" s="1228">
        <f>F23</f>
        <v>100</v>
      </c>
      <c r="T23" s="1227" t="s">
        <v>1152</v>
      </c>
      <c r="U23" s="1228">
        <f>H23</f>
        <v>100</v>
      </c>
      <c r="V23" s="1227" t="s">
        <v>1152</v>
      </c>
      <c r="W23" s="1228">
        <f>J23</f>
        <v>100</v>
      </c>
      <c r="X23" s="1222"/>
      <c r="Y23" s="3291"/>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289"/>
      <c r="Q24" s="625"/>
      <c r="R24" s="1227"/>
      <c r="S24" s="1228"/>
      <c r="T24" s="1227"/>
      <c r="U24" s="1228"/>
      <c r="V24" s="1227"/>
      <c r="W24" s="1228"/>
      <c r="X24" s="1222"/>
      <c r="Y24" s="3291"/>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289"/>
      <c r="Q25" s="625" t="str">
        <f>B25</f>
        <v>毗邻道路的类型与等级</v>
      </c>
      <c r="R25" s="1227" t="s">
        <v>1152</v>
      </c>
      <c r="S25" s="1228">
        <f>F25</f>
        <v>100</v>
      </c>
      <c r="T25" s="1227" t="s">
        <v>1152</v>
      </c>
      <c r="U25" s="1228">
        <f>H25</f>
        <v>100</v>
      </c>
      <c r="V25" s="1227" t="s">
        <v>1152</v>
      </c>
      <c r="W25" s="1228">
        <f>J25</f>
        <v>100</v>
      </c>
      <c r="X25" s="1222"/>
      <c r="Y25" s="3291"/>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289"/>
      <c r="Q26" s="625"/>
      <c r="R26" s="1227"/>
      <c r="S26" s="1228"/>
      <c r="T26" s="1227"/>
      <c r="U26" s="1228"/>
      <c r="V26" s="1227"/>
      <c r="W26" s="1228"/>
      <c r="X26" s="1222"/>
      <c r="Y26" s="3291"/>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289"/>
      <c r="Q27" s="625" t="str">
        <f t="shared" ref="Q27:Q47" si="11">B27</f>
        <v>楼层</v>
      </c>
      <c r="R27" s="1227" t="s">
        <v>1152</v>
      </c>
      <c r="S27" s="1228">
        <f>F27</f>
        <v>97</v>
      </c>
      <c r="T27" s="1227" t="s">
        <v>1152</v>
      </c>
      <c r="U27" s="1228">
        <f>H27</f>
        <v>103</v>
      </c>
      <c r="V27" s="1227" t="s">
        <v>1152</v>
      </c>
      <c r="W27" s="1228">
        <f>J27</f>
        <v>97</v>
      </c>
      <c r="X27" s="1222"/>
      <c r="Y27" s="3291"/>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289"/>
      <c r="Q28" s="794" t="str">
        <f t="shared" si="11"/>
        <v>朝向</v>
      </c>
      <c r="R28" s="1223" t="s">
        <v>1152</v>
      </c>
      <c r="S28" s="1224">
        <f>F28</f>
        <v>100</v>
      </c>
      <c r="T28" s="1223" t="s">
        <v>1152</v>
      </c>
      <c r="U28" s="1224">
        <f>H28</f>
        <v>100</v>
      </c>
      <c r="V28" s="1223" t="s">
        <v>1152</v>
      </c>
      <c r="W28" s="1224">
        <f>J28</f>
        <v>100</v>
      </c>
      <c r="X28" s="1225"/>
      <c r="Y28" s="3291"/>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289"/>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291"/>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289"/>
      <c r="Q32" s="625">
        <f t="shared" si="11"/>
        <v>111</v>
      </c>
      <c r="R32" s="1227" t="s">
        <v>1152</v>
      </c>
      <c r="S32" s="1228">
        <f t="shared" si="12"/>
        <v>100</v>
      </c>
      <c r="T32" s="1227" t="s">
        <v>1152</v>
      </c>
      <c r="U32" s="1228">
        <f t="shared" si="13"/>
        <v>100</v>
      </c>
      <c r="V32" s="1227" t="s">
        <v>1152</v>
      </c>
      <c r="W32" s="1228">
        <f t="shared" si="14"/>
        <v>100</v>
      </c>
      <c r="X32" s="1222"/>
      <c r="Y32" s="3291"/>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292" t="s">
        <v>1178</v>
      </c>
      <c r="Q33" s="625" t="str">
        <f t="shared" si="11"/>
        <v>建筑类型</v>
      </c>
      <c r="R33" s="1227" t="s">
        <v>1152</v>
      </c>
      <c r="S33" s="1228">
        <f t="shared" si="12"/>
        <v>100</v>
      </c>
      <c r="T33" s="1227" t="s">
        <v>1152</v>
      </c>
      <c r="U33" s="1228">
        <f t="shared" si="13"/>
        <v>100</v>
      </c>
      <c r="V33" s="1227" t="s">
        <v>1152</v>
      </c>
      <c r="W33" s="1228">
        <f t="shared" si="14"/>
        <v>100</v>
      </c>
      <c r="X33" s="1222"/>
      <c r="Y33" s="3295"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293"/>
      <c r="Q34" s="1417" t="str">
        <f t="shared" si="11"/>
        <v>项目建筑规模</v>
      </c>
      <c r="R34" s="1229" t="s">
        <v>1152</v>
      </c>
      <c r="S34" s="1230">
        <f t="shared" si="12"/>
        <v>100</v>
      </c>
      <c r="T34" s="1229" t="s">
        <v>1152</v>
      </c>
      <c r="U34" s="1230">
        <f t="shared" si="13"/>
        <v>106</v>
      </c>
      <c r="V34" s="1229" t="s">
        <v>1152</v>
      </c>
      <c r="W34" s="1230">
        <f t="shared" si="14"/>
        <v>106</v>
      </c>
      <c r="X34" s="1231"/>
      <c r="Y34" s="3295"/>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293"/>
      <c r="Q35" s="625" t="str">
        <f t="shared" si="11"/>
        <v>建筑结构</v>
      </c>
      <c r="R35" s="1227" t="s">
        <v>1152</v>
      </c>
      <c r="S35" s="1228">
        <f t="shared" si="12"/>
        <v>100</v>
      </c>
      <c r="T35" s="1227" t="s">
        <v>1152</v>
      </c>
      <c r="U35" s="1228">
        <f t="shared" si="13"/>
        <v>100</v>
      </c>
      <c r="V35" s="1227" t="s">
        <v>1152</v>
      </c>
      <c r="W35" s="1228">
        <f t="shared" si="14"/>
        <v>100</v>
      </c>
      <c r="X35" s="1222"/>
      <c r="Y35" s="3295"/>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293"/>
      <c r="Q36" s="625" t="str">
        <f t="shared" si="11"/>
        <v>公共部分装修</v>
      </c>
      <c r="R36" s="1227" t="s">
        <v>1152</v>
      </c>
      <c r="S36" s="1228">
        <f t="shared" si="12"/>
        <v>100</v>
      </c>
      <c r="T36" s="1227" t="s">
        <v>1152</v>
      </c>
      <c r="U36" s="1228">
        <f t="shared" si="13"/>
        <v>100</v>
      </c>
      <c r="V36" s="1227" t="s">
        <v>1152</v>
      </c>
      <c r="W36" s="1228">
        <f t="shared" si="14"/>
        <v>100</v>
      </c>
      <c r="X36" s="1222"/>
      <c r="Y36" s="3295"/>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293"/>
      <c r="Q37" s="625" t="str">
        <f t="shared" si="11"/>
        <v>成新度</v>
      </c>
      <c r="R37" s="1227" t="s">
        <v>1152</v>
      </c>
      <c r="S37" s="1228">
        <f t="shared" si="12"/>
        <v>100</v>
      </c>
      <c r="T37" s="1227" t="s">
        <v>1152</v>
      </c>
      <c r="U37" s="1228">
        <f t="shared" si="13"/>
        <v>100</v>
      </c>
      <c r="V37" s="1227" t="s">
        <v>1152</v>
      </c>
      <c r="W37" s="1228">
        <f t="shared" si="14"/>
        <v>100</v>
      </c>
      <c r="X37" s="1222"/>
      <c r="Y37" s="3295"/>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293"/>
      <c r="Q38" s="794" t="str">
        <f t="shared" si="11"/>
        <v>写字楼等级</v>
      </c>
      <c r="R38" s="1223" t="s">
        <v>1152</v>
      </c>
      <c r="S38" s="1224">
        <f t="shared" si="12"/>
        <v>100</v>
      </c>
      <c r="T38" s="1223" t="s">
        <v>1152</v>
      </c>
      <c r="U38" s="1224">
        <f t="shared" si="13"/>
        <v>100</v>
      </c>
      <c r="V38" s="1223" t="s">
        <v>1152</v>
      </c>
      <c r="W38" s="1224">
        <f t="shared" si="14"/>
        <v>100</v>
      </c>
      <c r="X38" s="1225"/>
      <c r="Y38" s="3295"/>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293" t="s">
        <v>1178</v>
      </c>
      <c r="Q39" s="625" t="str">
        <f t="shared" si="11"/>
        <v>物业管理</v>
      </c>
      <c r="R39" s="1227" t="s">
        <v>1152</v>
      </c>
      <c r="S39" s="1228">
        <f t="shared" si="12"/>
        <v>100</v>
      </c>
      <c r="T39" s="1227" t="s">
        <v>1152</v>
      </c>
      <c r="U39" s="1228">
        <f t="shared" si="13"/>
        <v>100</v>
      </c>
      <c r="V39" s="1227" t="s">
        <v>1152</v>
      </c>
      <c r="W39" s="1228">
        <f t="shared" si="14"/>
        <v>100</v>
      </c>
      <c r="X39" s="1222"/>
      <c r="Y39" s="3295"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293"/>
      <c r="Q40" s="625" t="str">
        <f t="shared" si="11"/>
        <v>市政基础设施</v>
      </c>
      <c r="R40" s="1227" t="s">
        <v>1152</v>
      </c>
      <c r="S40" s="1228">
        <f t="shared" si="12"/>
        <v>100</v>
      </c>
      <c r="T40" s="1227" t="s">
        <v>1152</v>
      </c>
      <c r="U40" s="1228">
        <f t="shared" si="13"/>
        <v>100</v>
      </c>
      <c r="V40" s="1227" t="s">
        <v>1152</v>
      </c>
      <c r="W40" s="1228">
        <f t="shared" si="14"/>
        <v>100</v>
      </c>
      <c r="X40" s="1222"/>
      <c r="Y40" s="3295"/>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293"/>
      <c r="Q41" s="625" t="str">
        <f t="shared" si="11"/>
        <v>层高</v>
      </c>
      <c r="R41" s="1227" t="s">
        <v>1152</v>
      </c>
      <c r="S41" s="1228">
        <f t="shared" si="12"/>
        <v>90</v>
      </c>
      <c r="T41" s="1227" t="s">
        <v>1152</v>
      </c>
      <c r="U41" s="1228">
        <f t="shared" si="13"/>
        <v>90</v>
      </c>
      <c r="V41" s="1227" t="s">
        <v>1152</v>
      </c>
      <c r="W41" s="1228">
        <f t="shared" si="14"/>
        <v>90</v>
      </c>
      <c r="X41" s="1222"/>
      <c r="Y41" s="3295"/>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293"/>
      <c r="Q42" s="1417" t="str">
        <f t="shared" si="11"/>
        <v>单套建筑面积</v>
      </c>
      <c r="R42" s="1229" t="s">
        <v>1152</v>
      </c>
      <c r="S42" s="1230">
        <f t="shared" si="12"/>
        <v>100</v>
      </c>
      <c r="T42" s="1229" t="s">
        <v>1152</v>
      </c>
      <c r="U42" s="1230">
        <f t="shared" si="13"/>
        <v>100</v>
      </c>
      <c r="V42" s="1229" t="s">
        <v>1152</v>
      </c>
      <c r="W42" s="1230">
        <f t="shared" si="14"/>
        <v>100</v>
      </c>
      <c r="X42" s="1231"/>
      <c r="Y42" s="3295"/>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293"/>
      <c r="Q43" s="625" t="str">
        <f t="shared" si="11"/>
        <v>内部装修</v>
      </c>
      <c r="R43" s="1227" t="s">
        <v>1152</v>
      </c>
      <c r="S43" s="1228">
        <f t="shared" si="12"/>
        <v>100</v>
      </c>
      <c r="T43" s="1227" t="s">
        <v>1152</v>
      </c>
      <c r="U43" s="1228">
        <f t="shared" si="13"/>
        <v>100</v>
      </c>
      <c r="V43" s="1227" t="s">
        <v>1152</v>
      </c>
      <c r="W43" s="1228">
        <f t="shared" si="14"/>
        <v>100</v>
      </c>
      <c r="X43" s="1222"/>
      <c r="Y43" s="3295"/>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293"/>
      <c r="Q44" s="625" t="str">
        <f t="shared" si="11"/>
        <v>内部装修维护情况</v>
      </c>
      <c r="R44" s="1227" t="s">
        <v>1152</v>
      </c>
      <c r="S44" s="1228">
        <f t="shared" si="12"/>
        <v>100</v>
      </c>
      <c r="T44" s="1227" t="s">
        <v>1152</v>
      </c>
      <c r="U44" s="1228">
        <f t="shared" si="13"/>
        <v>100</v>
      </c>
      <c r="V44" s="1227" t="s">
        <v>1152</v>
      </c>
      <c r="W44" s="1228">
        <f t="shared" si="14"/>
        <v>100</v>
      </c>
      <c r="X44" s="1222"/>
      <c r="Y44" s="3295"/>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293"/>
      <c r="Q45" s="794">
        <f t="shared" si="11"/>
        <v>111</v>
      </c>
      <c r="R45" s="1223" t="s">
        <v>1152</v>
      </c>
      <c r="S45" s="1224">
        <f t="shared" si="12"/>
        <v>100</v>
      </c>
      <c r="T45" s="1223" t="s">
        <v>1152</v>
      </c>
      <c r="U45" s="1224">
        <f t="shared" si="13"/>
        <v>100</v>
      </c>
      <c r="V45" s="1223" t="s">
        <v>1152</v>
      </c>
      <c r="W45" s="1224">
        <f t="shared" si="14"/>
        <v>100</v>
      </c>
      <c r="X45" s="1225"/>
      <c r="Y45" s="3295"/>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293"/>
      <c r="Q46" s="625">
        <f t="shared" si="11"/>
        <v>111</v>
      </c>
      <c r="R46" s="1227" t="s">
        <v>1152</v>
      </c>
      <c r="S46" s="1228">
        <f t="shared" si="12"/>
        <v>100</v>
      </c>
      <c r="T46" s="1227" t="s">
        <v>1152</v>
      </c>
      <c r="U46" s="1228">
        <f t="shared" si="13"/>
        <v>100</v>
      </c>
      <c r="V46" s="1227" t="s">
        <v>1152</v>
      </c>
      <c r="W46" s="1228">
        <f t="shared" si="14"/>
        <v>100</v>
      </c>
      <c r="X46" s="1222"/>
      <c r="Y46" s="3295"/>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294"/>
      <c r="Q47" s="625">
        <f t="shared" si="11"/>
        <v>111</v>
      </c>
      <c r="R47" s="1227" t="s">
        <v>1152</v>
      </c>
      <c r="S47" s="1228">
        <f t="shared" si="12"/>
        <v>100</v>
      </c>
      <c r="T47" s="1227" t="s">
        <v>1152</v>
      </c>
      <c r="U47" s="1228">
        <f t="shared" si="13"/>
        <v>100</v>
      </c>
      <c r="V47" s="1227" t="s">
        <v>1152</v>
      </c>
      <c r="W47" s="1228">
        <f t="shared" si="14"/>
        <v>100</v>
      </c>
      <c r="X47" s="1222"/>
      <c r="Y47" s="3296"/>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00" t="str">
        <f>A48</f>
        <v>成交单价（元/平方米）</v>
      </c>
      <c r="Q48" s="3283"/>
      <c r="R48" s="3284">
        <f>E48</f>
        <v>4.8</v>
      </c>
      <c r="S48" s="3284"/>
      <c r="T48" s="3284">
        <f>G48</f>
        <v>4.8</v>
      </c>
      <c r="U48" s="3284"/>
      <c r="V48" s="3284">
        <f>I48</f>
        <v>4.3</v>
      </c>
      <c r="W48" s="3284"/>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00" t="str">
        <f>A49</f>
        <v>比较价值（元/平方米）</v>
      </c>
      <c r="Q49" s="3283"/>
      <c r="R49" s="3284">
        <f>IF(F1="售价",ROUND(PRODUCT(R48,AA7:AA47),0),ROUND(PRODUCT(R48,AA7:AA47),1))</f>
        <v>5.4</v>
      </c>
      <c r="S49" s="3284"/>
      <c r="T49" s="3284">
        <f>IF(F1="售价",ROUND(PRODUCT(T48,AB7:AB47),0),ROUND(PRODUCT(T48,AB7:AB47),1))</f>
        <v>4.8</v>
      </c>
      <c r="U49" s="3284"/>
      <c r="V49" s="3284">
        <f>IF(F1="售价",ROUND(PRODUCT(V48,AC7:AC47),0),ROUND(PRODUCT(V48,AC7:AC47),1))</f>
        <v>4.5999999999999996</v>
      </c>
      <c r="W49" s="3284"/>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32" t="str">
        <f>A50</f>
        <v>估价对象XX用房的比较价值（楼面单价，元/平方米）</v>
      </c>
      <c r="Q50" s="3433"/>
      <c r="R50" s="3434">
        <f>IF(F1="售价",ROUND(IF(D49="简单平均",AVERAGE(R49:V49),R49*F49+T49*H49+V49*J49),0),ROUND(IF(D49="简单平均",AVERAGE(R49:V49),R49*F49+T49*H49+V49*J49),1))</f>
        <v>4.9000000000000004</v>
      </c>
      <c r="S50" s="3434"/>
      <c r="T50" s="3434"/>
      <c r="U50" s="3434"/>
      <c r="V50" s="3434"/>
      <c r="W50" s="3434"/>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422" t="s">
        <v>1442</v>
      </c>
    </row>
    <row r="43" spans="1:7" ht="13.5" customHeight="1">
      <c r="A43" s="384" t="s">
        <v>1048</v>
      </c>
      <c r="B43" s="357" t="s">
        <v>1086</v>
      </c>
      <c r="C43" s="386" t="e">
        <f ca="1">ROUND(IF('数据-取费表'!B22&lt;=1,C39*F22*'数据-取费表'!B20/2,C39*(POWER((1+F22),'数据-取费表'!B20/2)-1)),0)</f>
        <v>#N/A</v>
      </c>
      <c r="D43" s="386"/>
      <c r="E43" s="386"/>
      <c r="F43" s="387"/>
      <c r="G43" s="3423"/>
    </row>
    <row r="44" spans="1:7" ht="13.5" customHeight="1">
      <c r="A44" s="384" t="s">
        <v>1050</v>
      </c>
      <c r="B44" s="357" t="s">
        <v>1088</v>
      </c>
      <c r="C44" s="386">
        <f ca="1">ROUND(IF('数据-取费表'!B22&lt;=1,C40*F22*'数据-取费表'!B20/2,C40*(POWER((1+F22),'数据-取费表'!B20/2)-1)),4)</f>
        <v>5.0000000000000001E-4</v>
      </c>
      <c r="D44" s="386"/>
      <c r="E44" s="386"/>
      <c r="F44" s="387"/>
      <c r="G44" s="3424"/>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0.77</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27" t="s">
        <v>1235</v>
      </c>
      <c r="C6" s="1827">
        <f ca="1">ROUND(F6*F8*F7*(1-F9)/10000,0)</f>
        <v>0</v>
      </c>
      <c r="D6" s="1828" t="s">
        <v>1493</v>
      </c>
      <c r="E6" s="1829" t="s">
        <v>1237</v>
      </c>
      <c r="F6" s="1830">
        <f ca="1">INDIRECT("'数据-取费表'!u"&amp;$G$1)</f>
        <v>0</v>
      </c>
      <c r="G6" s="718"/>
      <c r="H6" s="1826" t="s">
        <v>945</v>
      </c>
      <c r="I6" s="3427" t="s">
        <v>1235</v>
      </c>
      <c r="J6" s="1901">
        <f ca="1">ROUND(M6*M8*M7*(1-M9)/10000,0)</f>
        <v>0</v>
      </c>
      <c r="K6" s="1828" t="s">
        <v>1494</v>
      </c>
      <c r="L6" s="1829" t="s">
        <v>1237</v>
      </c>
      <c r="M6" s="1830">
        <f ca="1">INDIRECT("'数据-取费表'!z"&amp;$G$1)</f>
        <v>0</v>
      </c>
    </row>
    <row r="7" spans="1:37" ht="18" customHeight="1">
      <c r="A7" s="1831"/>
      <c r="B7" s="3428"/>
      <c r="C7" s="1832"/>
      <c r="D7" s="1833"/>
      <c r="E7" s="1834" t="s">
        <v>1239</v>
      </c>
      <c r="F7" s="1830">
        <f ca="1">IF(INDIRECT("'数据-取费表'!ah"&amp;$G$1)="",INDIRECT("'数据-取费表'!k"&amp;$G$1),INDIRECT("'数据-取费表'!ah"&amp;$G$1))</f>
        <v>0</v>
      </c>
      <c r="G7" s="718"/>
      <c r="H7" s="1835"/>
      <c r="I7" s="3428"/>
      <c r="J7" s="1836"/>
      <c r="K7" s="1833"/>
      <c r="L7" s="1829" t="s">
        <v>1239</v>
      </c>
      <c r="M7" s="1830">
        <f ca="1">F7</f>
        <v>0</v>
      </c>
    </row>
    <row r="8" spans="1:37" ht="18" customHeight="1">
      <c r="A8" s="1835"/>
      <c r="B8" s="3428"/>
      <c r="C8" s="1836"/>
      <c r="D8" s="1833"/>
      <c r="E8" s="1829" t="s">
        <v>1240</v>
      </c>
      <c r="F8" s="1830">
        <f ca="1">INDIRECT("'数据-取费表'!ai"&amp;$G$1)</f>
        <v>0</v>
      </c>
      <c r="G8" s="718"/>
      <c r="H8" s="1835"/>
      <c r="I8" s="3428"/>
      <c r="J8" s="1836"/>
      <c r="K8" s="1833"/>
      <c r="L8" s="1829" t="s">
        <v>1240</v>
      </c>
      <c r="M8" s="1830">
        <f ca="1">INDIRECT("'数据-取费表'!ai"&amp;$G$1)</f>
        <v>0</v>
      </c>
    </row>
    <row r="9" spans="1:37" ht="18" customHeight="1">
      <c r="A9" s="1835"/>
      <c r="B9" s="3429"/>
      <c r="C9" s="1836"/>
      <c r="D9" s="1833"/>
      <c r="E9" s="1829" t="s">
        <v>1241</v>
      </c>
      <c r="F9" s="1837">
        <f ca="1">INDIRECT("'数据-取费表'!w"&amp;$G$1)</f>
        <v>0</v>
      </c>
      <c r="G9" s="718"/>
      <c r="H9" s="1835"/>
      <c r="I9" s="342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25" t="s">
        <v>1371</v>
      </c>
      <c r="L53" s="3426"/>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46" t="s">
        <v>1501</v>
      </c>
      <c r="K2" s="3447"/>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48" t="s">
        <v>1509</v>
      </c>
      <c r="K3" s="3449"/>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48" t="s">
        <v>1511</v>
      </c>
      <c r="K4" s="3449"/>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50" t="s">
        <v>1515</v>
      </c>
      <c r="B6" s="3451"/>
      <c r="C6" s="3452"/>
      <c r="D6" s="1653"/>
      <c r="E6" s="1654"/>
      <c r="F6" s="1655"/>
      <c r="G6" s="1656"/>
      <c r="H6" s="1644"/>
      <c r="I6" s="1729"/>
      <c r="J6" s="3459">
        <v>1</v>
      </c>
      <c r="K6" s="3462"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59"/>
      <c r="K7" s="3463"/>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53" t="s">
        <v>1529</v>
      </c>
      <c r="C8" s="3454"/>
      <c r="D8" s="1667" t="s">
        <v>1530</v>
      </c>
      <c r="E8" s="1668" t="s">
        <v>1531</v>
      </c>
      <c r="F8" s="1669" t="s">
        <v>1532</v>
      </c>
      <c r="G8" s="1670"/>
      <c r="H8" s="1644"/>
      <c r="I8" s="1729"/>
      <c r="J8" s="3459"/>
      <c r="K8" s="3463"/>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53" t="s">
        <v>1535</v>
      </c>
      <c r="C9" s="3454"/>
      <c r="D9" s="1667">
        <f>ROUND(D6*E9,0)</f>
        <v>0</v>
      </c>
      <c r="E9" s="1671"/>
      <c r="F9" s="1672" t="s">
        <v>1536</v>
      </c>
      <c r="G9" s="1656"/>
      <c r="H9" s="1644"/>
      <c r="I9" s="1729"/>
      <c r="J9" s="3459"/>
      <c r="K9" s="3463"/>
      <c r="L9" s="1749" t="s">
        <v>1537</v>
      </c>
      <c r="M9" s="1750"/>
      <c r="N9" s="1649"/>
      <c r="O9" s="1751"/>
      <c r="P9" s="1751"/>
      <c r="Q9" s="1682">
        <v>365</v>
      </c>
      <c r="R9" s="1783">
        <f t="shared" si="0"/>
        <v>0</v>
      </c>
      <c r="S9" s="1698"/>
      <c r="T9" s="1698"/>
      <c r="U9" s="1698"/>
      <c r="V9" s="1729"/>
    </row>
    <row r="10" spans="1:22" s="1626" customFormat="1" ht="13.2" customHeight="1">
      <c r="A10" s="1664">
        <v>2</v>
      </c>
      <c r="B10" s="3453" t="s">
        <v>1538</v>
      </c>
      <c r="C10" s="3454"/>
      <c r="D10" s="1667">
        <f>ROUND(D6*E10,0)</f>
        <v>0</v>
      </c>
      <c r="E10" s="1671"/>
      <c r="F10" s="1672" t="s">
        <v>1539</v>
      </c>
      <c r="G10" s="1656"/>
      <c r="H10" s="1644"/>
      <c r="I10" s="1729"/>
      <c r="J10" s="3459"/>
      <c r="K10" s="3463"/>
      <c r="L10" s="1749" t="s">
        <v>1540</v>
      </c>
      <c r="M10" s="1750"/>
      <c r="N10" s="1649"/>
      <c r="O10" s="1751"/>
      <c r="P10" s="1751"/>
      <c r="Q10" s="1682">
        <v>365</v>
      </c>
      <c r="R10" s="1783">
        <f t="shared" si="0"/>
        <v>0</v>
      </c>
      <c r="S10" s="1698"/>
      <c r="T10" s="1698"/>
      <c r="U10" s="1698"/>
      <c r="V10" s="1729"/>
    </row>
    <row r="11" spans="1:22" s="1626" customFormat="1" ht="13.2" customHeight="1">
      <c r="A11" s="1664">
        <v>3</v>
      </c>
      <c r="B11" s="3453" t="s">
        <v>1541</v>
      </c>
      <c r="C11" s="3454"/>
      <c r="D11" s="1667">
        <f>D12+D14+D15+D16</f>
        <v>0</v>
      </c>
      <c r="E11" s="1673" t="e">
        <f>D11/D6</f>
        <v>#DIV/0!</v>
      </c>
      <c r="F11" s="1669"/>
      <c r="G11" s="1670"/>
      <c r="H11" s="1644"/>
      <c r="I11" s="1729"/>
      <c r="J11" s="3459"/>
      <c r="K11" s="3463"/>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55" t="s">
        <v>1544</v>
      </c>
      <c r="C12" s="3456"/>
      <c r="D12" s="1677">
        <f>ROUND(D13*1.2%*(1-30%),0)</f>
        <v>0</v>
      </c>
      <c r="E12" s="1678">
        <v>1.2E-2</v>
      </c>
      <c r="F12" s="1669" t="s">
        <v>1545</v>
      </c>
      <c r="G12" s="1670"/>
      <c r="H12" s="1644"/>
      <c r="I12" s="1729"/>
      <c r="J12" s="3459"/>
      <c r="K12" s="3463"/>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59"/>
      <c r="K13" s="3463"/>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55" t="s">
        <v>1550</v>
      </c>
      <c r="C14" s="3456"/>
      <c r="D14" s="1677">
        <f>ROUND(E14*B5/10000,0)</f>
        <v>0</v>
      </c>
      <c r="E14" s="1682"/>
      <c r="F14" s="1669" t="s">
        <v>1551</v>
      </c>
      <c r="G14" s="1670"/>
      <c r="H14" s="1644"/>
      <c r="I14" s="1729"/>
      <c r="J14" s="3459"/>
      <c r="K14" s="3464"/>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55" t="s">
        <v>1554</v>
      </c>
      <c r="C15" s="3456"/>
      <c r="D15" s="1677">
        <f>ROUND(D6*E15,0)</f>
        <v>0</v>
      </c>
      <c r="E15" s="1678">
        <v>5.5E-2</v>
      </c>
      <c r="F15" s="1669" t="s">
        <v>1555</v>
      </c>
      <c r="G15" s="1656"/>
      <c r="H15" s="1644"/>
      <c r="I15" s="1729"/>
      <c r="J15" s="3459">
        <v>2</v>
      </c>
      <c r="K15" s="3462"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55" t="s">
        <v>1562</v>
      </c>
      <c r="C16" s="3456"/>
      <c r="D16" s="1683">
        <f>D6*E16</f>
        <v>0</v>
      </c>
      <c r="E16" s="1684"/>
      <c r="F16" s="1672" t="s">
        <v>1563</v>
      </c>
      <c r="G16" s="1656"/>
      <c r="H16" s="1644"/>
      <c r="I16" s="1729"/>
      <c r="J16" s="3459"/>
      <c r="K16" s="3463"/>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57" t="s">
        <v>1565</v>
      </c>
      <c r="C17" s="3458"/>
      <c r="D17" s="1686">
        <f>ROUND(D6*E17,0)</f>
        <v>0</v>
      </c>
      <c r="E17" s="1687"/>
      <c r="F17" s="1688" t="s">
        <v>1566</v>
      </c>
      <c r="G17" s="1656"/>
      <c r="H17" s="1644"/>
      <c r="I17" s="1729"/>
      <c r="J17" s="3459"/>
      <c r="K17" s="3463"/>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59"/>
      <c r="K18" s="3463"/>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59"/>
      <c r="K19" s="3464"/>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59">
        <v>3</v>
      </c>
      <c r="K20" s="3462"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59"/>
      <c r="K21" s="3463"/>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59"/>
      <c r="K22" s="3463"/>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59"/>
      <c r="K23" s="3463"/>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59"/>
      <c r="K24" s="3464"/>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60">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61"/>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46" t="s">
        <v>1501</v>
      </c>
      <c r="K32" s="3447"/>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48" t="s">
        <v>1509</v>
      </c>
      <c r="K33" s="3449"/>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48" t="s">
        <v>1511</v>
      </c>
      <c r="K34" s="3449"/>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59">
        <v>1</v>
      </c>
      <c r="K36" s="3462"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59"/>
      <c r="K37" s="3463"/>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59"/>
      <c r="K38" s="3463"/>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59"/>
      <c r="K39" s="3463"/>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59"/>
      <c r="K40" s="3464"/>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60">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61"/>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1783.3771999999999</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19339</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65" t="s">
        <v>1616</v>
      </c>
      <c r="C5" s="3466"/>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627.28530000000001</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375.32619999999997</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780.76570000000004</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311" t="s">
        <v>1141</v>
      </c>
      <c r="D4" s="3312"/>
      <c r="E4" s="3313" t="s">
        <v>1142</v>
      </c>
      <c r="F4" s="3314"/>
      <c r="G4" s="3311" t="s">
        <v>1143</v>
      </c>
      <c r="H4" s="3312"/>
      <c r="I4" s="3311" t="s">
        <v>1144</v>
      </c>
      <c r="J4" s="3312"/>
      <c r="K4" s="1542"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308" t="s">
        <v>1143</v>
      </c>
      <c r="AC4" s="3308" t="s">
        <v>1144</v>
      </c>
    </row>
    <row r="5" spans="1:29">
      <c r="A5" s="1031"/>
      <c r="B5" s="1032"/>
      <c r="C5" s="3430" t="s">
        <v>1147</v>
      </c>
      <c r="D5" s="3322"/>
      <c r="E5" s="3467" t="s">
        <v>1621</v>
      </c>
      <c r="F5" s="3324"/>
      <c r="G5" s="3430" t="s">
        <v>1622</v>
      </c>
      <c r="H5" s="3322"/>
      <c r="I5" s="3430" t="s">
        <v>1623</v>
      </c>
      <c r="J5" s="3322"/>
      <c r="K5" s="1543"/>
      <c r="L5" s="1174"/>
      <c r="M5" s="1124"/>
      <c r="N5" s="1124"/>
      <c r="O5" s="1124"/>
      <c r="P5" s="3317"/>
      <c r="Q5" s="3318"/>
      <c r="R5" s="3304"/>
      <c r="S5" s="3305"/>
      <c r="T5" s="3304"/>
      <c r="U5" s="3305"/>
      <c r="V5" s="3284"/>
      <c r="W5" s="3284"/>
      <c r="X5" s="1222"/>
      <c r="Y5" s="3304"/>
      <c r="Z5" s="3305"/>
      <c r="AA5" s="3309"/>
      <c r="AB5" s="3309"/>
      <c r="AC5" s="3309"/>
    </row>
    <row r="6" spans="1:29" ht="14.4">
      <c r="A6" s="1033"/>
      <c r="B6" s="1034"/>
      <c r="C6" s="3325" t="s">
        <v>1148</v>
      </c>
      <c r="D6" s="3326"/>
      <c r="E6" s="3327" t="s">
        <v>1148</v>
      </c>
      <c r="F6" s="3328"/>
      <c r="G6" s="3325" t="s">
        <v>1148</v>
      </c>
      <c r="H6" s="3326"/>
      <c r="I6" s="3325" t="s">
        <v>1148</v>
      </c>
      <c r="J6" s="3326"/>
      <c r="K6" s="1543" t="s">
        <v>1149</v>
      </c>
      <c r="L6" s="1174"/>
      <c r="M6" s="1124"/>
      <c r="N6" s="1124"/>
      <c r="O6" s="1124"/>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297" t="s">
        <v>1151</v>
      </c>
      <c r="Q7" s="3298"/>
      <c r="R7" s="1223" t="s">
        <v>1152</v>
      </c>
      <c r="S7" s="1224">
        <f t="shared" ref="S7:S15" si="0">F7</f>
        <v>0</v>
      </c>
      <c r="T7" s="1223" t="s">
        <v>1152</v>
      </c>
      <c r="U7" s="1224">
        <f t="shared" ref="U7:U15" si="1">H7</f>
        <v>0</v>
      </c>
      <c r="V7" s="1223" t="s">
        <v>1152</v>
      </c>
      <c r="W7" s="1224">
        <f t="shared" ref="W7:W15" si="2">J7</f>
        <v>0</v>
      </c>
      <c r="X7" s="1225"/>
      <c r="Y7" s="3297" t="s">
        <v>1151</v>
      </c>
      <c r="Z7" s="3299"/>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297" t="s">
        <v>1155</v>
      </c>
      <c r="Q8" s="3299"/>
      <c r="R8" s="1223" t="s">
        <v>1152</v>
      </c>
      <c r="S8" s="1224">
        <f t="shared" si="0"/>
        <v>100</v>
      </c>
      <c r="T8" s="1223" t="s">
        <v>1152</v>
      </c>
      <c r="U8" s="1224">
        <f t="shared" si="1"/>
        <v>100</v>
      </c>
      <c r="V8" s="1223" t="s">
        <v>1152</v>
      </c>
      <c r="W8" s="1224">
        <f t="shared" si="2"/>
        <v>100</v>
      </c>
      <c r="X8" s="1225"/>
      <c r="Y8" s="3297" t="s">
        <v>1155</v>
      </c>
      <c r="Z8" s="3299"/>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00"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00"/>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00"/>
      <c r="Q11" s="794" t="str">
        <f t="shared" si="6"/>
        <v>容积率</v>
      </c>
      <c r="R11" s="1223" t="s">
        <v>1152</v>
      </c>
      <c r="S11" s="1224" t="e">
        <f t="shared" si="0"/>
        <v>#N/A</v>
      </c>
      <c r="T11" s="1223" t="s">
        <v>1152</v>
      </c>
      <c r="U11" s="1224" t="e">
        <f t="shared" si="1"/>
        <v>#N/A</v>
      </c>
      <c r="V11" s="1223" t="s">
        <v>1152</v>
      </c>
      <c r="W11" s="1224" t="e">
        <f t="shared" si="2"/>
        <v>#N/A</v>
      </c>
      <c r="X11" s="1225"/>
      <c r="Y11" s="3301"/>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00"/>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00"/>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00"/>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288" t="s">
        <v>1164</v>
      </c>
      <c r="Q15" s="625" t="str">
        <f t="shared" si="6"/>
        <v>居住社区成熟度</v>
      </c>
      <c r="R15" s="1227" t="s">
        <v>1152</v>
      </c>
      <c r="S15" s="1228">
        <f t="shared" si="0"/>
        <v>100</v>
      </c>
      <c r="T15" s="1227" t="s">
        <v>1152</v>
      </c>
      <c r="U15" s="1228">
        <f t="shared" si="1"/>
        <v>100</v>
      </c>
      <c r="V15" s="1227" t="s">
        <v>1152</v>
      </c>
      <c r="W15" s="1228">
        <f t="shared" si="2"/>
        <v>100</v>
      </c>
      <c r="X15" s="1222"/>
      <c r="Y15" s="3290"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289"/>
      <c r="Q16" s="625"/>
      <c r="R16" s="1227"/>
      <c r="S16" s="1228"/>
      <c r="T16" s="1227"/>
      <c r="U16" s="1228"/>
      <c r="V16" s="1227"/>
      <c r="W16" s="1228"/>
      <c r="X16" s="1222"/>
      <c r="Y16" s="329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289"/>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289"/>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289"/>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289"/>
      <c r="Q20" s="625"/>
      <c r="R20" s="1227"/>
      <c r="S20" s="1228"/>
      <c r="T20" s="1227"/>
      <c r="U20" s="1228"/>
      <c r="V20" s="1227"/>
      <c r="W20" s="1228"/>
      <c r="X20" s="1222"/>
      <c r="Y20" s="3291"/>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289"/>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289"/>
      <c r="Q22" s="625"/>
      <c r="R22" s="1227"/>
      <c r="S22" s="1228"/>
      <c r="T22" s="1227"/>
      <c r="U22" s="1228"/>
      <c r="V22" s="1227"/>
      <c r="W22" s="1228"/>
      <c r="X22" s="1222"/>
      <c r="Y22" s="3291"/>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289"/>
      <c r="Q23" s="625" t="str">
        <f>B23</f>
        <v>自然及人文环境</v>
      </c>
      <c r="R23" s="1227" t="s">
        <v>1152</v>
      </c>
      <c r="S23" s="1228">
        <f>F23</f>
        <v>100</v>
      </c>
      <c r="T23" s="1227" t="s">
        <v>1152</v>
      </c>
      <c r="U23" s="1228">
        <f>H23</f>
        <v>100</v>
      </c>
      <c r="V23" s="1227" t="s">
        <v>1152</v>
      </c>
      <c r="W23" s="1228">
        <f>J23</f>
        <v>100</v>
      </c>
      <c r="X23" s="1222"/>
      <c r="Y23" s="3291"/>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289"/>
      <c r="Q24" s="625"/>
      <c r="R24" s="1227"/>
      <c r="S24" s="1228"/>
      <c r="T24" s="1227"/>
      <c r="U24" s="1228"/>
      <c r="V24" s="1227"/>
      <c r="W24" s="1228"/>
      <c r="X24" s="1222"/>
      <c r="Y24" s="3291"/>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289"/>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291"/>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289"/>
      <c r="Q26" s="625" t="str">
        <f t="shared" si="11"/>
        <v>朝向</v>
      </c>
      <c r="R26" s="1227" t="s">
        <v>1152</v>
      </c>
      <c r="S26" s="1228">
        <f t="shared" si="12"/>
        <v>100</v>
      </c>
      <c r="T26" s="1227" t="s">
        <v>1152</v>
      </c>
      <c r="U26" s="1228">
        <f t="shared" si="13"/>
        <v>100</v>
      </c>
      <c r="V26" s="1227" t="s">
        <v>1152</v>
      </c>
      <c r="W26" s="1228">
        <f t="shared" si="14"/>
        <v>100</v>
      </c>
      <c r="X26" s="1222"/>
      <c r="Y26" s="3291"/>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289"/>
      <c r="Q27" s="794">
        <f t="shared" si="11"/>
        <v>111</v>
      </c>
      <c r="R27" s="1223" t="s">
        <v>1152</v>
      </c>
      <c r="S27" s="1224">
        <f t="shared" si="12"/>
        <v>100</v>
      </c>
      <c r="T27" s="1223" t="s">
        <v>1152</v>
      </c>
      <c r="U27" s="1224">
        <f t="shared" si="13"/>
        <v>100</v>
      </c>
      <c r="V27" s="1223" t="s">
        <v>1152</v>
      </c>
      <c r="W27" s="1224">
        <f t="shared" si="14"/>
        <v>100</v>
      </c>
      <c r="X27" s="1225"/>
      <c r="Y27" s="3291"/>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289"/>
      <c r="Q28" s="625">
        <f t="shared" si="11"/>
        <v>111</v>
      </c>
      <c r="R28" s="1227" t="s">
        <v>1152</v>
      </c>
      <c r="S28" s="1228">
        <f t="shared" si="12"/>
        <v>100</v>
      </c>
      <c r="T28" s="1227" t="s">
        <v>1152</v>
      </c>
      <c r="U28" s="1228">
        <f t="shared" si="13"/>
        <v>100</v>
      </c>
      <c r="V28" s="1227" t="s">
        <v>1152</v>
      </c>
      <c r="W28" s="1228">
        <f t="shared" si="14"/>
        <v>100</v>
      </c>
      <c r="X28" s="1222"/>
      <c r="Y28" s="3291"/>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289"/>
      <c r="Q29" s="625">
        <f t="shared" si="11"/>
        <v>111</v>
      </c>
      <c r="R29" s="1227" t="s">
        <v>1152</v>
      </c>
      <c r="S29" s="1228">
        <f t="shared" si="12"/>
        <v>100</v>
      </c>
      <c r="T29" s="1227" t="s">
        <v>1152</v>
      </c>
      <c r="U29" s="1228">
        <f t="shared" si="13"/>
        <v>100</v>
      </c>
      <c r="V29" s="1227" t="s">
        <v>1152</v>
      </c>
      <c r="W29" s="1228">
        <f t="shared" si="14"/>
        <v>100</v>
      </c>
      <c r="X29" s="1222"/>
      <c r="Y29" s="3291"/>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289"/>
      <c r="Q30" s="625">
        <f t="shared" si="11"/>
        <v>111</v>
      </c>
      <c r="R30" s="1227" t="s">
        <v>1152</v>
      </c>
      <c r="S30" s="1228">
        <f t="shared" si="12"/>
        <v>100</v>
      </c>
      <c r="T30" s="1227" t="s">
        <v>1152</v>
      </c>
      <c r="U30" s="1228">
        <f t="shared" si="13"/>
        <v>100</v>
      </c>
      <c r="V30" s="1227" t="s">
        <v>1152</v>
      </c>
      <c r="W30" s="1228">
        <f t="shared" si="14"/>
        <v>100</v>
      </c>
      <c r="X30" s="1222"/>
      <c r="Y30" s="3291"/>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289"/>
      <c r="Q31" s="625">
        <f t="shared" si="11"/>
        <v>111</v>
      </c>
      <c r="R31" s="1227" t="s">
        <v>1152</v>
      </c>
      <c r="S31" s="1228">
        <f t="shared" si="12"/>
        <v>100</v>
      </c>
      <c r="T31" s="1227" t="s">
        <v>1152</v>
      </c>
      <c r="U31" s="1228">
        <f t="shared" si="13"/>
        <v>100</v>
      </c>
      <c r="V31" s="1227" t="s">
        <v>1152</v>
      </c>
      <c r="W31" s="1228">
        <f t="shared" si="14"/>
        <v>100</v>
      </c>
      <c r="X31" s="1222"/>
      <c r="Y31" s="3291"/>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292" t="s">
        <v>1178</v>
      </c>
      <c r="Q32" s="625" t="str">
        <f t="shared" si="11"/>
        <v>建筑类型</v>
      </c>
      <c r="R32" s="1227" t="s">
        <v>1152</v>
      </c>
      <c r="S32" s="1228">
        <f t="shared" si="12"/>
        <v>100</v>
      </c>
      <c r="T32" s="1227" t="s">
        <v>1152</v>
      </c>
      <c r="U32" s="1228">
        <f t="shared" si="13"/>
        <v>100</v>
      </c>
      <c r="V32" s="1227" t="s">
        <v>1152</v>
      </c>
      <c r="W32" s="1228">
        <f t="shared" si="14"/>
        <v>100</v>
      </c>
      <c r="X32" s="1222"/>
      <c r="Y32" s="3295"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293"/>
      <c r="Q33" s="1417" t="str">
        <f t="shared" si="11"/>
        <v>项目建筑规模</v>
      </c>
      <c r="R33" s="1229" t="s">
        <v>1152</v>
      </c>
      <c r="S33" s="1230" t="e">
        <f t="shared" si="12"/>
        <v>#N/A</v>
      </c>
      <c r="T33" s="1229" t="s">
        <v>1152</v>
      </c>
      <c r="U33" s="1230" t="e">
        <f t="shared" si="13"/>
        <v>#N/A</v>
      </c>
      <c r="V33" s="1229" t="s">
        <v>1152</v>
      </c>
      <c r="W33" s="1230" t="e">
        <f t="shared" si="14"/>
        <v>#N/A</v>
      </c>
      <c r="X33" s="1231"/>
      <c r="Y33" s="3295"/>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293"/>
      <c r="Q34" s="625" t="str">
        <f t="shared" si="11"/>
        <v>建筑结构</v>
      </c>
      <c r="R34" s="1227" t="s">
        <v>1152</v>
      </c>
      <c r="S34" s="1228">
        <f t="shared" si="12"/>
        <v>100</v>
      </c>
      <c r="T34" s="1227" t="s">
        <v>1152</v>
      </c>
      <c r="U34" s="1228">
        <f t="shared" si="13"/>
        <v>100</v>
      </c>
      <c r="V34" s="1227" t="s">
        <v>1152</v>
      </c>
      <c r="W34" s="1228">
        <f t="shared" si="14"/>
        <v>100</v>
      </c>
      <c r="X34" s="1222"/>
      <c r="Y34" s="3295"/>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293"/>
      <c r="Q35" s="625" t="str">
        <f t="shared" si="11"/>
        <v>建筑品质</v>
      </c>
      <c r="R35" s="1227" t="s">
        <v>1152</v>
      </c>
      <c r="S35" s="1228">
        <f t="shared" si="12"/>
        <v>100</v>
      </c>
      <c r="T35" s="1227" t="s">
        <v>1152</v>
      </c>
      <c r="U35" s="1228">
        <f t="shared" si="13"/>
        <v>100</v>
      </c>
      <c r="V35" s="1227" t="s">
        <v>1152</v>
      </c>
      <c r="W35" s="1228">
        <f t="shared" si="14"/>
        <v>100</v>
      </c>
      <c r="X35" s="1222"/>
      <c r="Y35" s="3295"/>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293"/>
      <c r="Q36" s="625" t="str">
        <f t="shared" si="11"/>
        <v>公共部分装修</v>
      </c>
      <c r="R36" s="1227" t="s">
        <v>1152</v>
      </c>
      <c r="S36" s="1228">
        <f t="shared" si="12"/>
        <v>100</v>
      </c>
      <c r="T36" s="1227" t="s">
        <v>1152</v>
      </c>
      <c r="U36" s="1228">
        <f t="shared" si="13"/>
        <v>100</v>
      </c>
      <c r="V36" s="1227" t="s">
        <v>1152</v>
      </c>
      <c r="W36" s="1228">
        <f t="shared" si="14"/>
        <v>100</v>
      </c>
      <c r="X36" s="1222"/>
      <c r="Y36" s="3295"/>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293"/>
      <c r="Q37" s="794" t="str">
        <f t="shared" si="11"/>
        <v>成新度</v>
      </c>
      <c r="R37" s="1223" t="s">
        <v>1152</v>
      </c>
      <c r="S37" s="1224" t="e">
        <f t="shared" si="12"/>
        <v>#N/A</v>
      </c>
      <c r="T37" s="1223" t="s">
        <v>1152</v>
      </c>
      <c r="U37" s="1224" t="e">
        <f t="shared" si="13"/>
        <v>#N/A</v>
      </c>
      <c r="V37" s="1223" t="s">
        <v>1152</v>
      </c>
      <c r="W37" s="1224" t="e">
        <f t="shared" si="14"/>
        <v>#N/A</v>
      </c>
      <c r="X37" s="1225"/>
      <c r="Y37" s="3295"/>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293" t="s">
        <v>1178</v>
      </c>
      <c r="Q38" s="625" t="str">
        <f t="shared" si="11"/>
        <v>物业管理</v>
      </c>
      <c r="R38" s="1227" t="s">
        <v>1152</v>
      </c>
      <c r="S38" s="1228">
        <f t="shared" si="12"/>
        <v>100</v>
      </c>
      <c r="T38" s="1227" t="s">
        <v>1152</v>
      </c>
      <c r="U38" s="1228">
        <f t="shared" si="13"/>
        <v>100</v>
      </c>
      <c r="V38" s="1227" t="s">
        <v>1152</v>
      </c>
      <c r="W38" s="1228">
        <f t="shared" si="14"/>
        <v>100</v>
      </c>
      <c r="X38" s="1222"/>
      <c r="Y38" s="3295"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293"/>
      <c r="Q39" s="625" t="str">
        <f t="shared" si="11"/>
        <v>市政基础设施</v>
      </c>
      <c r="R39" s="1227" t="s">
        <v>1152</v>
      </c>
      <c r="S39" s="1228">
        <f t="shared" si="12"/>
        <v>100</v>
      </c>
      <c r="T39" s="1227" t="s">
        <v>1152</v>
      </c>
      <c r="U39" s="1228">
        <f t="shared" si="13"/>
        <v>100</v>
      </c>
      <c r="V39" s="1227" t="s">
        <v>1152</v>
      </c>
      <c r="W39" s="1228">
        <f t="shared" si="14"/>
        <v>100</v>
      </c>
      <c r="X39" s="1222"/>
      <c r="Y39" s="3295"/>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293"/>
      <c r="Q40" s="625" t="str">
        <f t="shared" si="11"/>
        <v>房型</v>
      </c>
      <c r="R40" s="1227" t="s">
        <v>1152</v>
      </c>
      <c r="S40" s="1228">
        <f t="shared" si="12"/>
        <v>100</v>
      </c>
      <c r="T40" s="1227" t="s">
        <v>1152</v>
      </c>
      <c r="U40" s="1228">
        <f t="shared" si="13"/>
        <v>100</v>
      </c>
      <c r="V40" s="1227" t="s">
        <v>1152</v>
      </c>
      <c r="W40" s="1228">
        <f t="shared" si="14"/>
        <v>100</v>
      </c>
      <c r="X40" s="1222"/>
      <c r="Y40" s="3295"/>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293"/>
      <c r="Q41" s="1417" t="str">
        <f t="shared" si="11"/>
        <v>单套/主力户型建筑面积</v>
      </c>
      <c r="R41" s="1229" t="s">
        <v>1152</v>
      </c>
      <c r="S41" s="1230">
        <f t="shared" si="12"/>
        <v>100</v>
      </c>
      <c r="T41" s="1229" t="s">
        <v>1152</v>
      </c>
      <c r="U41" s="1230">
        <f t="shared" si="13"/>
        <v>100</v>
      </c>
      <c r="V41" s="1229" t="s">
        <v>1152</v>
      </c>
      <c r="W41" s="1230">
        <f t="shared" si="14"/>
        <v>100</v>
      </c>
      <c r="X41" s="1231"/>
      <c r="Y41" s="3295"/>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293"/>
      <c r="Q42" s="625" t="str">
        <f t="shared" si="11"/>
        <v>内部装修</v>
      </c>
      <c r="R42" s="1227" t="s">
        <v>1152</v>
      </c>
      <c r="S42" s="1228">
        <f t="shared" si="12"/>
        <v>100</v>
      </c>
      <c r="T42" s="1227" t="s">
        <v>1152</v>
      </c>
      <c r="U42" s="1228">
        <f t="shared" si="13"/>
        <v>100</v>
      </c>
      <c r="V42" s="1227" t="s">
        <v>1152</v>
      </c>
      <c r="W42" s="1228">
        <f t="shared" si="14"/>
        <v>100</v>
      </c>
      <c r="X42" s="1222"/>
      <c r="Y42" s="3295"/>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293"/>
      <c r="Q43" s="625" t="str">
        <f t="shared" si="11"/>
        <v>内部装修维护情况</v>
      </c>
      <c r="R43" s="1227" t="s">
        <v>1152</v>
      </c>
      <c r="S43" s="1228">
        <f t="shared" si="12"/>
        <v>100</v>
      </c>
      <c r="T43" s="1227" t="s">
        <v>1152</v>
      </c>
      <c r="U43" s="1228">
        <f t="shared" si="13"/>
        <v>100</v>
      </c>
      <c r="V43" s="1227" t="s">
        <v>1152</v>
      </c>
      <c r="W43" s="1228">
        <f t="shared" si="14"/>
        <v>100</v>
      </c>
      <c r="X43" s="1222"/>
      <c r="Y43" s="3295"/>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293"/>
      <c r="Q44" s="794">
        <f t="shared" si="11"/>
        <v>111</v>
      </c>
      <c r="R44" s="1223" t="s">
        <v>1152</v>
      </c>
      <c r="S44" s="1224">
        <f t="shared" si="12"/>
        <v>100</v>
      </c>
      <c r="T44" s="1223" t="s">
        <v>1152</v>
      </c>
      <c r="U44" s="1224">
        <f t="shared" si="13"/>
        <v>100</v>
      </c>
      <c r="V44" s="1223" t="s">
        <v>1152</v>
      </c>
      <c r="W44" s="1224">
        <f t="shared" si="14"/>
        <v>100</v>
      </c>
      <c r="X44" s="1225"/>
      <c r="Y44" s="3295"/>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293"/>
      <c r="Q45" s="625">
        <f t="shared" si="11"/>
        <v>111</v>
      </c>
      <c r="R45" s="1227" t="s">
        <v>1152</v>
      </c>
      <c r="S45" s="1228">
        <f t="shared" si="12"/>
        <v>100</v>
      </c>
      <c r="T45" s="1227" t="s">
        <v>1152</v>
      </c>
      <c r="U45" s="1228">
        <f t="shared" si="13"/>
        <v>100</v>
      </c>
      <c r="V45" s="1227" t="s">
        <v>1152</v>
      </c>
      <c r="W45" s="1228">
        <f t="shared" si="14"/>
        <v>100</v>
      </c>
      <c r="X45" s="1222"/>
      <c r="Y45" s="3295"/>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294"/>
      <c r="Q46" s="625">
        <f t="shared" si="11"/>
        <v>111</v>
      </c>
      <c r="R46" s="1227" t="s">
        <v>1152</v>
      </c>
      <c r="S46" s="1228">
        <f t="shared" si="12"/>
        <v>100</v>
      </c>
      <c r="T46" s="1227" t="s">
        <v>1152</v>
      </c>
      <c r="U46" s="1228">
        <f t="shared" si="13"/>
        <v>100</v>
      </c>
      <c r="V46" s="1227" t="s">
        <v>1152</v>
      </c>
      <c r="W46" s="1228">
        <f t="shared" si="14"/>
        <v>100</v>
      </c>
      <c r="X46" s="1222"/>
      <c r="Y46" s="3296"/>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283" t="str">
        <f>A47</f>
        <v>成交单价（元/平方米）</v>
      </c>
      <c r="Q47" s="3283"/>
      <c r="R47" s="3284">
        <f>E47</f>
        <v>0</v>
      </c>
      <c r="S47" s="3284"/>
      <c r="T47" s="3284">
        <f>G47</f>
        <v>0</v>
      </c>
      <c r="U47" s="3284"/>
      <c r="V47" s="3284">
        <f>I47</f>
        <v>0</v>
      </c>
      <c r="W47" s="3284"/>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285" t="str">
        <f>A49</f>
        <v>估价对象XX用房的比较价值（楼面单价，元/平方米）</v>
      </c>
      <c r="Q49" s="3286"/>
      <c r="R49" s="3287" t="e">
        <f>IF(F1="售价",ROUND(IF(D48="简单平均",AVERAGE(R48:V48),R48*F48+T48*H48+V48*J48),0),ROUND(IF(D48="简单平均",AVERAGE(R48:V48),R48*F48+T48*H48+V48*J48),1))</f>
        <v>#DIV/0!</v>
      </c>
      <c r="S49" s="3287"/>
      <c r="T49" s="3287"/>
      <c r="U49" s="3287"/>
      <c r="V49" s="3287"/>
      <c r="W49" s="3287"/>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311" t="s">
        <v>1141</v>
      </c>
      <c r="D4" s="3312"/>
      <c r="E4" s="3313" t="s">
        <v>1142</v>
      </c>
      <c r="F4" s="3314"/>
      <c r="G4" s="3311" t="s">
        <v>1143</v>
      </c>
      <c r="H4" s="3312"/>
      <c r="I4" s="3311" t="s">
        <v>1144</v>
      </c>
      <c r="J4" s="3312"/>
      <c r="K4" s="1173" t="s">
        <v>1145</v>
      </c>
      <c r="L4" s="1489"/>
      <c r="M4" s="1159"/>
      <c r="N4" s="1159"/>
      <c r="O4" s="1159"/>
      <c r="P4" s="3315" t="s">
        <v>1146</v>
      </c>
      <c r="Q4" s="3316"/>
      <c r="R4" s="3302" t="s">
        <v>1142</v>
      </c>
      <c r="S4" s="3303"/>
      <c r="T4" s="3302" t="s">
        <v>1143</v>
      </c>
      <c r="U4" s="3303"/>
      <c r="V4" s="3284" t="s">
        <v>1144</v>
      </c>
      <c r="W4" s="3284"/>
      <c r="X4" s="1222"/>
      <c r="Y4" s="3302" t="s">
        <v>1146</v>
      </c>
      <c r="Z4" s="3303"/>
      <c r="AA4" s="3308" t="s">
        <v>1142</v>
      </c>
      <c r="AB4" s="3309" t="s">
        <v>1143</v>
      </c>
      <c r="AC4" s="3308" t="s">
        <v>1144</v>
      </c>
    </row>
    <row r="5" spans="1:29">
      <c r="A5" s="1031"/>
      <c r="B5" s="1032"/>
      <c r="C5" s="3430" t="s">
        <v>1147</v>
      </c>
      <c r="D5" s="3322"/>
      <c r="E5" s="3467" t="s">
        <v>1621</v>
      </c>
      <c r="F5" s="3324"/>
      <c r="G5" s="3430" t="s">
        <v>1622</v>
      </c>
      <c r="H5" s="3322"/>
      <c r="I5" s="3430" t="s">
        <v>1623</v>
      </c>
      <c r="J5" s="3322"/>
      <c r="K5" s="1173"/>
      <c r="L5" s="1489"/>
      <c r="M5" s="1159"/>
      <c r="N5" s="1159"/>
      <c r="O5" s="1159"/>
      <c r="P5" s="3317"/>
      <c r="Q5" s="3318"/>
      <c r="R5" s="3304"/>
      <c r="S5" s="3305"/>
      <c r="T5" s="3304"/>
      <c r="U5" s="3305"/>
      <c r="V5" s="3284"/>
      <c r="W5" s="3284"/>
      <c r="X5" s="1222"/>
      <c r="Y5" s="3304"/>
      <c r="Z5" s="3305"/>
      <c r="AA5" s="3309"/>
      <c r="AB5" s="3309"/>
      <c r="AC5" s="3309"/>
    </row>
    <row r="6" spans="1:29" ht="14.4">
      <c r="A6" s="1033"/>
      <c r="B6" s="1034"/>
      <c r="C6" s="3325" t="s">
        <v>1148</v>
      </c>
      <c r="D6" s="3326"/>
      <c r="E6" s="3327" t="s">
        <v>1148</v>
      </c>
      <c r="F6" s="3328"/>
      <c r="G6" s="3325" t="s">
        <v>1148</v>
      </c>
      <c r="H6" s="3326"/>
      <c r="I6" s="3325" t="s">
        <v>1148</v>
      </c>
      <c r="J6" s="3326"/>
      <c r="K6" s="1173" t="s">
        <v>1149</v>
      </c>
      <c r="L6" s="1489"/>
      <c r="M6" s="1159"/>
      <c r="N6" s="1159"/>
      <c r="O6" s="1159"/>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297" t="s">
        <v>1151</v>
      </c>
      <c r="Q7" s="3298"/>
      <c r="R7" s="1223" t="s">
        <v>1152</v>
      </c>
      <c r="S7" s="1224">
        <f t="shared" ref="S7:S15" si="0">F7</f>
        <v>0</v>
      </c>
      <c r="T7" s="1223" t="s">
        <v>1152</v>
      </c>
      <c r="U7" s="1224">
        <f t="shared" ref="U7:U15" si="1">H7</f>
        <v>0</v>
      </c>
      <c r="V7" s="1223" t="s">
        <v>1152</v>
      </c>
      <c r="W7" s="1224">
        <f t="shared" ref="W7:W15" si="2">J7</f>
        <v>0</v>
      </c>
      <c r="X7" s="1225"/>
      <c r="Y7" s="3297" t="s">
        <v>1151</v>
      </c>
      <c r="Z7" s="3299"/>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297" t="s">
        <v>1155</v>
      </c>
      <c r="Q8" s="3299"/>
      <c r="R8" s="1223" t="s">
        <v>1152</v>
      </c>
      <c r="S8" s="1224">
        <f t="shared" si="0"/>
        <v>100</v>
      </c>
      <c r="T8" s="1223" t="s">
        <v>1152</v>
      </c>
      <c r="U8" s="1224">
        <f t="shared" si="1"/>
        <v>100</v>
      </c>
      <c r="V8" s="1223" t="s">
        <v>1152</v>
      </c>
      <c r="W8" s="1224">
        <f t="shared" si="2"/>
        <v>100</v>
      </c>
      <c r="X8" s="1225"/>
      <c r="Y8" s="3297" t="s">
        <v>1155</v>
      </c>
      <c r="Z8" s="3299"/>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283"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283"/>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283"/>
      <c r="Q11" s="794" t="str">
        <f t="shared" si="6"/>
        <v>容积率</v>
      </c>
      <c r="R11" s="1223" t="s">
        <v>1152</v>
      </c>
      <c r="S11" s="1224">
        <f t="shared" si="0"/>
        <v>100</v>
      </c>
      <c r="T11" s="1223" t="s">
        <v>1152</v>
      </c>
      <c r="U11" s="1224">
        <f t="shared" si="1"/>
        <v>100</v>
      </c>
      <c r="V11" s="1223" t="s">
        <v>1152</v>
      </c>
      <c r="W11" s="1224">
        <f t="shared" si="2"/>
        <v>100</v>
      </c>
      <c r="X11" s="1225"/>
      <c r="Y11" s="3301"/>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283"/>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283"/>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283"/>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290" t="s">
        <v>1164</v>
      </c>
      <c r="Q15" s="625" t="str">
        <f t="shared" si="6"/>
        <v>产业集聚程度</v>
      </c>
      <c r="R15" s="1227" t="s">
        <v>1152</v>
      </c>
      <c r="S15" s="1228">
        <f t="shared" si="0"/>
        <v>100</v>
      </c>
      <c r="T15" s="1227" t="s">
        <v>1152</v>
      </c>
      <c r="U15" s="1228">
        <f t="shared" si="1"/>
        <v>100</v>
      </c>
      <c r="V15" s="1227" t="s">
        <v>1152</v>
      </c>
      <c r="W15" s="1228">
        <f t="shared" si="2"/>
        <v>100</v>
      </c>
      <c r="X15" s="1222"/>
      <c r="Y15" s="3290"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291"/>
      <c r="Q16" s="625"/>
      <c r="R16" s="1227"/>
      <c r="S16" s="1228"/>
      <c r="T16" s="1227"/>
      <c r="U16" s="1228"/>
      <c r="V16" s="1227"/>
      <c r="W16" s="1228"/>
      <c r="X16" s="1222"/>
      <c r="Y16" s="3291"/>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291"/>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291"/>
      <c r="Q18" s="625"/>
      <c r="R18" s="1227"/>
      <c r="S18" s="1228"/>
      <c r="T18" s="1227"/>
      <c r="U18" s="1228"/>
      <c r="V18" s="1227"/>
      <c r="W18" s="1228"/>
      <c r="X18" s="1222"/>
      <c r="Y18" s="3291"/>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291"/>
      <c r="Q19" s="625" t="str">
        <f>B19</f>
        <v>公共配套设施</v>
      </c>
      <c r="R19" s="1227" t="s">
        <v>1152</v>
      </c>
      <c r="S19" s="1228">
        <f>F19</f>
        <v>100</v>
      </c>
      <c r="T19" s="1227" t="s">
        <v>1152</v>
      </c>
      <c r="U19" s="1228">
        <f>H19</f>
        <v>100</v>
      </c>
      <c r="V19" s="1227" t="s">
        <v>1152</v>
      </c>
      <c r="W19" s="1228">
        <f>J19</f>
        <v>100</v>
      </c>
      <c r="X19" s="1222"/>
      <c r="Y19" s="3291"/>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291"/>
      <c r="Q20" s="625"/>
      <c r="R20" s="1227"/>
      <c r="S20" s="1228"/>
      <c r="T20" s="1227"/>
      <c r="U20" s="1228"/>
      <c r="V20" s="1227"/>
      <c r="W20" s="1228"/>
      <c r="X20" s="1222"/>
      <c r="Y20" s="3291"/>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291"/>
      <c r="Q21" s="625" t="str">
        <f>B21</f>
        <v>基础设施水平</v>
      </c>
      <c r="R21" s="1227" t="s">
        <v>1152</v>
      </c>
      <c r="S21" s="1228">
        <f>F21</f>
        <v>100</v>
      </c>
      <c r="T21" s="1227" t="s">
        <v>1152</v>
      </c>
      <c r="U21" s="1228">
        <f>H21</f>
        <v>100</v>
      </c>
      <c r="V21" s="1227" t="s">
        <v>1152</v>
      </c>
      <c r="W21" s="1228">
        <f>J21</f>
        <v>100</v>
      </c>
      <c r="X21" s="1222"/>
      <c r="Y21" s="3291"/>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291"/>
      <c r="Q22" s="625"/>
      <c r="R22" s="1227"/>
      <c r="S22" s="1228"/>
      <c r="T22" s="1227"/>
      <c r="U22" s="1228"/>
      <c r="V22" s="1227"/>
      <c r="W22" s="1228"/>
      <c r="X22" s="1222"/>
      <c r="Y22" s="3291"/>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291"/>
      <c r="Q23" s="625" t="str">
        <f>B23</f>
        <v>环境质量</v>
      </c>
      <c r="R23" s="1227" t="s">
        <v>1152</v>
      </c>
      <c r="S23" s="1228">
        <f>F23</f>
        <v>100</v>
      </c>
      <c r="T23" s="1227" t="s">
        <v>1152</v>
      </c>
      <c r="U23" s="1228">
        <f>H23</f>
        <v>100</v>
      </c>
      <c r="V23" s="1227" t="s">
        <v>1152</v>
      </c>
      <c r="W23" s="1228">
        <f>J23</f>
        <v>100</v>
      </c>
      <c r="X23" s="1222"/>
      <c r="Y23" s="3291"/>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291"/>
      <c r="Q24" s="625"/>
      <c r="R24" s="1227"/>
      <c r="S24" s="1228"/>
      <c r="T24" s="1227"/>
      <c r="U24" s="1228"/>
      <c r="V24" s="1227"/>
      <c r="W24" s="1228"/>
      <c r="X24" s="1222"/>
      <c r="Y24" s="3291"/>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291"/>
      <c r="Q25" s="625">
        <f>B25</f>
        <v>111</v>
      </c>
      <c r="R25" s="1227" t="s">
        <v>1152</v>
      </c>
      <c r="S25" s="1228">
        <f>F25</f>
        <v>100</v>
      </c>
      <c r="T25" s="1227" t="s">
        <v>1152</v>
      </c>
      <c r="U25" s="1228">
        <f>H25</f>
        <v>100</v>
      </c>
      <c r="V25" s="1227" t="s">
        <v>1152</v>
      </c>
      <c r="W25" s="1228">
        <f>J25</f>
        <v>100</v>
      </c>
      <c r="X25" s="1222"/>
      <c r="Y25" s="3291"/>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291"/>
      <c r="Q26" s="625">
        <f t="shared" ref="Q26:Q40" si="11">B26</f>
        <v>111</v>
      </c>
      <c r="R26" s="1227" t="s">
        <v>1152</v>
      </c>
      <c r="S26" s="1228">
        <f>F26</f>
        <v>100</v>
      </c>
      <c r="T26" s="1227" t="s">
        <v>1152</v>
      </c>
      <c r="U26" s="1228">
        <f>H26</f>
        <v>100</v>
      </c>
      <c r="V26" s="1227" t="s">
        <v>1152</v>
      </c>
      <c r="W26" s="1228">
        <f>J26</f>
        <v>100</v>
      </c>
      <c r="X26" s="1222"/>
      <c r="Y26" s="3291"/>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291"/>
      <c r="Q27" s="794">
        <f t="shared" si="11"/>
        <v>111</v>
      </c>
      <c r="R27" s="1223" t="s">
        <v>1152</v>
      </c>
      <c r="S27" s="1224">
        <f>F27</f>
        <v>100</v>
      </c>
      <c r="T27" s="1223" t="s">
        <v>1152</v>
      </c>
      <c r="U27" s="1224">
        <f>H27</f>
        <v>100</v>
      </c>
      <c r="V27" s="1223" t="s">
        <v>1152</v>
      </c>
      <c r="W27" s="1224">
        <f>J27</f>
        <v>100</v>
      </c>
      <c r="X27" s="1225"/>
      <c r="Y27" s="3291"/>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291"/>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291"/>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68" t="s">
        <v>1178</v>
      </c>
      <c r="Q29" s="625" t="str">
        <f t="shared" si="11"/>
        <v>建筑类型</v>
      </c>
      <c r="R29" s="1227" t="s">
        <v>1152</v>
      </c>
      <c r="S29" s="1228">
        <f t="shared" si="12"/>
        <v>100</v>
      </c>
      <c r="T29" s="1227" t="s">
        <v>1152</v>
      </c>
      <c r="U29" s="1228">
        <f t="shared" si="13"/>
        <v>100</v>
      </c>
      <c r="V29" s="1227" t="s">
        <v>1152</v>
      </c>
      <c r="W29" s="1228">
        <f t="shared" si="14"/>
        <v>100</v>
      </c>
      <c r="X29" s="1222"/>
      <c r="Y29" s="3295"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295"/>
      <c r="Q30" s="1417" t="str">
        <f t="shared" si="11"/>
        <v>项目建筑规模</v>
      </c>
      <c r="R30" s="1229" t="s">
        <v>1152</v>
      </c>
      <c r="S30" s="1230" t="e">
        <f t="shared" si="12"/>
        <v>#N/A</v>
      </c>
      <c r="T30" s="1229" t="s">
        <v>1152</v>
      </c>
      <c r="U30" s="1230" t="e">
        <f t="shared" si="13"/>
        <v>#N/A</v>
      </c>
      <c r="V30" s="1229" t="s">
        <v>1152</v>
      </c>
      <c r="W30" s="1230" t="e">
        <f t="shared" si="14"/>
        <v>#N/A</v>
      </c>
      <c r="X30" s="1231"/>
      <c r="Y30" s="3295"/>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295"/>
      <c r="Q31" s="625" t="str">
        <f t="shared" si="11"/>
        <v>建筑结构</v>
      </c>
      <c r="R31" s="1227" t="s">
        <v>1152</v>
      </c>
      <c r="S31" s="1228">
        <f t="shared" si="12"/>
        <v>100</v>
      </c>
      <c r="T31" s="1227" t="s">
        <v>1152</v>
      </c>
      <c r="U31" s="1228">
        <f t="shared" si="13"/>
        <v>100</v>
      </c>
      <c r="V31" s="1227" t="s">
        <v>1152</v>
      </c>
      <c r="W31" s="1228">
        <f t="shared" si="14"/>
        <v>100</v>
      </c>
      <c r="X31" s="1222"/>
      <c r="Y31" s="3295"/>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295"/>
      <c r="Q32" s="625" t="str">
        <f t="shared" si="11"/>
        <v>公共部分装修</v>
      </c>
      <c r="R32" s="1227" t="s">
        <v>1152</v>
      </c>
      <c r="S32" s="1228">
        <f t="shared" si="12"/>
        <v>100</v>
      </c>
      <c r="T32" s="1227" t="s">
        <v>1152</v>
      </c>
      <c r="U32" s="1228">
        <f t="shared" si="13"/>
        <v>100</v>
      </c>
      <c r="V32" s="1227" t="s">
        <v>1152</v>
      </c>
      <c r="W32" s="1228">
        <f t="shared" si="14"/>
        <v>100</v>
      </c>
      <c r="X32" s="1222"/>
      <c r="Y32" s="3295"/>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295"/>
      <c r="Q33" s="625" t="str">
        <f t="shared" si="11"/>
        <v>成新度</v>
      </c>
      <c r="R33" s="1227" t="s">
        <v>1152</v>
      </c>
      <c r="S33" s="1228" t="e">
        <f t="shared" si="12"/>
        <v>#N/A</v>
      </c>
      <c r="T33" s="1227" t="s">
        <v>1152</v>
      </c>
      <c r="U33" s="1228" t="e">
        <f t="shared" si="13"/>
        <v>#N/A</v>
      </c>
      <c r="V33" s="1227" t="s">
        <v>1152</v>
      </c>
      <c r="W33" s="1228" t="e">
        <f t="shared" si="14"/>
        <v>#N/A</v>
      </c>
      <c r="X33" s="1222"/>
      <c r="Y33" s="3295"/>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295"/>
      <c r="Q34" s="794" t="str">
        <f t="shared" si="11"/>
        <v>物业管理</v>
      </c>
      <c r="R34" s="1223" t="s">
        <v>1152</v>
      </c>
      <c r="S34" s="1224">
        <f t="shared" si="12"/>
        <v>100</v>
      </c>
      <c r="T34" s="1223" t="s">
        <v>1152</v>
      </c>
      <c r="U34" s="1224">
        <f t="shared" si="13"/>
        <v>100</v>
      </c>
      <c r="V34" s="1223" t="s">
        <v>1152</v>
      </c>
      <c r="W34" s="1224">
        <f t="shared" si="14"/>
        <v>100</v>
      </c>
      <c r="X34" s="1225"/>
      <c r="Y34" s="3295"/>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295" t="s">
        <v>1178</v>
      </c>
      <c r="Q35" s="625" t="str">
        <f t="shared" si="11"/>
        <v>市政基础设施</v>
      </c>
      <c r="R35" s="1227" t="s">
        <v>1152</v>
      </c>
      <c r="S35" s="1228">
        <f t="shared" si="12"/>
        <v>100</v>
      </c>
      <c r="T35" s="1227" t="s">
        <v>1152</v>
      </c>
      <c r="U35" s="1228">
        <f t="shared" si="13"/>
        <v>100</v>
      </c>
      <c r="V35" s="1227" t="s">
        <v>1152</v>
      </c>
      <c r="W35" s="1228">
        <f t="shared" si="14"/>
        <v>100</v>
      </c>
      <c r="X35" s="1222"/>
      <c r="Y35" s="3295"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295"/>
      <c r="Q36" s="625" t="str">
        <f t="shared" si="11"/>
        <v>内部装修</v>
      </c>
      <c r="R36" s="1227" t="s">
        <v>1152</v>
      </c>
      <c r="S36" s="1228">
        <f t="shared" si="12"/>
        <v>100</v>
      </c>
      <c r="T36" s="1227" t="s">
        <v>1152</v>
      </c>
      <c r="U36" s="1228">
        <f t="shared" si="13"/>
        <v>100</v>
      </c>
      <c r="V36" s="1227" t="s">
        <v>1152</v>
      </c>
      <c r="W36" s="1228">
        <f t="shared" si="14"/>
        <v>100</v>
      </c>
      <c r="X36" s="1222"/>
      <c r="Y36" s="3295"/>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295"/>
      <c r="Q37" s="625" t="str">
        <f t="shared" si="11"/>
        <v>内部装修状况</v>
      </c>
      <c r="R37" s="1227" t="s">
        <v>1152</v>
      </c>
      <c r="S37" s="1228">
        <f t="shared" si="12"/>
        <v>100</v>
      </c>
      <c r="T37" s="1227" t="s">
        <v>1152</v>
      </c>
      <c r="U37" s="1228">
        <f t="shared" si="13"/>
        <v>100</v>
      </c>
      <c r="V37" s="1227" t="s">
        <v>1152</v>
      </c>
      <c r="W37" s="1228">
        <f t="shared" si="14"/>
        <v>100</v>
      </c>
      <c r="X37" s="1222"/>
      <c r="Y37" s="3295"/>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295"/>
      <c r="Q38" s="1417">
        <f t="shared" si="11"/>
        <v>111</v>
      </c>
      <c r="R38" s="1229" t="s">
        <v>1152</v>
      </c>
      <c r="S38" s="1230">
        <f t="shared" si="12"/>
        <v>100</v>
      </c>
      <c r="T38" s="1229" t="s">
        <v>1152</v>
      </c>
      <c r="U38" s="1230">
        <f t="shared" si="13"/>
        <v>100</v>
      </c>
      <c r="V38" s="1229" t="s">
        <v>1152</v>
      </c>
      <c r="W38" s="1230">
        <f t="shared" si="14"/>
        <v>100</v>
      </c>
      <c r="X38" s="1231"/>
      <c r="Y38" s="3295"/>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295"/>
      <c r="Q39" s="625">
        <f t="shared" si="11"/>
        <v>111</v>
      </c>
      <c r="R39" s="1227" t="s">
        <v>1152</v>
      </c>
      <c r="S39" s="1228">
        <f t="shared" si="12"/>
        <v>100</v>
      </c>
      <c r="T39" s="1227" t="s">
        <v>1152</v>
      </c>
      <c r="U39" s="1228">
        <f t="shared" si="13"/>
        <v>100</v>
      </c>
      <c r="V39" s="1227" t="s">
        <v>1152</v>
      </c>
      <c r="W39" s="1228">
        <f t="shared" si="14"/>
        <v>100</v>
      </c>
      <c r="X39" s="1222"/>
      <c r="Y39" s="3295"/>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296"/>
      <c r="Q40" s="625">
        <f t="shared" si="11"/>
        <v>111</v>
      </c>
      <c r="R40" s="1227" t="s">
        <v>1152</v>
      </c>
      <c r="S40" s="1228">
        <f t="shared" si="12"/>
        <v>100</v>
      </c>
      <c r="T40" s="1227" t="s">
        <v>1152</v>
      </c>
      <c r="U40" s="1228">
        <f t="shared" si="13"/>
        <v>100</v>
      </c>
      <c r="V40" s="1227" t="s">
        <v>1152</v>
      </c>
      <c r="W40" s="1228">
        <f t="shared" si="14"/>
        <v>100</v>
      </c>
      <c r="X40" s="1222"/>
      <c r="Y40" s="3296"/>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283" t="str">
        <f>A41</f>
        <v>成交单价（元/平方米）</v>
      </c>
      <c r="Q41" s="3283"/>
      <c r="R41" s="3284">
        <f>E41</f>
        <v>0</v>
      </c>
      <c r="S41" s="3284"/>
      <c r="T41" s="3284">
        <f>G41</f>
        <v>0</v>
      </c>
      <c r="U41" s="3284"/>
      <c r="V41" s="3284">
        <f>I41</f>
        <v>0</v>
      </c>
      <c r="W41" s="3284"/>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285" t="str">
        <f>A43</f>
        <v>估价对象XX用房的比较价值（楼面单价，元/平方米）</v>
      </c>
      <c r="Q43" s="3286"/>
      <c r="R43" s="3287" t="e">
        <f>IF(F1="售价",ROUND(IF(D42="简单平均",AVERAGE(R42:V42),R42*F42+T42*H42+V42*J42),0),ROUND(IF(D42="简单平均",AVERAGE(R42:V42),R42*F42+T42*H42+V42*J42),1))</f>
        <v>#DIV/0!</v>
      </c>
      <c r="S43" s="3287"/>
      <c r="T43" s="3287"/>
      <c r="U43" s="3287"/>
      <c r="V43" s="3287"/>
      <c r="W43" s="3287"/>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7.399999999999999">
      <c r="A4" s="3114"/>
      <c r="B4" s="3200" t="s">
        <v>95</v>
      </c>
      <c r="C4" s="3200"/>
      <c r="D4" s="3200"/>
      <c r="E4" s="3114"/>
    </row>
    <row r="5" spans="1:5" ht="15.6">
      <c r="B5" s="3192" t="s">
        <v>96</v>
      </c>
      <c r="C5" s="3115" t="s">
        <v>97</v>
      </c>
      <c r="D5" s="3116">
        <f ca="1">结果表!H101</f>
        <v>820.86159999999995</v>
      </c>
    </row>
    <row r="6" spans="1:5" ht="31.2">
      <c r="B6" s="3192"/>
      <c r="C6" s="3115" t="s">
        <v>98</v>
      </c>
      <c r="D6" s="3116" t="str">
        <f ca="1">NUMBERSTRING(INT(D5*10000),2)&amp;"元整"</f>
        <v>捌佰贰拾万捌仟陆佰壹拾陆元整</v>
      </c>
    </row>
    <row r="7" spans="1:5" ht="15.6">
      <c r="B7" s="3193"/>
      <c r="C7" s="3117" t="s">
        <v>99</v>
      </c>
      <c r="D7" s="3118">
        <f ca="1">结果表!H102</f>
        <v>31441</v>
      </c>
    </row>
    <row r="8" spans="1:5" ht="15.6">
      <c r="B8" s="3194" t="str">
        <f>结果表!E103</f>
        <v>2.估价师知悉的法定优先受偿款</v>
      </c>
      <c r="C8" s="3119" t="s">
        <v>100</v>
      </c>
      <c r="D8" s="3118">
        <f>结果表!H103</f>
        <v>0</v>
      </c>
    </row>
    <row r="9" spans="1:5" ht="15.6">
      <c r="B9" s="3196"/>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91" t="str">
        <f>结果表!E107</f>
        <v>3.房地产抵押价值</v>
      </c>
      <c r="C13" s="3123" t="s">
        <v>97</v>
      </c>
      <c r="D13" s="3124">
        <f ca="1">结果表!H107</f>
        <v>820.86159999999995</v>
      </c>
    </row>
    <row r="14" spans="1:5" ht="31.2">
      <c r="B14" s="3192"/>
      <c r="C14" s="3115" t="s">
        <v>98</v>
      </c>
      <c r="D14" s="3116" t="str">
        <f ca="1">NUMBERSTRING(INT(D13*10000),2)&amp;"元整"</f>
        <v>捌佰贰拾万捌仟陆佰壹拾陆元整</v>
      </c>
    </row>
    <row r="15" spans="1:5" ht="15.6">
      <c r="B15" s="3193"/>
      <c r="C15" s="3117" t="s">
        <v>99</v>
      </c>
      <c r="D15" s="3125">
        <f ca="1">结果表!H108</f>
        <v>31441</v>
      </c>
    </row>
    <row r="16" spans="1:5" ht="15.6">
      <c r="B16" s="3194" t="str">
        <f>结果表!E109</f>
        <v>——</v>
      </c>
      <c r="C16" s="3123" t="s">
        <v>97</v>
      </c>
      <c r="D16" s="3126" t="str">
        <f>结果表!H109</f>
        <v>——</v>
      </c>
    </row>
    <row r="17" spans="1:5" ht="15.6">
      <c r="B17" s="3195"/>
      <c r="C17" s="3115" t="s">
        <v>98</v>
      </c>
      <c r="D17" s="3116" t="e">
        <f>NUMBERSTRING(INT(D16*10000),2)&amp;"元整"</f>
        <v>#VALUE!</v>
      </c>
    </row>
    <row r="18" spans="1:5" ht="15.6">
      <c r="B18" s="3196"/>
      <c r="C18" s="3117" t="s">
        <v>99</v>
      </c>
      <c r="D18" s="3125" t="str">
        <f>结果表!H110</f>
        <v>——</v>
      </c>
    </row>
    <row r="19" spans="1:5" ht="15.6">
      <c r="B19" s="3191" t="str">
        <f>结果表!E111</f>
        <v>——</v>
      </c>
      <c r="C19" s="3123" t="s">
        <v>97</v>
      </c>
      <c r="D19" s="3118" t="str">
        <f>结果表!H111</f>
        <v>——</v>
      </c>
    </row>
    <row r="20" spans="1:5" ht="15.6">
      <c r="B20" s="3192"/>
      <c r="C20" s="3115" t="s">
        <v>98</v>
      </c>
      <c r="D20" s="3116" t="e">
        <f>NUMBERSTRING(INT(D19*10000),2)&amp;"元整"</f>
        <v>#VALUE!</v>
      </c>
    </row>
    <row r="21" spans="1:5" ht="15.6">
      <c r="B21" s="3197"/>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309" t="s">
        <v>1143</v>
      </c>
      <c r="AC4" s="3308" t="s">
        <v>1144</v>
      </c>
    </row>
    <row r="5" spans="1:29">
      <c r="A5" s="1031"/>
      <c r="B5" s="1032"/>
      <c r="C5" s="3430" t="s">
        <v>1147</v>
      </c>
      <c r="D5" s="3322"/>
      <c r="E5" s="3467" t="s">
        <v>1621</v>
      </c>
      <c r="F5" s="3324"/>
      <c r="G5" s="3430" t="s">
        <v>1622</v>
      </c>
      <c r="H5" s="3322"/>
      <c r="I5" s="3430" t="s">
        <v>1623</v>
      </c>
      <c r="J5" s="3322"/>
      <c r="K5" s="1173"/>
      <c r="L5" s="1174"/>
      <c r="M5" s="1124"/>
      <c r="N5" s="1124"/>
      <c r="O5" s="1124"/>
      <c r="P5" s="3317"/>
      <c r="Q5" s="3318"/>
      <c r="R5" s="3304"/>
      <c r="S5" s="3305"/>
      <c r="T5" s="3304"/>
      <c r="U5" s="3305"/>
      <c r="V5" s="3284"/>
      <c r="W5" s="3284"/>
      <c r="X5" s="1222"/>
      <c r="Y5" s="3304"/>
      <c r="Z5" s="3305"/>
      <c r="AA5" s="3309"/>
      <c r="AB5" s="3309"/>
      <c r="AC5" s="3309"/>
    </row>
    <row r="6" spans="1:29" ht="14.4">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297" t="s">
        <v>1151</v>
      </c>
      <c r="Q7" s="3298"/>
      <c r="R7" s="1223" t="s">
        <v>1152</v>
      </c>
      <c r="S7" s="1224">
        <f t="shared" ref="S7:S14" si="0">F7</f>
        <v>0</v>
      </c>
      <c r="T7" s="1223" t="s">
        <v>1152</v>
      </c>
      <c r="U7" s="1224">
        <f t="shared" ref="U7:U14" si="1">H7</f>
        <v>0</v>
      </c>
      <c r="V7" s="1223" t="s">
        <v>1152</v>
      </c>
      <c r="W7" s="1224">
        <f t="shared" ref="W7:W14" si="2">J7</f>
        <v>0</v>
      </c>
      <c r="X7" s="1225"/>
      <c r="Y7" s="3297" t="s">
        <v>1151</v>
      </c>
      <c r="Z7" s="3299"/>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297" t="s">
        <v>1155</v>
      </c>
      <c r="Q8" s="3299"/>
      <c r="R8" s="1223" t="s">
        <v>1152</v>
      </c>
      <c r="S8" s="1224">
        <f t="shared" si="0"/>
        <v>100</v>
      </c>
      <c r="T8" s="1223" t="s">
        <v>1152</v>
      </c>
      <c r="U8" s="1224">
        <f t="shared" si="1"/>
        <v>100</v>
      </c>
      <c r="V8" s="1223" t="s">
        <v>1152</v>
      </c>
      <c r="W8" s="1224">
        <f t="shared" si="2"/>
        <v>100</v>
      </c>
      <c r="X8" s="1225"/>
      <c r="Y8" s="3297" t="s">
        <v>1155</v>
      </c>
      <c r="Z8" s="3299"/>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283" t="s">
        <v>1158</v>
      </c>
      <c r="Q9" s="794" t="str">
        <f t="shared" ref="Q9:Q14" si="6">B9</f>
        <v>用途</v>
      </c>
      <c r="R9" s="1223" t="s">
        <v>1152</v>
      </c>
      <c r="S9" s="1224">
        <f t="shared" si="0"/>
        <v>100</v>
      </c>
      <c r="T9" s="1223" t="s">
        <v>1152</v>
      </c>
      <c r="U9" s="1224">
        <f t="shared" si="1"/>
        <v>100</v>
      </c>
      <c r="V9" s="1223" t="s">
        <v>1152</v>
      </c>
      <c r="W9" s="1224">
        <f t="shared" si="2"/>
        <v>100</v>
      </c>
      <c r="X9" s="1225"/>
      <c r="Y9" s="3301"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283"/>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283"/>
      <c r="Q11" s="794">
        <f t="shared" si="6"/>
        <v>111</v>
      </c>
      <c r="R11" s="1223" t="s">
        <v>1152</v>
      </c>
      <c r="S11" s="1224">
        <f t="shared" si="0"/>
        <v>100</v>
      </c>
      <c r="T11" s="1223" t="s">
        <v>1152</v>
      </c>
      <c r="U11" s="1224">
        <f t="shared" si="1"/>
        <v>100</v>
      </c>
      <c r="V11" s="1223" t="s">
        <v>1152</v>
      </c>
      <c r="W11" s="1224">
        <f t="shared" si="2"/>
        <v>100</v>
      </c>
      <c r="X11" s="1225"/>
      <c r="Y11" s="3301"/>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283"/>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283"/>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290" t="s">
        <v>1164</v>
      </c>
      <c r="Q14" s="625" t="str">
        <f t="shared" si="6"/>
        <v>交通便捷度</v>
      </c>
      <c r="R14" s="1227" t="s">
        <v>1152</v>
      </c>
      <c r="S14" s="1228">
        <f t="shared" si="0"/>
        <v>100</v>
      </c>
      <c r="T14" s="1227" t="s">
        <v>1152</v>
      </c>
      <c r="U14" s="1228">
        <f t="shared" si="1"/>
        <v>100</v>
      </c>
      <c r="V14" s="1227" t="s">
        <v>1152</v>
      </c>
      <c r="W14" s="1228">
        <f t="shared" si="2"/>
        <v>100</v>
      </c>
      <c r="X14" s="1222"/>
      <c r="Y14" s="3290"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291"/>
      <c r="Q15" s="625"/>
      <c r="R15" s="1227"/>
      <c r="S15" s="1228"/>
      <c r="T15" s="1227"/>
      <c r="U15" s="1228"/>
      <c r="V15" s="1227"/>
      <c r="W15" s="1228"/>
      <c r="X15" s="1222"/>
      <c r="Y15" s="3291"/>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291"/>
      <c r="Q16" s="625" t="str">
        <f>B16</f>
        <v>公共配套设施</v>
      </c>
      <c r="R16" s="1227" t="s">
        <v>1152</v>
      </c>
      <c r="S16" s="1228">
        <f>F16</f>
        <v>100</v>
      </c>
      <c r="T16" s="1227" t="s">
        <v>1152</v>
      </c>
      <c r="U16" s="1228">
        <f>H16</f>
        <v>100</v>
      </c>
      <c r="V16" s="1227" t="s">
        <v>1152</v>
      </c>
      <c r="W16" s="1228">
        <f>J16</f>
        <v>100</v>
      </c>
      <c r="X16" s="1222"/>
      <c r="Y16" s="3291"/>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291"/>
      <c r="Q17" s="625"/>
      <c r="R17" s="1227"/>
      <c r="S17" s="1228"/>
      <c r="T17" s="1227"/>
      <c r="U17" s="1228"/>
      <c r="V17" s="1227"/>
      <c r="W17" s="1228"/>
      <c r="X17" s="1222"/>
      <c r="Y17" s="3291"/>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291"/>
      <c r="Q18" s="625" t="str">
        <f>B18</f>
        <v>基础设施水平</v>
      </c>
      <c r="R18" s="1227" t="s">
        <v>1152</v>
      </c>
      <c r="S18" s="1228">
        <f>F18</f>
        <v>100</v>
      </c>
      <c r="T18" s="1227" t="s">
        <v>1152</v>
      </c>
      <c r="U18" s="1228">
        <f>H18</f>
        <v>100</v>
      </c>
      <c r="V18" s="1227" t="s">
        <v>1152</v>
      </c>
      <c r="W18" s="1228">
        <f>J18</f>
        <v>100</v>
      </c>
      <c r="X18" s="1222"/>
      <c r="Y18" s="3291"/>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291"/>
      <c r="Q19" s="625"/>
      <c r="R19" s="1227"/>
      <c r="S19" s="1228"/>
      <c r="T19" s="1227"/>
      <c r="U19" s="1228"/>
      <c r="V19" s="1227"/>
      <c r="W19" s="1228"/>
      <c r="X19" s="1222"/>
      <c r="Y19" s="3291"/>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291"/>
      <c r="Q20" s="625" t="str">
        <f>B20</f>
        <v>自然及人文环境</v>
      </c>
      <c r="R20" s="1227" t="s">
        <v>1152</v>
      </c>
      <c r="S20" s="1228">
        <f>F20</f>
        <v>100</v>
      </c>
      <c r="T20" s="1227" t="s">
        <v>1152</v>
      </c>
      <c r="U20" s="1228">
        <f>H20</f>
        <v>100</v>
      </c>
      <c r="V20" s="1227" t="s">
        <v>1152</v>
      </c>
      <c r="W20" s="1228">
        <f>J20</f>
        <v>100</v>
      </c>
      <c r="X20" s="1222"/>
      <c r="Y20" s="3291"/>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291"/>
      <c r="Q21" s="625"/>
      <c r="R21" s="1227"/>
      <c r="S21" s="1228"/>
      <c r="T21" s="1227"/>
      <c r="U21" s="1228"/>
      <c r="V21" s="1227"/>
      <c r="W21" s="1228"/>
      <c r="X21" s="1222"/>
      <c r="Y21" s="3291"/>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291"/>
      <c r="Q22" s="625" t="str">
        <f>B22</f>
        <v>楼层</v>
      </c>
      <c r="R22" s="1227" t="s">
        <v>1152</v>
      </c>
      <c r="S22" s="1228">
        <f>F22</f>
        <v>100</v>
      </c>
      <c r="T22" s="1227" t="s">
        <v>1152</v>
      </c>
      <c r="U22" s="1228">
        <f>H22</f>
        <v>100</v>
      </c>
      <c r="V22" s="1227" t="s">
        <v>1152</v>
      </c>
      <c r="W22" s="1228">
        <f>J22</f>
        <v>100</v>
      </c>
      <c r="X22" s="1222"/>
      <c r="Y22" s="3291"/>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291"/>
      <c r="Q23" s="625">
        <f>B23</f>
        <v>111</v>
      </c>
      <c r="R23" s="1227" t="s">
        <v>1152</v>
      </c>
      <c r="S23" s="1228">
        <f>F23</f>
        <v>100</v>
      </c>
      <c r="T23" s="1227" t="s">
        <v>1152</v>
      </c>
      <c r="U23" s="1228">
        <f>H23</f>
        <v>100</v>
      </c>
      <c r="V23" s="1227" t="s">
        <v>1152</v>
      </c>
      <c r="W23" s="1228">
        <f>J23</f>
        <v>100</v>
      </c>
      <c r="X23" s="1222"/>
      <c r="Y23" s="3291"/>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291"/>
      <c r="Q24" s="625">
        <f t="shared" ref="Q24:Q36" si="11">B24</f>
        <v>111</v>
      </c>
      <c r="R24" s="1227" t="s">
        <v>1152</v>
      </c>
      <c r="S24" s="1228">
        <f>F24</f>
        <v>100</v>
      </c>
      <c r="T24" s="1227" t="s">
        <v>1152</v>
      </c>
      <c r="U24" s="1228">
        <f>H24</f>
        <v>100</v>
      </c>
      <c r="V24" s="1227" t="s">
        <v>1152</v>
      </c>
      <c r="W24" s="1228">
        <f>J24</f>
        <v>100</v>
      </c>
      <c r="X24" s="1222"/>
      <c r="Y24" s="3291"/>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291"/>
      <c r="Q25" s="794">
        <f t="shared" si="11"/>
        <v>111</v>
      </c>
      <c r="R25" s="1223" t="s">
        <v>1152</v>
      </c>
      <c r="S25" s="1224">
        <f>F25</f>
        <v>100</v>
      </c>
      <c r="T25" s="1223" t="s">
        <v>1152</v>
      </c>
      <c r="U25" s="1224">
        <f>H25</f>
        <v>100</v>
      </c>
      <c r="V25" s="1223" t="s">
        <v>1152</v>
      </c>
      <c r="W25" s="1224">
        <f>J25</f>
        <v>100</v>
      </c>
      <c r="X25" s="1225"/>
      <c r="Y25" s="3291"/>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68"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295"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295"/>
      <c r="Q27" s="1417" t="str">
        <f t="shared" si="11"/>
        <v>项目停车位配比</v>
      </c>
      <c r="R27" s="1229" t="s">
        <v>1152</v>
      </c>
      <c r="S27" s="1230">
        <f t="shared" si="12"/>
        <v>100</v>
      </c>
      <c r="T27" s="1229" t="s">
        <v>1152</v>
      </c>
      <c r="U27" s="1230">
        <f t="shared" si="13"/>
        <v>100</v>
      </c>
      <c r="V27" s="1229" t="s">
        <v>1152</v>
      </c>
      <c r="W27" s="1230">
        <f t="shared" si="14"/>
        <v>100</v>
      </c>
      <c r="X27" s="1231"/>
      <c r="Y27" s="3295"/>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295"/>
      <c r="Q28" s="625" t="str">
        <f t="shared" si="11"/>
        <v>公共部分装修</v>
      </c>
      <c r="R28" s="1227" t="s">
        <v>1152</v>
      </c>
      <c r="S28" s="1228">
        <f t="shared" si="12"/>
        <v>100</v>
      </c>
      <c r="T28" s="1227" t="s">
        <v>1152</v>
      </c>
      <c r="U28" s="1228">
        <f t="shared" si="13"/>
        <v>100</v>
      </c>
      <c r="V28" s="1227" t="s">
        <v>1152</v>
      </c>
      <c r="W28" s="1228">
        <f t="shared" si="14"/>
        <v>100</v>
      </c>
      <c r="X28" s="1222"/>
      <c r="Y28" s="3295"/>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295"/>
      <c r="Q29" s="625" t="str">
        <f t="shared" si="11"/>
        <v>成新率</v>
      </c>
      <c r="R29" s="1227" t="s">
        <v>1152</v>
      </c>
      <c r="S29" s="1228" t="e">
        <f t="shared" si="12"/>
        <v>#N/A</v>
      </c>
      <c r="T29" s="1227" t="s">
        <v>1152</v>
      </c>
      <c r="U29" s="1228" t="e">
        <f t="shared" si="13"/>
        <v>#N/A</v>
      </c>
      <c r="V29" s="1227" t="s">
        <v>1152</v>
      </c>
      <c r="W29" s="1228" t="e">
        <f t="shared" si="14"/>
        <v>#N/A</v>
      </c>
      <c r="X29" s="1222"/>
      <c r="Y29" s="3295"/>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295"/>
      <c r="Q30" s="625" t="str">
        <f t="shared" si="11"/>
        <v>物业等级</v>
      </c>
      <c r="R30" s="1227" t="s">
        <v>1152</v>
      </c>
      <c r="S30" s="1228">
        <f t="shared" si="12"/>
        <v>100</v>
      </c>
      <c r="T30" s="1227" t="s">
        <v>1152</v>
      </c>
      <c r="U30" s="1228">
        <f t="shared" si="13"/>
        <v>100</v>
      </c>
      <c r="V30" s="1227" t="s">
        <v>1152</v>
      </c>
      <c r="W30" s="1228">
        <f t="shared" si="14"/>
        <v>100</v>
      </c>
      <c r="X30" s="1222"/>
      <c r="Y30" s="3295"/>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295"/>
      <c r="Q31" s="794" t="str">
        <f t="shared" si="11"/>
        <v>停车位面积</v>
      </c>
      <c r="R31" s="1223" t="s">
        <v>1152</v>
      </c>
      <c r="S31" s="1224" t="e">
        <f t="shared" si="12"/>
        <v>#N/A</v>
      </c>
      <c r="T31" s="1223" t="s">
        <v>1152</v>
      </c>
      <c r="U31" s="1224" t="e">
        <f t="shared" si="13"/>
        <v>#N/A</v>
      </c>
      <c r="V31" s="1223" t="s">
        <v>1152</v>
      </c>
      <c r="W31" s="1224" t="e">
        <f t="shared" si="14"/>
        <v>#N/A</v>
      </c>
      <c r="X31" s="1225"/>
      <c r="Y31" s="3295"/>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295" t="s">
        <v>1178</v>
      </c>
      <c r="Q32" s="625" t="str">
        <f t="shared" si="11"/>
        <v>车位类型</v>
      </c>
      <c r="R32" s="1227" t="s">
        <v>1152</v>
      </c>
      <c r="S32" s="1228">
        <f t="shared" si="12"/>
        <v>100</v>
      </c>
      <c r="T32" s="1227" t="s">
        <v>1152</v>
      </c>
      <c r="U32" s="1228">
        <f t="shared" si="13"/>
        <v>100</v>
      </c>
      <c r="V32" s="1227" t="s">
        <v>1152</v>
      </c>
      <c r="W32" s="1228">
        <f t="shared" si="14"/>
        <v>100</v>
      </c>
      <c r="X32" s="1222"/>
      <c r="Y32" s="3295"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295"/>
      <c r="Q33" s="625" t="str">
        <f t="shared" si="11"/>
        <v>是否直接入户</v>
      </c>
      <c r="R33" s="1227" t="s">
        <v>1152</v>
      </c>
      <c r="S33" s="1228">
        <f t="shared" si="12"/>
        <v>100</v>
      </c>
      <c r="T33" s="1227" t="s">
        <v>1152</v>
      </c>
      <c r="U33" s="1228">
        <f t="shared" si="13"/>
        <v>100</v>
      </c>
      <c r="V33" s="1227" t="s">
        <v>1152</v>
      </c>
      <c r="W33" s="1228">
        <f t="shared" si="14"/>
        <v>100</v>
      </c>
      <c r="X33" s="1222"/>
      <c r="Y33" s="3295"/>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295"/>
      <c r="Q34" s="625">
        <f t="shared" si="11"/>
        <v>111</v>
      </c>
      <c r="R34" s="1227" t="s">
        <v>1152</v>
      </c>
      <c r="S34" s="1228">
        <f t="shared" si="12"/>
        <v>100</v>
      </c>
      <c r="T34" s="1227" t="s">
        <v>1152</v>
      </c>
      <c r="U34" s="1228">
        <f t="shared" si="13"/>
        <v>100</v>
      </c>
      <c r="V34" s="1227" t="s">
        <v>1152</v>
      </c>
      <c r="W34" s="1228">
        <f t="shared" si="14"/>
        <v>100</v>
      </c>
      <c r="X34" s="1222"/>
      <c r="Y34" s="3295"/>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295"/>
      <c r="Q35" s="1417">
        <f t="shared" si="11"/>
        <v>111</v>
      </c>
      <c r="R35" s="1229" t="s">
        <v>1152</v>
      </c>
      <c r="S35" s="1230">
        <f t="shared" si="12"/>
        <v>100</v>
      </c>
      <c r="T35" s="1229" t="s">
        <v>1152</v>
      </c>
      <c r="U35" s="1230">
        <f t="shared" si="13"/>
        <v>100</v>
      </c>
      <c r="V35" s="1229" t="s">
        <v>1152</v>
      </c>
      <c r="W35" s="1230">
        <f t="shared" si="14"/>
        <v>100</v>
      </c>
      <c r="X35" s="1231"/>
      <c r="Y35" s="3295"/>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295"/>
      <c r="Q36" s="625">
        <f t="shared" si="11"/>
        <v>111</v>
      </c>
      <c r="R36" s="1227" t="s">
        <v>1152</v>
      </c>
      <c r="S36" s="1228">
        <f t="shared" si="12"/>
        <v>100</v>
      </c>
      <c r="T36" s="1227" t="s">
        <v>1152</v>
      </c>
      <c r="U36" s="1228">
        <f t="shared" si="13"/>
        <v>100</v>
      </c>
      <c r="V36" s="1227" t="s">
        <v>1152</v>
      </c>
      <c r="W36" s="1228">
        <f t="shared" si="14"/>
        <v>100</v>
      </c>
      <c r="X36" s="1222"/>
      <c r="Y36" s="3295"/>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283" t="str">
        <f>A37</f>
        <v>成交单价</v>
      </c>
      <c r="Q37" s="3283"/>
      <c r="R37" s="3284">
        <f>E37</f>
        <v>0</v>
      </c>
      <c r="S37" s="3284"/>
      <c r="T37" s="3284">
        <f>G37</f>
        <v>0</v>
      </c>
      <c r="U37" s="3284"/>
      <c r="V37" s="3284">
        <f>I37</f>
        <v>0</v>
      </c>
      <c r="W37" s="3284"/>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285" t="str">
        <f>A39</f>
        <v>估价对象XX用房的比较价值（楼面单价，元/平方米）</v>
      </c>
      <c r="Q39" s="3286"/>
      <c r="R39" s="3469" t="e">
        <f>IF(F1="售价",ROUND(IF(D38="简单平均",AVERAGE(R38:W38),R38*F38+T38*H38+V38*J38),0),ROUND(IF(D38="简单平均",AVERAGE(R38:V38),R38*F38+T38*H38+V38*J38),1))</f>
        <v>#DIV/0!</v>
      </c>
      <c r="S39" s="3469"/>
      <c r="T39" s="3469"/>
      <c r="U39" s="3469"/>
      <c r="V39" s="3469"/>
      <c r="W39" s="3469"/>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309" t="s">
        <v>1143</v>
      </c>
      <c r="AC4" s="3308" t="s">
        <v>1144</v>
      </c>
    </row>
    <row r="5" spans="1:29">
      <c r="A5" s="1031"/>
      <c r="B5" s="1032"/>
      <c r="C5" s="3430" t="s">
        <v>1147</v>
      </c>
      <c r="D5" s="3322"/>
      <c r="E5" s="3467" t="s">
        <v>1621</v>
      </c>
      <c r="F5" s="3324"/>
      <c r="G5" s="3430" t="s">
        <v>1622</v>
      </c>
      <c r="H5" s="3322"/>
      <c r="I5" s="3430" t="s">
        <v>1623</v>
      </c>
      <c r="J5" s="3322"/>
      <c r="K5" s="1173"/>
      <c r="L5" s="1174"/>
      <c r="M5" s="1124"/>
      <c r="N5" s="1124"/>
      <c r="O5" s="1124"/>
      <c r="P5" s="3317"/>
      <c r="Q5" s="3318"/>
      <c r="R5" s="3304"/>
      <c r="S5" s="3305"/>
      <c r="T5" s="3304"/>
      <c r="U5" s="3305"/>
      <c r="V5" s="3284"/>
      <c r="W5" s="3284"/>
      <c r="X5" s="1222"/>
      <c r="Y5" s="3304"/>
      <c r="Z5" s="3305"/>
      <c r="AA5" s="3309"/>
      <c r="AB5" s="3309"/>
      <c r="AC5" s="3309"/>
    </row>
    <row r="6" spans="1:29" ht="14.4">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297" t="s">
        <v>1151</v>
      </c>
      <c r="Q7" s="3298"/>
      <c r="R7" s="1223" t="s">
        <v>1152</v>
      </c>
      <c r="S7" s="1224">
        <f t="shared" ref="S7:S14" si="0">F7</f>
        <v>0</v>
      </c>
      <c r="T7" s="1223" t="s">
        <v>1152</v>
      </c>
      <c r="U7" s="1224">
        <f t="shared" ref="U7:U14" si="1">H7</f>
        <v>0</v>
      </c>
      <c r="V7" s="1223" t="s">
        <v>1152</v>
      </c>
      <c r="W7" s="1224">
        <f t="shared" ref="W7:W14" si="2">J7</f>
        <v>0</v>
      </c>
      <c r="X7" s="1225"/>
      <c r="Y7" s="3297" t="s">
        <v>1151</v>
      </c>
      <c r="Z7" s="3299"/>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297" t="s">
        <v>1155</v>
      </c>
      <c r="Q8" s="3299"/>
      <c r="R8" s="1223" t="s">
        <v>1152</v>
      </c>
      <c r="S8" s="1224">
        <f t="shared" si="0"/>
        <v>100</v>
      </c>
      <c r="T8" s="1223" t="s">
        <v>1152</v>
      </c>
      <c r="U8" s="1224">
        <f t="shared" si="1"/>
        <v>100</v>
      </c>
      <c r="V8" s="1223" t="s">
        <v>1152</v>
      </c>
      <c r="W8" s="1224">
        <f t="shared" si="2"/>
        <v>100</v>
      </c>
      <c r="X8" s="1225"/>
      <c r="Y8" s="3297" t="s">
        <v>1155</v>
      </c>
      <c r="Z8" s="3299"/>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283" t="s">
        <v>1158</v>
      </c>
      <c r="Q9" s="794" t="str">
        <f t="shared" ref="Q9:Q14" si="6">B9</f>
        <v>用途</v>
      </c>
      <c r="R9" s="1223" t="s">
        <v>1152</v>
      </c>
      <c r="S9" s="1224">
        <f t="shared" si="0"/>
        <v>100</v>
      </c>
      <c r="T9" s="1223" t="s">
        <v>1152</v>
      </c>
      <c r="U9" s="1224">
        <f t="shared" si="1"/>
        <v>100</v>
      </c>
      <c r="V9" s="1223" t="s">
        <v>1152</v>
      </c>
      <c r="W9" s="1224">
        <f t="shared" si="2"/>
        <v>100</v>
      </c>
      <c r="X9" s="1225"/>
      <c r="Y9" s="3301"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283"/>
      <c r="Q10" s="794" t="str">
        <f t="shared" si="6"/>
        <v>土地使用年限（年）</v>
      </c>
      <c r="R10" s="1223" t="s">
        <v>1152</v>
      </c>
      <c r="S10" s="1224">
        <f t="shared" si="0"/>
        <v>100</v>
      </c>
      <c r="T10" s="1223" t="s">
        <v>1152</v>
      </c>
      <c r="U10" s="1224">
        <f t="shared" si="1"/>
        <v>100</v>
      </c>
      <c r="V10" s="1223" t="s">
        <v>1152</v>
      </c>
      <c r="W10" s="1224">
        <f t="shared" si="2"/>
        <v>100</v>
      </c>
      <c r="X10" s="1225"/>
      <c r="Y10" s="3301"/>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283"/>
      <c r="Q11" s="794">
        <f t="shared" si="6"/>
        <v>111</v>
      </c>
      <c r="R11" s="1223" t="s">
        <v>1152</v>
      </c>
      <c r="S11" s="1224">
        <f t="shared" si="0"/>
        <v>100</v>
      </c>
      <c r="T11" s="1223" t="s">
        <v>1152</v>
      </c>
      <c r="U11" s="1224">
        <f t="shared" si="1"/>
        <v>100</v>
      </c>
      <c r="V11" s="1223" t="s">
        <v>1152</v>
      </c>
      <c r="W11" s="1224">
        <f t="shared" si="2"/>
        <v>100</v>
      </c>
      <c r="X11" s="1225"/>
      <c r="Y11" s="3301"/>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283"/>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283"/>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290" t="s">
        <v>1164</v>
      </c>
      <c r="Q14" s="625" t="str">
        <f t="shared" si="6"/>
        <v>交通便捷度</v>
      </c>
      <c r="R14" s="1227" t="s">
        <v>1152</v>
      </c>
      <c r="S14" s="1228">
        <f t="shared" si="0"/>
        <v>100</v>
      </c>
      <c r="T14" s="1227" t="s">
        <v>1152</v>
      </c>
      <c r="U14" s="1228">
        <f t="shared" si="1"/>
        <v>100</v>
      </c>
      <c r="V14" s="1227" t="s">
        <v>1152</v>
      </c>
      <c r="W14" s="1228">
        <f t="shared" si="2"/>
        <v>100</v>
      </c>
      <c r="X14" s="1222"/>
      <c r="Y14" s="3290"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291"/>
      <c r="Q15" s="625"/>
      <c r="R15" s="1227"/>
      <c r="S15" s="1228"/>
      <c r="T15" s="1227"/>
      <c r="U15" s="1228"/>
      <c r="V15" s="1227"/>
      <c r="W15" s="1228"/>
      <c r="X15" s="1222"/>
      <c r="Y15" s="3291"/>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291"/>
      <c r="Q16" s="625" t="str">
        <f>B16</f>
        <v>公共配套设施</v>
      </c>
      <c r="R16" s="1227" t="s">
        <v>1152</v>
      </c>
      <c r="S16" s="1228">
        <f>F16</f>
        <v>100</v>
      </c>
      <c r="T16" s="1227" t="s">
        <v>1152</v>
      </c>
      <c r="U16" s="1228">
        <f>H16</f>
        <v>100</v>
      </c>
      <c r="V16" s="1227" t="s">
        <v>1152</v>
      </c>
      <c r="W16" s="1228">
        <f>J16</f>
        <v>100</v>
      </c>
      <c r="X16" s="1222"/>
      <c r="Y16" s="3291"/>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291"/>
      <c r="Q17" s="625"/>
      <c r="R17" s="1227"/>
      <c r="S17" s="1228"/>
      <c r="T17" s="1227"/>
      <c r="U17" s="1228"/>
      <c r="V17" s="1227"/>
      <c r="W17" s="1228"/>
      <c r="X17" s="1222"/>
      <c r="Y17" s="3291"/>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291"/>
      <c r="Q18" s="625" t="str">
        <f>B18</f>
        <v>基础设施水平</v>
      </c>
      <c r="R18" s="1227" t="s">
        <v>1152</v>
      </c>
      <c r="S18" s="1228">
        <f>F18</f>
        <v>100</v>
      </c>
      <c r="T18" s="1227" t="s">
        <v>1152</v>
      </c>
      <c r="U18" s="1228">
        <f>H18</f>
        <v>100</v>
      </c>
      <c r="V18" s="1227" t="s">
        <v>1152</v>
      </c>
      <c r="W18" s="1228">
        <f>J18</f>
        <v>100</v>
      </c>
      <c r="X18" s="1222"/>
      <c r="Y18" s="3291"/>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291"/>
      <c r="Q19" s="625"/>
      <c r="R19" s="1227"/>
      <c r="S19" s="1228"/>
      <c r="T19" s="1227"/>
      <c r="U19" s="1228"/>
      <c r="V19" s="1227"/>
      <c r="W19" s="1228"/>
      <c r="X19" s="1222"/>
      <c r="Y19" s="3291"/>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291"/>
      <c r="Q20" s="625" t="str">
        <f>B20</f>
        <v>自然及人文环境</v>
      </c>
      <c r="R20" s="1227" t="s">
        <v>1152</v>
      </c>
      <c r="S20" s="1228">
        <f>F20</f>
        <v>100</v>
      </c>
      <c r="T20" s="1227" t="s">
        <v>1152</v>
      </c>
      <c r="U20" s="1228">
        <f>H20</f>
        <v>100</v>
      </c>
      <c r="V20" s="1227" t="s">
        <v>1152</v>
      </c>
      <c r="W20" s="1228">
        <f>J20</f>
        <v>100</v>
      </c>
      <c r="X20" s="1222"/>
      <c r="Y20" s="3291"/>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291"/>
      <c r="Q21" s="625"/>
      <c r="R21" s="1227"/>
      <c r="S21" s="1228"/>
      <c r="T21" s="1227"/>
      <c r="U21" s="1228"/>
      <c r="V21" s="1227"/>
      <c r="W21" s="1228"/>
      <c r="X21" s="1222"/>
      <c r="Y21" s="3291"/>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291"/>
      <c r="Q22" s="625" t="str">
        <f>B22</f>
        <v>楼层</v>
      </c>
      <c r="R22" s="1227" t="s">
        <v>1152</v>
      </c>
      <c r="S22" s="1228">
        <f>F22</f>
        <v>100</v>
      </c>
      <c r="T22" s="1227" t="s">
        <v>1152</v>
      </c>
      <c r="U22" s="1228">
        <f>H22</f>
        <v>100</v>
      </c>
      <c r="V22" s="1227" t="s">
        <v>1152</v>
      </c>
      <c r="W22" s="1228">
        <f>J22</f>
        <v>100</v>
      </c>
      <c r="X22" s="1222"/>
      <c r="Y22" s="3291"/>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291"/>
      <c r="Q23" s="625">
        <f>B23</f>
        <v>111</v>
      </c>
      <c r="R23" s="1227" t="s">
        <v>1152</v>
      </c>
      <c r="S23" s="1228">
        <f>F23</f>
        <v>100</v>
      </c>
      <c r="T23" s="1227" t="s">
        <v>1152</v>
      </c>
      <c r="U23" s="1228">
        <f>H23</f>
        <v>100</v>
      </c>
      <c r="V23" s="1227" t="s">
        <v>1152</v>
      </c>
      <c r="W23" s="1228">
        <f>J23</f>
        <v>100</v>
      </c>
      <c r="X23" s="1222"/>
      <c r="Y23" s="3291"/>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291"/>
      <c r="Q24" s="625">
        <f t="shared" ref="Q24:Q34" si="11">B24</f>
        <v>111</v>
      </c>
      <c r="R24" s="1227" t="s">
        <v>1152</v>
      </c>
      <c r="S24" s="1228">
        <f>F24</f>
        <v>100</v>
      </c>
      <c r="T24" s="1227" t="s">
        <v>1152</v>
      </c>
      <c r="U24" s="1228">
        <f>H24</f>
        <v>100</v>
      </c>
      <c r="V24" s="1227" t="s">
        <v>1152</v>
      </c>
      <c r="W24" s="1228">
        <f>J24</f>
        <v>100</v>
      </c>
      <c r="X24" s="1222"/>
      <c r="Y24" s="3291"/>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291"/>
      <c r="Q25" s="794">
        <f t="shared" si="11"/>
        <v>111</v>
      </c>
      <c r="R25" s="1223" t="s">
        <v>1152</v>
      </c>
      <c r="S25" s="1224">
        <f>F25</f>
        <v>100</v>
      </c>
      <c r="T25" s="1223" t="s">
        <v>1152</v>
      </c>
      <c r="U25" s="1224">
        <f>H25</f>
        <v>100</v>
      </c>
      <c r="V25" s="1223" t="s">
        <v>1152</v>
      </c>
      <c r="W25" s="1224">
        <f>J25</f>
        <v>100</v>
      </c>
      <c r="X25" s="1225"/>
      <c r="Y25" s="3291"/>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68"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295"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295"/>
      <c r="Q27" s="1417" t="str">
        <f t="shared" si="11"/>
        <v>成新率</v>
      </c>
      <c r="R27" s="1229" t="s">
        <v>1152</v>
      </c>
      <c r="S27" s="1230" t="e">
        <f t="shared" si="12"/>
        <v>#N/A</v>
      </c>
      <c r="T27" s="1229" t="s">
        <v>1152</v>
      </c>
      <c r="U27" s="1230" t="e">
        <f t="shared" si="13"/>
        <v>#N/A</v>
      </c>
      <c r="V27" s="1229" t="s">
        <v>1152</v>
      </c>
      <c r="W27" s="1230" t="e">
        <f t="shared" si="14"/>
        <v>#N/A</v>
      </c>
      <c r="X27" s="1231"/>
      <c r="Y27" s="3295"/>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295"/>
      <c r="Q28" s="625" t="str">
        <f t="shared" si="11"/>
        <v>物业等级</v>
      </c>
      <c r="R28" s="1227" t="s">
        <v>1152</v>
      </c>
      <c r="S28" s="1228">
        <f t="shared" si="12"/>
        <v>100</v>
      </c>
      <c r="T28" s="1227" t="s">
        <v>1152</v>
      </c>
      <c r="U28" s="1228">
        <f t="shared" si="13"/>
        <v>100</v>
      </c>
      <c r="V28" s="1227" t="s">
        <v>1152</v>
      </c>
      <c r="W28" s="1228">
        <f t="shared" si="14"/>
        <v>100</v>
      </c>
      <c r="X28" s="1222"/>
      <c r="Y28" s="3295"/>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295"/>
      <c r="Q29" s="625" t="str">
        <f t="shared" si="11"/>
        <v>有无电梯</v>
      </c>
      <c r="R29" s="1227" t="s">
        <v>1152</v>
      </c>
      <c r="S29" s="1228">
        <f t="shared" si="12"/>
        <v>100</v>
      </c>
      <c r="T29" s="1227" t="s">
        <v>1152</v>
      </c>
      <c r="U29" s="1228">
        <f t="shared" si="13"/>
        <v>100</v>
      </c>
      <c r="V29" s="1227" t="s">
        <v>1152</v>
      </c>
      <c r="W29" s="1228">
        <f t="shared" si="14"/>
        <v>100</v>
      </c>
      <c r="X29" s="1222"/>
      <c r="Y29" s="3295"/>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295"/>
      <c r="Q30" s="625" t="str">
        <f t="shared" si="11"/>
        <v>建筑面积</v>
      </c>
      <c r="R30" s="1227" t="s">
        <v>1152</v>
      </c>
      <c r="S30" s="1228" t="e">
        <f t="shared" si="12"/>
        <v>#N/A</v>
      </c>
      <c r="T30" s="1227" t="s">
        <v>1152</v>
      </c>
      <c r="U30" s="1228" t="e">
        <f t="shared" si="13"/>
        <v>#N/A</v>
      </c>
      <c r="V30" s="1227" t="s">
        <v>1152</v>
      </c>
      <c r="W30" s="1228" t="e">
        <f t="shared" si="14"/>
        <v>#N/A</v>
      </c>
      <c r="X30" s="1222"/>
      <c r="Y30" s="3295"/>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295"/>
      <c r="Q31" s="794" t="str">
        <f t="shared" si="11"/>
        <v>是否封闭</v>
      </c>
      <c r="R31" s="1223" t="s">
        <v>1152</v>
      </c>
      <c r="S31" s="1224">
        <f t="shared" si="12"/>
        <v>100</v>
      </c>
      <c r="T31" s="1223" t="s">
        <v>1152</v>
      </c>
      <c r="U31" s="1224">
        <f t="shared" si="13"/>
        <v>100</v>
      </c>
      <c r="V31" s="1223" t="s">
        <v>1152</v>
      </c>
      <c r="W31" s="1224">
        <f t="shared" si="14"/>
        <v>100</v>
      </c>
      <c r="X31" s="1225"/>
      <c r="Y31" s="3295"/>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295" t="s">
        <v>1178</v>
      </c>
      <c r="Q32" s="625">
        <f t="shared" si="11"/>
        <v>111</v>
      </c>
      <c r="R32" s="1227" t="s">
        <v>1152</v>
      </c>
      <c r="S32" s="1228">
        <f t="shared" si="12"/>
        <v>100</v>
      </c>
      <c r="T32" s="1227" t="s">
        <v>1152</v>
      </c>
      <c r="U32" s="1228">
        <f t="shared" si="13"/>
        <v>100</v>
      </c>
      <c r="V32" s="1227" t="s">
        <v>1152</v>
      </c>
      <c r="W32" s="1228">
        <f t="shared" si="14"/>
        <v>100</v>
      </c>
      <c r="X32" s="1222"/>
      <c r="Y32" s="3295"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295"/>
      <c r="Q33" s="625">
        <f t="shared" si="11"/>
        <v>111</v>
      </c>
      <c r="R33" s="1227" t="s">
        <v>1152</v>
      </c>
      <c r="S33" s="1228">
        <f t="shared" si="12"/>
        <v>100</v>
      </c>
      <c r="T33" s="1227" t="s">
        <v>1152</v>
      </c>
      <c r="U33" s="1228">
        <f t="shared" si="13"/>
        <v>100</v>
      </c>
      <c r="V33" s="1227" t="s">
        <v>1152</v>
      </c>
      <c r="W33" s="1228">
        <f t="shared" si="14"/>
        <v>100</v>
      </c>
      <c r="X33" s="1222"/>
      <c r="Y33" s="3295"/>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295"/>
      <c r="Q34" s="625">
        <f t="shared" si="11"/>
        <v>111</v>
      </c>
      <c r="R34" s="1227" t="s">
        <v>1152</v>
      </c>
      <c r="S34" s="1228">
        <f t="shared" si="12"/>
        <v>100</v>
      </c>
      <c r="T34" s="1227" t="s">
        <v>1152</v>
      </c>
      <c r="U34" s="1228">
        <f t="shared" si="13"/>
        <v>100</v>
      </c>
      <c r="V34" s="1227" t="s">
        <v>1152</v>
      </c>
      <c r="W34" s="1228">
        <f t="shared" si="14"/>
        <v>100</v>
      </c>
      <c r="X34" s="1222"/>
      <c r="Y34" s="3295"/>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283" t="str">
        <f>A35</f>
        <v>成交单价（元/平方米）</v>
      </c>
      <c r="Q35" s="3283"/>
      <c r="R35" s="3284">
        <f>E35</f>
        <v>0</v>
      </c>
      <c r="S35" s="3284"/>
      <c r="T35" s="3284">
        <f>G35</f>
        <v>0</v>
      </c>
      <c r="U35" s="3284"/>
      <c r="V35" s="3284">
        <f>I35</f>
        <v>0</v>
      </c>
      <c r="W35" s="3284"/>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285" t="str">
        <f>A37</f>
        <v>估价对象XX用房的比较价值（楼面单价，元/平方米）</v>
      </c>
      <c r="Q37" s="3286"/>
      <c r="R37" s="3469" t="e">
        <f>IF(F1="售价",ROUND(IF(D36="简单平均",AVERAGE(R36:W36),R36*F36+T36*H36+V36*J36),0),ROUND(IF(D36="简单平均",AVERAGE(R36:V36),R36*F36+T36*H36+V36*J36),1))</f>
        <v>#DIV/0!</v>
      </c>
      <c r="S37" s="3469"/>
      <c r="T37" s="3469"/>
      <c r="U37" s="3469"/>
      <c r="V37" s="3469"/>
      <c r="W37" s="3469"/>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309" t="s">
        <v>1143</v>
      </c>
      <c r="AC4" s="3308" t="s">
        <v>1144</v>
      </c>
    </row>
    <row r="5" spans="1:29">
      <c r="A5" s="1031"/>
      <c r="B5" s="1032"/>
      <c r="C5" s="3430" t="s">
        <v>1147</v>
      </c>
      <c r="D5" s="3322"/>
      <c r="E5" s="3467" t="s">
        <v>1621</v>
      </c>
      <c r="F5" s="3324"/>
      <c r="G5" s="3430" t="s">
        <v>1622</v>
      </c>
      <c r="H5" s="3322"/>
      <c r="I5" s="3430" t="s">
        <v>1623</v>
      </c>
      <c r="J5" s="3322"/>
      <c r="K5" s="1173"/>
      <c r="L5" s="1174"/>
      <c r="M5" s="1124"/>
      <c r="N5" s="1124"/>
      <c r="O5" s="1124"/>
      <c r="P5" s="3317"/>
      <c r="Q5" s="3318"/>
      <c r="R5" s="3304"/>
      <c r="S5" s="3305"/>
      <c r="T5" s="3304"/>
      <c r="U5" s="3305"/>
      <c r="V5" s="3284"/>
      <c r="W5" s="3284"/>
      <c r="X5" s="1222"/>
      <c r="Y5" s="3304"/>
      <c r="Z5" s="3305"/>
      <c r="AA5" s="3309"/>
      <c r="AB5" s="3309"/>
      <c r="AC5" s="3309"/>
    </row>
    <row r="6" spans="1:29" ht="14.4">
      <c r="A6" s="1033"/>
      <c r="B6" s="1034"/>
      <c r="C6" s="3325" t="s">
        <v>1148</v>
      </c>
      <c r="D6" s="3326"/>
      <c r="E6" s="3327" t="s">
        <v>1148</v>
      </c>
      <c r="F6" s="3328"/>
      <c r="G6" s="3325" t="s">
        <v>1148</v>
      </c>
      <c r="H6" s="3326"/>
      <c r="I6" s="3325" t="s">
        <v>1148</v>
      </c>
      <c r="J6" s="3326"/>
      <c r="K6" s="1173" t="s">
        <v>1149</v>
      </c>
      <c r="L6" s="1174"/>
      <c r="M6" s="1124"/>
      <c r="N6" s="1124"/>
      <c r="O6" s="1124"/>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297" t="s">
        <v>1151</v>
      </c>
      <c r="Q7" s="3298"/>
      <c r="R7" s="1223" t="s">
        <v>1152</v>
      </c>
      <c r="S7" s="1224">
        <f t="shared" ref="S7:S15" si="0">F7</f>
        <v>0</v>
      </c>
      <c r="T7" s="1223" t="s">
        <v>1152</v>
      </c>
      <c r="U7" s="1224">
        <f t="shared" ref="U7:U15" si="1">H7</f>
        <v>0</v>
      </c>
      <c r="V7" s="1223" t="s">
        <v>1152</v>
      </c>
      <c r="W7" s="1224">
        <f t="shared" ref="W7:W15" si="2">J7</f>
        <v>0</v>
      </c>
      <c r="X7" s="1225"/>
      <c r="Y7" s="3297" t="s">
        <v>1151</v>
      </c>
      <c r="Z7" s="3299"/>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297" t="s">
        <v>1155</v>
      </c>
      <c r="Q8" s="3299"/>
      <c r="R8" s="1223" t="s">
        <v>1152</v>
      </c>
      <c r="S8" s="1224">
        <f t="shared" si="0"/>
        <v>0</v>
      </c>
      <c r="T8" s="1223" t="s">
        <v>1152</v>
      </c>
      <c r="U8" s="1224">
        <f t="shared" si="1"/>
        <v>0</v>
      </c>
      <c r="V8" s="1223" t="s">
        <v>1152</v>
      </c>
      <c r="W8" s="1224">
        <f t="shared" si="2"/>
        <v>0</v>
      </c>
      <c r="X8" s="1225"/>
      <c r="Y8" s="3297" t="s">
        <v>1155</v>
      </c>
      <c r="Z8" s="3299"/>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283"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283"/>
      <c r="Q10" s="794" t="str">
        <f t="shared" si="6"/>
        <v>土地使用年限（年）</v>
      </c>
      <c r="R10" s="1223" t="s">
        <v>1152</v>
      </c>
      <c r="S10" s="1224">
        <f t="shared" si="0"/>
        <v>116</v>
      </c>
      <c r="T10" s="1223" t="s">
        <v>1152</v>
      </c>
      <c r="U10" s="1224">
        <f t="shared" si="1"/>
        <v>116</v>
      </c>
      <c r="V10" s="1223" t="s">
        <v>1152</v>
      </c>
      <c r="W10" s="1224">
        <f t="shared" si="2"/>
        <v>116</v>
      </c>
      <c r="X10" s="1225"/>
      <c r="Y10" s="3301"/>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283"/>
      <c r="Q11" s="794" t="str">
        <f t="shared" si="6"/>
        <v>容积率</v>
      </c>
      <c r="R11" s="1223" t="s">
        <v>1152</v>
      </c>
      <c r="S11" s="1224" t="e">
        <f t="shared" si="0"/>
        <v>#N/A</v>
      </c>
      <c r="T11" s="1223" t="s">
        <v>1152</v>
      </c>
      <c r="U11" s="1224" t="e">
        <f t="shared" si="1"/>
        <v>#N/A</v>
      </c>
      <c r="V11" s="1223" t="s">
        <v>1152</v>
      </c>
      <c r="W11" s="1224" t="e">
        <f t="shared" si="2"/>
        <v>#N/A</v>
      </c>
      <c r="X11" s="1225"/>
      <c r="Y11" s="3301"/>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283"/>
      <c r="Q12" s="794" t="str">
        <f t="shared" si="6"/>
        <v>配建</v>
      </c>
      <c r="R12" s="1223" t="s">
        <v>1152</v>
      </c>
      <c r="S12" s="1224">
        <f t="shared" si="0"/>
        <v>100</v>
      </c>
      <c r="T12" s="1223" t="s">
        <v>1152</v>
      </c>
      <c r="U12" s="1224">
        <f t="shared" si="1"/>
        <v>100</v>
      </c>
      <c r="V12" s="1223" t="s">
        <v>1152</v>
      </c>
      <c r="W12" s="1224">
        <f t="shared" si="2"/>
        <v>100</v>
      </c>
      <c r="X12" s="1225"/>
      <c r="Y12" s="3301"/>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283"/>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283"/>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290" t="s">
        <v>1164</v>
      </c>
      <c r="Q15" s="625" t="str">
        <f t="shared" si="6"/>
        <v>居住社区成熟度</v>
      </c>
      <c r="R15" s="1227" t="s">
        <v>1152</v>
      </c>
      <c r="S15" s="1228">
        <f t="shared" si="0"/>
        <v>100</v>
      </c>
      <c r="T15" s="1227" t="s">
        <v>1152</v>
      </c>
      <c r="U15" s="1228">
        <f t="shared" si="1"/>
        <v>100</v>
      </c>
      <c r="V15" s="1227" t="s">
        <v>1152</v>
      </c>
      <c r="W15" s="1228">
        <f t="shared" si="2"/>
        <v>100</v>
      </c>
      <c r="X15" s="1222"/>
      <c r="Y15" s="3290"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291"/>
      <c r="Q16" s="625"/>
      <c r="R16" s="1227"/>
      <c r="S16" s="1228"/>
      <c r="T16" s="1227"/>
      <c r="U16" s="1228"/>
      <c r="V16" s="1227"/>
      <c r="W16" s="1228"/>
      <c r="X16" s="1222"/>
      <c r="Y16" s="3291"/>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291"/>
      <c r="Q17" s="625" t="str">
        <f>B17</f>
        <v>商业繁华度</v>
      </c>
      <c r="R17" s="1227" t="s">
        <v>1152</v>
      </c>
      <c r="S17" s="1228">
        <f>F17</f>
        <v>100</v>
      </c>
      <c r="T17" s="1227" t="s">
        <v>1152</v>
      </c>
      <c r="U17" s="1228">
        <f>H17</f>
        <v>100</v>
      </c>
      <c r="V17" s="1227" t="s">
        <v>1152</v>
      </c>
      <c r="W17" s="1228">
        <f>J17</f>
        <v>100</v>
      </c>
      <c r="X17" s="1222"/>
      <c r="Y17" s="3291"/>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291"/>
      <c r="Q18" s="625"/>
      <c r="R18" s="1227"/>
      <c r="S18" s="1228"/>
      <c r="T18" s="1227"/>
      <c r="U18" s="1228"/>
      <c r="V18" s="1227"/>
      <c r="W18" s="1228"/>
      <c r="X18" s="1222"/>
      <c r="Y18" s="3291"/>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291"/>
      <c r="Q19" s="625" t="str">
        <f>B19</f>
        <v>办公集聚程度</v>
      </c>
      <c r="R19" s="1227" t="s">
        <v>1152</v>
      </c>
      <c r="S19" s="1228">
        <f>F19</f>
        <v>100</v>
      </c>
      <c r="T19" s="1227" t="s">
        <v>1152</v>
      </c>
      <c r="U19" s="1228">
        <f>H19</f>
        <v>100</v>
      </c>
      <c r="V19" s="1227" t="s">
        <v>1152</v>
      </c>
      <c r="W19" s="1228">
        <f>J19</f>
        <v>100</v>
      </c>
      <c r="X19" s="1222"/>
      <c r="Y19" s="3291"/>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291"/>
      <c r="Q20" s="625"/>
      <c r="R20" s="1227"/>
      <c r="S20" s="1228"/>
      <c r="T20" s="1227"/>
      <c r="U20" s="1228"/>
      <c r="V20" s="1227"/>
      <c r="W20" s="1228"/>
      <c r="X20" s="1222"/>
      <c r="Y20" s="3291"/>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291"/>
      <c r="Q21" s="625" t="str">
        <f>B21</f>
        <v>交通便捷度</v>
      </c>
      <c r="R21" s="1227" t="s">
        <v>1152</v>
      </c>
      <c r="S21" s="1228">
        <f>F21</f>
        <v>100</v>
      </c>
      <c r="T21" s="1227" t="s">
        <v>1152</v>
      </c>
      <c r="U21" s="1228">
        <f>H21</f>
        <v>100</v>
      </c>
      <c r="V21" s="1227" t="s">
        <v>1152</v>
      </c>
      <c r="W21" s="1228">
        <f>J21</f>
        <v>100</v>
      </c>
      <c r="X21" s="1222"/>
      <c r="Y21" s="3291"/>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291"/>
      <c r="Q22" s="625"/>
      <c r="R22" s="1227"/>
      <c r="S22" s="1228"/>
      <c r="T22" s="1227"/>
      <c r="U22" s="1228"/>
      <c r="V22" s="1227"/>
      <c r="W22" s="1228"/>
      <c r="X22" s="1222"/>
      <c r="Y22" s="3291"/>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291"/>
      <c r="Q23" s="625" t="str">
        <f t="shared" ref="Q23:Q38" si="8">B23</f>
        <v>区域土地利用方向</v>
      </c>
      <c r="R23" s="1227" t="s">
        <v>1152</v>
      </c>
      <c r="S23" s="1228">
        <f>F23</f>
        <v>100</v>
      </c>
      <c r="T23" s="1227" t="s">
        <v>1152</v>
      </c>
      <c r="U23" s="1228">
        <f>H23</f>
        <v>100</v>
      </c>
      <c r="V23" s="1227" t="s">
        <v>1152</v>
      </c>
      <c r="W23" s="1228">
        <f>J23</f>
        <v>100</v>
      </c>
      <c r="X23" s="1222"/>
      <c r="Y23" s="3291"/>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291"/>
      <c r="Q24" s="625"/>
      <c r="R24" s="1227"/>
      <c r="S24" s="1228"/>
      <c r="T24" s="1227"/>
      <c r="U24" s="1228"/>
      <c r="V24" s="1227"/>
      <c r="W24" s="1228"/>
      <c r="X24" s="1222"/>
      <c r="Y24" s="3291"/>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291"/>
      <c r="Q25" s="625" t="str">
        <f t="shared" si="8"/>
        <v>自然及人文环境状况</v>
      </c>
      <c r="R25" s="1227" t="s">
        <v>1152</v>
      </c>
      <c r="S25" s="1228">
        <f>F25</f>
        <v>100</v>
      </c>
      <c r="T25" s="1227" t="s">
        <v>1152</v>
      </c>
      <c r="U25" s="1228">
        <f>H25</f>
        <v>100</v>
      </c>
      <c r="V25" s="1227" t="s">
        <v>1152</v>
      </c>
      <c r="W25" s="1228">
        <f>J25</f>
        <v>100</v>
      </c>
      <c r="X25" s="1222"/>
      <c r="Y25" s="3291"/>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291"/>
      <c r="Q26" s="625"/>
      <c r="R26" s="1227"/>
      <c r="S26" s="1228"/>
      <c r="T26" s="1227"/>
      <c r="U26" s="1228"/>
      <c r="V26" s="1227"/>
      <c r="W26" s="1228"/>
      <c r="X26" s="1222"/>
      <c r="Y26" s="3291"/>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291"/>
      <c r="Q27" s="794" t="str">
        <f t="shared" si="8"/>
        <v>公共配套设施</v>
      </c>
      <c r="R27" s="1223" t="s">
        <v>1152</v>
      </c>
      <c r="S27" s="1224">
        <f>F27</f>
        <v>100</v>
      </c>
      <c r="T27" s="1223" t="s">
        <v>1152</v>
      </c>
      <c r="U27" s="1224">
        <f>H27</f>
        <v>100</v>
      </c>
      <c r="V27" s="1223" t="s">
        <v>1152</v>
      </c>
      <c r="W27" s="1224">
        <f>J27</f>
        <v>100</v>
      </c>
      <c r="X27" s="1225"/>
      <c r="Y27" s="3291"/>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291"/>
      <c r="Q28" s="794"/>
      <c r="R28" s="1223"/>
      <c r="S28" s="1224"/>
      <c r="T28" s="1223"/>
      <c r="U28" s="1224"/>
      <c r="V28" s="1223"/>
      <c r="W28" s="1224"/>
      <c r="X28" s="1225"/>
      <c r="Y28" s="3291"/>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291"/>
      <c r="Q29" s="794" t="str">
        <f t="shared" ref="Q29" si="9">B29</f>
        <v>基础设施水平</v>
      </c>
      <c r="R29" s="1223" t="s">
        <v>1152</v>
      </c>
      <c r="S29" s="1224">
        <f>F29</f>
        <v>100</v>
      </c>
      <c r="T29" s="1223" t="s">
        <v>1152</v>
      </c>
      <c r="U29" s="1224">
        <f>H29</f>
        <v>100</v>
      </c>
      <c r="V29" s="1223" t="s">
        <v>1152</v>
      </c>
      <c r="W29" s="1224">
        <f>J29</f>
        <v>100</v>
      </c>
      <c r="X29" s="1225"/>
      <c r="Y29" s="3291"/>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291"/>
      <c r="Q30" s="794"/>
      <c r="R30" s="1223"/>
      <c r="S30" s="1224"/>
      <c r="T30" s="1223"/>
      <c r="U30" s="1224"/>
      <c r="V30" s="1223"/>
      <c r="W30" s="1224"/>
      <c r="X30" s="1225"/>
      <c r="Y30" s="3291"/>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291"/>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291"/>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291"/>
      <c r="Q32" s="625" t="str">
        <f t="shared" si="8"/>
        <v>毗邻道路的类型与等级</v>
      </c>
      <c r="R32" s="1227" t="s">
        <v>1152</v>
      </c>
      <c r="S32" s="1228">
        <f t="shared" si="10"/>
        <v>100</v>
      </c>
      <c r="T32" s="1227" t="s">
        <v>1152</v>
      </c>
      <c r="U32" s="1228">
        <f t="shared" si="11"/>
        <v>100</v>
      </c>
      <c r="V32" s="1227" t="s">
        <v>1152</v>
      </c>
      <c r="W32" s="1228">
        <f t="shared" si="12"/>
        <v>100</v>
      </c>
      <c r="X32" s="1222"/>
      <c r="Y32" s="3291"/>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291"/>
      <c r="Q33" s="625"/>
      <c r="R33" s="1227"/>
      <c r="S33" s="1228"/>
      <c r="T33" s="1227"/>
      <c r="U33" s="1228"/>
      <c r="V33" s="1227"/>
      <c r="W33" s="1228"/>
      <c r="X33" s="1222"/>
      <c r="Y33" s="3291"/>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291"/>
      <c r="Q34" s="625" t="str">
        <f t="shared" si="8"/>
        <v>土地级别</v>
      </c>
      <c r="R34" s="1227" t="s">
        <v>1152</v>
      </c>
      <c r="S34" s="1228">
        <f t="shared" si="10"/>
        <v>100</v>
      </c>
      <c r="T34" s="1227" t="s">
        <v>1152</v>
      </c>
      <c r="U34" s="1228">
        <f t="shared" si="11"/>
        <v>100</v>
      </c>
      <c r="V34" s="1227" t="s">
        <v>1152</v>
      </c>
      <c r="W34" s="1228">
        <f t="shared" si="12"/>
        <v>100</v>
      </c>
      <c r="X34" s="1222"/>
      <c r="Y34" s="3291"/>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291"/>
      <c r="Q35" s="625">
        <f t="shared" si="8"/>
        <v>111</v>
      </c>
      <c r="R35" s="1227" t="s">
        <v>1152</v>
      </c>
      <c r="S35" s="1228">
        <f t="shared" si="10"/>
        <v>100</v>
      </c>
      <c r="T35" s="1227" t="s">
        <v>1152</v>
      </c>
      <c r="U35" s="1228">
        <f t="shared" si="11"/>
        <v>100</v>
      </c>
      <c r="V35" s="1227" t="s">
        <v>1152</v>
      </c>
      <c r="W35" s="1228">
        <f t="shared" si="12"/>
        <v>100</v>
      </c>
      <c r="X35" s="1222"/>
      <c r="Y35" s="3291"/>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68" t="s">
        <v>1178</v>
      </c>
      <c r="Q36" s="625">
        <f t="shared" si="8"/>
        <v>111</v>
      </c>
      <c r="R36" s="1227" t="s">
        <v>1152</v>
      </c>
      <c r="S36" s="1228">
        <f t="shared" si="10"/>
        <v>100</v>
      </c>
      <c r="T36" s="1227" t="s">
        <v>1152</v>
      </c>
      <c r="U36" s="1228">
        <f t="shared" si="11"/>
        <v>100</v>
      </c>
      <c r="V36" s="1227" t="s">
        <v>1152</v>
      </c>
      <c r="W36" s="1228">
        <f t="shared" si="12"/>
        <v>100</v>
      </c>
      <c r="X36" s="1222"/>
      <c r="Y36" s="3295"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295"/>
      <c r="Q37" s="625">
        <f t="shared" si="8"/>
        <v>111</v>
      </c>
      <c r="R37" s="1229" t="s">
        <v>1152</v>
      </c>
      <c r="S37" s="1230">
        <f t="shared" si="10"/>
        <v>100</v>
      </c>
      <c r="T37" s="1229" t="s">
        <v>1152</v>
      </c>
      <c r="U37" s="1230">
        <f t="shared" si="11"/>
        <v>100</v>
      </c>
      <c r="V37" s="1229" t="s">
        <v>1152</v>
      </c>
      <c r="W37" s="1230">
        <f t="shared" si="12"/>
        <v>100</v>
      </c>
      <c r="X37" s="1231"/>
      <c r="Y37" s="3295"/>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295"/>
      <c r="Q38" s="625" t="str">
        <f t="shared" si="8"/>
        <v>宗地面积</v>
      </c>
      <c r="R38" s="1227" t="s">
        <v>1152</v>
      </c>
      <c r="S38" s="1228" t="e">
        <f t="shared" si="10"/>
        <v>#N/A</v>
      </c>
      <c r="T38" s="1227" t="s">
        <v>1152</v>
      </c>
      <c r="U38" s="1228" t="e">
        <f t="shared" si="11"/>
        <v>#N/A</v>
      </c>
      <c r="V38" s="1227" t="s">
        <v>1152</v>
      </c>
      <c r="W38" s="1228" t="e">
        <f t="shared" si="12"/>
        <v>#N/A</v>
      </c>
      <c r="X38" s="1222"/>
      <c r="Y38" s="3295"/>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295"/>
      <c r="Q39" s="625" t="str">
        <f t="shared" ref="Q39:Q45" si="14">B39</f>
        <v>宗地形状</v>
      </c>
      <c r="R39" s="1227" t="s">
        <v>1152</v>
      </c>
      <c r="S39" s="1228">
        <f t="shared" si="10"/>
        <v>100</v>
      </c>
      <c r="T39" s="1227" t="s">
        <v>1152</v>
      </c>
      <c r="U39" s="1228">
        <f t="shared" si="11"/>
        <v>100</v>
      </c>
      <c r="V39" s="1227" t="s">
        <v>1152</v>
      </c>
      <c r="W39" s="1228">
        <f t="shared" si="12"/>
        <v>100</v>
      </c>
      <c r="X39" s="1222"/>
      <c r="Y39" s="3295"/>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295"/>
      <c r="Q40" s="625" t="str">
        <f t="shared" si="14"/>
        <v>临街宽度及深度</v>
      </c>
      <c r="R40" s="1227" t="s">
        <v>1152</v>
      </c>
      <c r="S40" s="1228">
        <f t="shared" si="10"/>
        <v>100</v>
      </c>
      <c r="T40" s="1227" t="s">
        <v>1152</v>
      </c>
      <c r="U40" s="1228">
        <f t="shared" si="11"/>
        <v>100</v>
      </c>
      <c r="V40" s="1227" t="s">
        <v>1152</v>
      </c>
      <c r="W40" s="1228">
        <f t="shared" si="12"/>
        <v>100</v>
      </c>
      <c r="X40" s="1222"/>
      <c r="Y40" s="3295"/>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295"/>
      <c r="Q41" s="625" t="str">
        <f t="shared" si="14"/>
        <v>宗地开发程度</v>
      </c>
      <c r="R41" s="1223" t="s">
        <v>1152</v>
      </c>
      <c r="S41" s="1224">
        <f t="shared" si="10"/>
        <v>100</v>
      </c>
      <c r="T41" s="1223" t="s">
        <v>1152</v>
      </c>
      <c r="U41" s="1224">
        <f t="shared" si="11"/>
        <v>100</v>
      </c>
      <c r="V41" s="1223" t="s">
        <v>1152</v>
      </c>
      <c r="W41" s="1224">
        <f t="shared" si="12"/>
        <v>100</v>
      </c>
      <c r="X41" s="1225"/>
      <c r="Y41" s="3295"/>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295" t="s">
        <v>1178</v>
      </c>
      <c r="Q42" s="625" t="str">
        <f t="shared" si="14"/>
        <v>工程地质条件</v>
      </c>
      <c r="R42" s="1227" t="s">
        <v>1152</v>
      </c>
      <c r="S42" s="1228">
        <f t="shared" si="10"/>
        <v>100</v>
      </c>
      <c r="T42" s="1227" t="s">
        <v>1152</v>
      </c>
      <c r="U42" s="1228">
        <f t="shared" si="11"/>
        <v>100</v>
      </c>
      <c r="V42" s="1227" t="s">
        <v>1152</v>
      </c>
      <c r="W42" s="1228">
        <f t="shared" si="12"/>
        <v>100</v>
      </c>
      <c r="X42" s="1222"/>
      <c r="Y42" s="3295"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295"/>
      <c r="Q43" s="625">
        <f t="shared" si="14"/>
        <v>111</v>
      </c>
      <c r="R43" s="1227" t="s">
        <v>1152</v>
      </c>
      <c r="S43" s="1228">
        <f t="shared" si="10"/>
        <v>100</v>
      </c>
      <c r="T43" s="1227" t="s">
        <v>1152</v>
      </c>
      <c r="U43" s="1228">
        <f t="shared" si="11"/>
        <v>100</v>
      </c>
      <c r="V43" s="1227" t="s">
        <v>1152</v>
      </c>
      <c r="W43" s="1228">
        <f t="shared" si="12"/>
        <v>100</v>
      </c>
      <c r="X43" s="1222"/>
      <c r="Y43" s="3295"/>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295"/>
      <c r="Q44" s="625">
        <f t="shared" si="14"/>
        <v>111</v>
      </c>
      <c r="R44" s="1227" t="s">
        <v>1152</v>
      </c>
      <c r="S44" s="1228">
        <f t="shared" si="10"/>
        <v>100</v>
      </c>
      <c r="T44" s="1227" t="s">
        <v>1152</v>
      </c>
      <c r="U44" s="1228">
        <f t="shared" si="11"/>
        <v>100</v>
      </c>
      <c r="V44" s="1227" t="s">
        <v>1152</v>
      </c>
      <c r="W44" s="1228">
        <f t="shared" si="12"/>
        <v>100</v>
      </c>
      <c r="X44" s="1222"/>
      <c r="Y44" s="3295"/>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295"/>
      <c r="Q45" s="625">
        <f t="shared" si="14"/>
        <v>111</v>
      </c>
      <c r="R45" s="1229" t="s">
        <v>1152</v>
      </c>
      <c r="S45" s="1230">
        <f t="shared" si="10"/>
        <v>100</v>
      </c>
      <c r="T45" s="1229" t="s">
        <v>1152</v>
      </c>
      <c r="U45" s="1230">
        <f t="shared" si="11"/>
        <v>100</v>
      </c>
      <c r="V45" s="1229" t="s">
        <v>1152</v>
      </c>
      <c r="W45" s="1230">
        <f t="shared" si="12"/>
        <v>100</v>
      </c>
      <c r="X45" s="1231"/>
      <c r="Y45" s="3295"/>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283" t="str">
        <f>A46</f>
        <v>成交单价</v>
      </c>
      <c r="Q46" s="3283"/>
      <c r="R46" s="3284">
        <f>E46</f>
        <v>0</v>
      </c>
      <c r="S46" s="3284"/>
      <c r="T46" s="3284">
        <f>G46</f>
        <v>0</v>
      </c>
      <c r="U46" s="3284"/>
      <c r="V46" s="3284">
        <f>I46</f>
        <v>0</v>
      </c>
      <c r="W46" s="3284"/>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283" t="str">
        <f>A47</f>
        <v>比较价值（元/平方米）</v>
      </c>
      <c r="Q47" s="3283"/>
      <c r="R47" s="3471" t="e">
        <f>ROUND(PRODUCT(R46,AA7:AA45),0)</f>
        <v>#DIV/0!</v>
      </c>
      <c r="S47" s="3471"/>
      <c r="T47" s="3471" t="e">
        <f>ROUND(PRODUCT(T46,AB7:AB45),0)</f>
        <v>#DIV/0!</v>
      </c>
      <c r="U47" s="3471"/>
      <c r="V47" s="3471" t="e">
        <f>ROUND(PRODUCT(V46,AC7:AC45),0)</f>
        <v>#DIV/0!</v>
      </c>
      <c r="W47" s="3471"/>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285" t="str">
        <f>A48</f>
        <v>估价对象XX用房的比较价值（楼面单价，元/平方米）</v>
      </c>
      <c r="Q48" s="3286"/>
      <c r="R48" s="3472" t="e">
        <f>ROUND(IF(D47="简单平均",AVERAGE(R47:W47),R47*F47+T47*H47+V47*J47),0)</f>
        <v>#DIV/0!</v>
      </c>
      <c r="S48" s="3472"/>
      <c r="T48" s="3472"/>
      <c r="U48" s="3472"/>
      <c r="V48" s="3472"/>
      <c r="W48" s="3472"/>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311" t="s">
        <v>1689</v>
      </c>
      <c r="H55" s="3470"/>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00"/>
      <c r="H56" s="3283"/>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11" t="s">
        <v>1141</v>
      </c>
      <c r="D4" s="3312"/>
      <c r="E4" s="3313" t="s">
        <v>1142</v>
      </c>
      <c r="F4" s="3314"/>
      <c r="G4" s="3311" t="s">
        <v>1143</v>
      </c>
      <c r="H4" s="3312"/>
      <c r="I4" s="3311" t="s">
        <v>1144</v>
      </c>
      <c r="J4" s="3312"/>
      <c r="K4" s="1173" t="s">
        <v>1145</v>
      </c>
      <c r="L4" s="1174"/>
      <c r="M4" s="1124"/>
      <c r="N4" s="1124"/>
      <c r="O4" s="1124"/>
      <c r="P4" s="3315" t="s">
        <v>1146</v>
      </c>
      <c r="Q4" s="3316"/>
      <c r="R4" s="3302" t="s">
        <v>1142</v>
      </c>
      <c r="S4" s="3303"/>
      <c r="T4" s="3302" t="s">
        <v>1143</v>
      </c>
      <c r="U4" s="3303"/>
      <c r="V4" s="3284" t="s">
        <v>1144</v>
      </c>
      <c r="W4" s="3284"/>
      <c r="X4" s="1222"/>
      <c r="Y4" s="3302" t="s">
        <v>1146</v>
      </c>
      <c r="Z4" s="3303"/>
      <c r="AA4" s="3308" t="s">
        <v>1142</v>
      </c>
      <c r="AB4" s="3309" t="s">
        <v>1143</v>
      </c>
      <c r="AC4" s="3308" t="s">
        <v>1144</v>
      </c>
    </row>
    <row r="5" spans="1:29">
      <c r="A5" s="1031"/>
      <c r="B5" s="1032"/>
      <c r="C5" s="3430" t="s">
        <v>1147</v>
      </c>
      <c r="D5" s="3322"/>
      <c r="E5" s="3467" t="s">
        <v>1621</v>
      </c>
      <c r="F5" s="3324"/>
      <c r="G5" s="3430" t="s">
        <v>1622</v>
      </c>
      <c r="H5" s="3322"/>
      <c r="I5" s="3430" t="s">
        <v>1623</v>
      </c>
      <c r="J5" s="3322"/>
      <c r="K5" s="1173"/>
      <c r="L5" s="1174"/>
      <c r="M5" s="1124"/>
      <c r="N5" s="1124"/>
      <c r="O5" s="1124"/>
      <c r="P5" s="3317"/>
      <c r="Q5" s="3318"/>
      <c r="R5" s="3304"/>
      <c r="S5" s="3305"/>
      <c r="T5" s="3304"/>
      <c r="U5" s="3305"/>
      <c r="V5" s="3284"/>
      <c r="W5" s="3284"/>
      <c r="X5" s="1222"/>
      <c r="Y5" s="3304"/>
      <c r="Z5" s="3305"/>
      <c r="AA5" s="3309"/>
      <c r="AB5" s="3309"/>
      <c r="AC5" s="3309"/>
    </row>
    <row r="6" spans="1:29" ht="14.4">
      <c r="A6" s="1033"/>
      <c r="B6" s="1034"/>
      <c r="C6" s="3473" t="s">
        <v>1713</v>
      </c>
      <c r="D6" s="3474"/>
      <c r="E6" s="3475" t="s">
        <v>1713</v>
      </c>
      <c r="F6" s="3476"/>
      <c r="G6" s="3473" t="s">
        <v>1713</v>
      </c>
      <c r="H6" s="3474"/>
      <c r="I6" s="3473" t="s">
        <v>1713</v>
      </c>
      <c r="J6" s="3474"/>
      <c r="K6" s="1173" t="s">
        <v>1149</v>
      </c>
      <c r="L6" s="1174"/>
      <c r="M6" s="1124"/>
      <c r="N6" s="1124"/>
      <c r="O6" s="1124"/>
      <c r="P6" s="3319"/>
      <c r="Q6" s="3320"/>
      <c r="R6" s="3304"/>
      <c r="S6" s="3305"/>
      <c r="T6" s="3306"/>
      <c r="U6" s="3307"/>
      <c r="V6" s="3284"/>
      <c r="W6" s="3284"/>
      <c r="X6" s="1222"/>
      <c r="Y6" s="3306"/>
      <c r="Z6" s="3307"/>
      <c r="AA6" s="3310"/>
      <c r="AB6" s="3310"/>
      <c r="AC6" s="3310"/>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297" t="s">
        <v>1151</v>
      </c>
      <c r="Q7" s="3298"/>
      <c r="R7" s="1223" t="s">
        <v>1152</v>
      </c>
      <c r="S7" s="1224">
        <f t="shared" ref="S7:S15" si="0">F7</f>
        <v>0</v>
      </c>
      <c r="T7" s="1223" t="s">
        <v>1152</v>
      </c>
      <c r="U7" s="1224">
        <f t="shared" ref="U7:U15" si="1">H7</f>
        <v>0</v>
      </c>
      <c r="V7" s="1223" t="s">
        <v>1152</v>
      </c>
      <c r="W7" s="1224">
        <f t="shared" ref="W7:W15" si="2">J7</f>
        <v>0</v>
      </c>
      <c r="X7" s="1225"/>
      <c r="Y7" s="3297" t="s">
        <v>1151</v>
      </c>
      <c r="Z7" s="3299"/>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297" t="s">
        <v>1155</v>
      </c>
      <c r="Q8" s="3299"/>
      <c r="R8" s="1223" t="s">
        <v>1152</v>
      </c>
      <c r="S8" s="1224">
        <f t="shared" si="0"/>
        <v>0</v>
      </c>
      <c r="T8" s="1223" t="s">
        <v>1152</v>
      </c>
      <c r="U8" s="1224">
        <f t="shared" si="1"/>
        <v>0</v>
      </c>
      <c r="V8" s="1223" t="s">
        <v>1152</v>
      </c>
      <c r="W8" s="1224">
        <f t="shared" si="2"/>
        <v>0</v>
      </c>
      <c r="X8" s="1225"/>
      <c r="Y8" s="3297" t="s">
        <v>1155</v>
      </c>
      <c r="Z8" s="3299"/>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283" t="s">
        <v>1158</v>
      </c>
      <c r="Q9" s="794" t="str">
        <f t="shared" ref="Q9:Q15" si="6">B9</f>
        <v>用途</v>
      </c>
      <c r="R9" s="1223" t="s">
        <v>1152</v>
      </c>
      <c r="S9" s="1224">
        <f t="shared" si="0"/>
        <v>100</v>
      </c>
      <c r="T9" s="1223" t="s">
        <v>1152</v>
      </c>
      <c r="U9" s="1224">
        <f t="shared" si="1"/>
        <v>100</v>
      </c>
      <c r="V9" s="1223" t="s">
        <v>1152</v>
      </c>
      <c r="W9" s="1224">
        <f t="shared" si="2"/>
        <v>100</v>
      </c>
      <c r="X9" s="1225"/>
      <c r="Y9" s="3301"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283"/>
      <c r="Q10" s="794" t="str">
        <f t="shared" si="6"/>
        <v>土地使用年限（年）</v>
      </c>
      <c r="R10" s="1223" t="s">
        <v>1152</v>
      </c>
      <c r="S10" s="1224">
        <f t="shared" si="0"/>
        <v>116</v>
      </c>
      <c r="T10" s="1223" t="s">
        <v>1152</v>
      </c>
      <c r="U10" s="1224">
        <f t="shared" si="1"/>
        <v>116</v>
      </c>
      <c r="V10" s="1223" t="s">
        <v>1152</v>
      </c>
      <c r="W10" s="1224">
        <f t="shared" si="2"/>
        <v>116</v>
      </c>
      <c r="X10" s="1225"/>
      <c r="Y10" s="3301"/>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283"/>
      <c r="Q11" s="794" t="str">
        <f t="shared" si="6"/>
        <v>容积率</v>
      </c>
      <c r="R11" s="1223" t="s">
        <v>1152</v>
      </c>
      <c r="S11" s="1224" t="e">
        <f t="shared" si="0"/>
        <v>#N/A</v>
      </c>
      <c r="T11" s="1223" t="s">
        <v>1152</v>
      </c>
      <c r="U11" s="1224" t="e">
        <f t="shared" si="1"/>
        <v>#N/A</v>
      </c>
      <c r="V11" s="1223" t="s">
        <v>1152</v>
      </c>
      <c r="W11" s="1224" t="e">
        <f t="shared" si="2"/>
        <v>#N/A</v>
      </c>
      <c r="X11" s="1225"/>
      <c r="Y11" s="3301"/>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283"/>
      <c r="Q12" s="794">
        <f t="shared" si="6"/>
        <v>111</v>
      </c>
      <c r="R12" s="1223" t="s">
        <v>1152</v>
      </c>
      <c r="S12" s="1224">
        <f t="shared" si="0"/>
        <v>100</v>
      </c>
      <c r="T12" s="1223" t="s">
        <v>1152</v>
      </c>
      <c r="U12" s="1224">
        <f t="shared" si="1"/>
        <v>100</v>
      </c>
      <c r="V12" s="1223" t="s">
        <v>1152</v>
      </c>
      <c r="W12" s="1224">
        <f t="shared" si="2"/>
        <v>100</v>
      </c>
      <c r="X12" s="1225"/>
      <c r="Y12" s="3301"/>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283"/>
      <c r="Q13" s="794">
        <f t="shared" si="6"/>
        <v>111</v>
      </c>
      <c r="R13" s="1223" t="s">
        <v>1152</v>
      </c>
      <c r="S13" s="1224">
        <f t="shared" si="0"/>
        <v>100</v>
      </c>
      <c r="T13" s="1223" t="s">
        <v>1152</v>
      </c>
      <c r="U13" s="1224">
        <f t="shared" si="1"/>
        <v>100</v>
      </c>
      <c r="V13" s="1223" t="s">
        <v>1152</v>
      </c>
      <c r="W13" s="1224">
        <f t="shared" si="2"/>
        <v>100</v>
      </c>
      <c r="X13" s="1225"/>
      <c r="Y13" s="3301"/>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283"/>
      <c r="Q14" s="794">
        <f t="shared" si="6"/>
        <v>111</v>
      </c>
      <c r="R14" s="1223" t="s">
        <v>1152</v>
      </c>
      <c r="S14" s="1224">
        <f t="shared" si="0"/>
        <v>100</v>
      </c>
      <c r="T14" s="1223" t="s">
        <v>1152</v>
      </c>
      <c r="U14" s="1224">
        <f t="shared" si="1"/>
        <v>100</v>
      </c>
      <c r="V14" s="1223" t="s">
        <v>1152</v>
      </c>
      <c r="W14" s="1224">
        <f t="shared" si="2"/>
        <v>100</v>
      </c>
      <c r="X14" s="1225"/>
      <c r="Y14" s="3301"/>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290" t="s">
        <v>1164</v>
      </c>
      <c r="Q15" s="625" t="str">
        <f t="shared" si="6"/>
        <v>产业集聚程度</v>
      </c>
      <c r="R15" s="1227" t="s">
        <v>1152</v>
      </c>
      <c r="S15" s="1228">
        <f t="shared" si="0"/>
        <v>100</v>
      </c>
      <c r="T15" s="1227" t="s">
        <v>1152</v>
      </c>
      <c r="U15" s="1228">
        <f t="shared" si="1"/>
        <v>100</v>
      </c>
      <c r="V15" s="1227" t="s">
        <v>1152</v>
      </c>
      <c r="W15" s="1228">
        <f t="shared" si="2"/>
        <v>100</v>
      </c>
      <c r="X15" s="1222"/>
      <c r="Y15" s="3290"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291"/>
      <c r="Q16" s="625"/>
      <c r="R16" s="1227"/>
      <c r="S16" s="1228"/>
      <c r="T16" s="1227"/>
      <c r="U16" s="1228"/>
      <c r="V16" s="1227"/>
      <c r="W16" s="1228"/>
      <c r="X16" s="1222"/>
      <c r="Y16" s="3291"/>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291"/>
      <c r="Q17" s="625" t="str">
        <f>B17</f>
        <v>交通便捷度</v>
      </c>
      <c r="R17" s="1227" t="s">
        <v>1152</v>
      </c>
      <c r="S17" s="1228">
        <f>F17</f>
        <v>100</v>
      </c>
      <c r="T17" s="1227" t="s">
        <v>1152</v>
      </c>
      <c r="U17" s="1228">
        <f>H17</f>
        <v>100</v>
      </c>
      <c r="V17" s="1227" t="s">
        <v>1152</v>
      </c>
      <c r="W17" s="1228">
        <f>J17</f>
        <v>100</v>
      </c>
      <c r="X17" s="1222"/>
      <c r="Y17" s="3291"/>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291"/>
      <c r="Q18" s="625"/>
      <c r="R18" s="1227"/>
      <c r="S18" s="1228"/>
      <c r="T18" s="1227"/>
      <c r="U18" s="1228"/>
      <c r="V18" s="1227"/>
      <c r="W18" s="1228"/>
      <c r="X18" s="1222"/>
      <c r="Y18" s="3291"/>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291"/>
      <c r="Q19" s="625" t="str">
        <f t="shared" ref="Q19:Q34" si="8">B19</f>
        <v>区域土地利用方向</v>
      </c>
      <c r="R19" s="1227" t="s">
        <v>1152</v>
      </c>
      <c r="S19" s="1228">
        <f>F19</f>
        <v>100</v>
      </c>
      <c r="T19" s="1227" t="s">
        <v>1152</v>
      </c>
      <c r="U19" s="1228">
        <f>H19</f>
        <v>100</v>
      </c>
      <c r="V19" s="1227" t="s">
        <v>1152</v>
      </c>
      <c r="W19" s="1228">
        <f>J19</f>
        <v>100</v>
      </c>
      <c r="X19" s="1222"/>
      <c r="Y19" s="3291"/>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291"/>
      <c r="Q20" s="625"/>
      <c r="R20" s="1227"/>
      <c r="S20" s="1228"/>
      <c r="T20" s="1227"/>
      <c r="U20" s="1228"/>
      <c r="V20" s="1227"/>
      <c r="W20" s="1228"/>
      <c r="X20" s="1222"/>
      <c r="Y20" s="3291"/>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291"/>
      <c r="Q21" s="625" t="str">
        <f t="shared" si="8"/>
        <v>环境状况</v>
      </c>
      <c r="R21" s="1227" t="s">
        <v>1152</v>
      </c>
      <c r="S21" s="1228">
        <f>F21</f>
        <v>100</v>
      </c>
      <c r="T21" s="1227" t="s">
        <v>1152</v>
      </c>
      <c r="U21" s="1228">
        <f>H21</f>
        <v>100</v>
      </c>
      <c r="V21" s="1227" t="s">
        <v>1152</v>
      </c>
      <c r="W21" s="1228">
        <f>J21</f>
        <v>100</v>
      </c>
      <c r="X21" s="1222"/>
      <c r="Y21" s="3291"/>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291"/>
      <c r="Q22" s="625"/>
      <c r="R22" s="1227"/>
      <c r="S22" s="1228"/>
      <c r="T22" s="1227"/>
      <c r="U22" s="1228"/>
      <c r="V22" s="1227"/>
      <c r="W22" s="1228"/>
      <c r="X22" s="1222"/>
      <c r="Y22" s="3291"/>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291"/>
      <c r="Q23" s="794" t="str">
        <f t="shared" si="8"/>
        <v>公共配套设施</v>
      </c>
      <c r="R23" s="1223" t="s">
        <v>1152</v>
      </c>
      <c r="S23" s="1224">
        <f>F23</f>
        <v>100</v>
      </c>
      <c r="T23" s="1223" t="s">
        <v>1152</v>
      </c>
      <c r="U23" s="1224">
        <f>H23</f>
        <v>100</v>
      </c>
      <c r="V23" s="1223" t="s">
        <v>1152</v>
      </c>
      <c r="W23" s="1224">
        <f>J23</f>
        <v>100</v>
      </c>
      <c r="X23" s="1225"/>
      <c r="Y23" s="3291"/>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291"/>
      <c r="Q24" s="794"/>
      <c r="R24" s="1223"/>
      <c r="S24" s="1224"/>
      <c r="T24" s="1223"/>
      <c r="U24" s="1224"/>
      <c r="V24" s="1223"/>
      <c r="W24" s="1224"/>
      <c r="X24" s="1225"/>
      <c r="Y24" s="3291"/>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291"/>
      <c r="Q25" s="794" t="str">
        <f t="shared" ref="Q25" si="9">B25</f>
        <v>基础设施水平</v>
      </c>
      <c r="R25" s="1223" t="s">
        <v>1152</v>
      </c>
      <c r="S25" s="1224">
        <f>F25</f>
        <v>100</v>
      </c>
      <c r="T25" s="1223" t="s">
        <v>1152</v>
      </c>
      <c r="U25" s="1224">
        <f>H25</f>
        <v>100</v>
      </c>
      <c r="V25" s="1223" t="s">
        <v>1152</v>
      </c>
      <c r="W25" s="1224">
        <f>J25</f>
        <v>100</v>
      </c>
      <c r="X25" s="1225"/>
      <c r="Y25" s="3291"/>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291"/>
      <c r="Q26" s="794"/>
      <c r="R26" s="1223"/>
      <c r="S26" s="1224"/>
      <c r="T26" s="1223"/>
      <c r="U26" s="1224"/>
      <c r="V26" s="1223"/>
      <c r="W26" s="1224"/>
      <c r="X26" s="1225"/>
      <c r="Y26" s="3291"/>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291"/>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291"/>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291"/>
      <c r="Q28" s="625" t="str">
        <f t="shared" si="8"/>
        <v>毗邻道路的类型与等级</v>
      </c>
      <c r="R28" s="1227" t="s">
        <v>1152</v>
      </c>
      <c r="S28" s="1228">
        <f t="shared" si="10"/>
        <v>100</v>
      </c>
      <c r="T28" s="1227" t="s">
        <v>1152</v>
      </c>
      <c r="U28" s="1228">
        <f t="shared" si="11"/>
        <v>100</v>
      </c>
      <c r="V28" s="1227" t="s">
        <v>1152</v>
      </c>
      <c r="W28" s="1228">
        <f t="shared" si="12"/>
        <v>100</v>
      </c>
      <c r="X28" s="1222"/>
      <c r="Y28" s="3291"/>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291"/>
      <c r="Q29" s="625"/>
      <c r="R29" s="1227"/>
      <c r="S29" s="1228"/>
      <c r="T29" s="1227"/>
      <c r="U29" s="1228"/>
      <c r="V29" s="1227"/>
      <c r="W29" s="1228"/>
      <c r="X29" s="1222"/>
      <c r="Y29" s="3291"/>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291"/>
      <c r="Q30" s="625" t="str">
        <f t="shared" si="8"/>
        <v>土地级别</v>
      </c>
      <c r="R30" s="1227" t="s">
        <v>1152</v>
      </c>
      <c r="S30" s="1228">
        <f t="shared" si="10"/>
        <v>100</v>
      </c>
      <c r="T30" s="1227" t="s">
        <v>1152</v>
      </c>
      <c r="U30" s="1228">
        <f t="shared" si="11"/>
        <v>100</v>
      </c>
      <c r="V30" s="1227" t="s">
        <v>1152</v>
      </c>
      <c r="W30" s="1228">
        <f t="shared" si="12"/>
        <v>100</v>
      </c>
      <c r="X30" s="1222"/>
      <c r="Y30" s="3291"/>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291"/>
      <c r="Q31" s="625">
        <f t="shared" si="8"/>
        <v>111</v>
      </c>
      <c r="R31" s="1227" t="s">
        <v>1152</v>
      </c>
      <c r="S31" s="1228">
        <f t="shared" si="10"/>
        <v>100</v>
      </c>
      <c r="T31" s="1227" t="s">
        <v>1152</v>
      </c>
      <c r="U31" s="1228">
        <f t="shared" si="11"/>
        <v>100</v>
      </c>
      <c r="V31" s="1227" t="s">
        <v>1152</v>
      </c>
      <c r="W31" s="1228">
        <f t="shared" si="12"/>
        <v>100</v>
      </c>
      <c r="X31" s="1222"/>
      <c r="Y31" s="3291"/>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68" t="s">
        <v>1178</v>
      </c>
      <c r="Q32" s="625">
        <f t="shared" si="8"/>
        <v>111</v>
      </c>
      <c r="R32" s="1227" t="s">
        <v>1152</v>
      </c>
      <c r="S32" s="1228">
        <f t="shared" si="10"/>
        <v>100</v>
      </c>
      <c r="T32" s="1227" t="s">
        <v>1152</v>
      </c>
      <c r="U32" s="1228">
        <f t="shared" si="11"/>
        <v>100</v>
      </c>
      <c r="V32" s="1227" t="s">
        <v>1152</v>
      </c>
      <c r="W32" s="1228">
        <f t="shared" si="12"/>
        <v>100</v>
      </c>
      <c r="X32" s="1222"/>
      <c r="Y32" s="3295"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295"/>
      <c r="Q33" s="625">
        <f t="shared" si="8"/>
        <v>111</v>
      </c>
      <c r="R33" s="1229" t="s">
        <v>1152</v>
      </c>
      <c r="S33" s="1230">
        <f t="shared" si="10"/>
        <v>100</v>
      </c>
      <c r="T33" s="1229" t="s">
        <v>1152</v>
      </c>
      <c r="U33" s="1230">
        <f t="shared" si="11"/>
        <v>100</v>
      </c>
      <c r="V33" s="1229" t="s">
        <v>1152</v>
      </c>
      <c r="W33" s="1230">
        <f t="shared" si="12"/>
        <v>100</v>
      </c>
      <c r="X33" s="1231"/>
      <c r="Y33" s="3295"/>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295"/>
      <c r="Q34" s="625" t="str">
        <f t="shared" si="8"/>
        <v>宗地面积</v>
      </c>
      <c r="R34" s="1227" t="s">
        <v>1152</v>
      </c>
      <c r="S34" s="1228" t="e">
        <f t="shared" si="10"/>
        <v>#N/A</v>
      </c>
      <c r="T34" s="1227" t="s">
        <v>1152</v>
      </c>
      <c r="U34" s="1228" t="e">
        <f t="shared" si="11"/>
        <v>#N/A</v>
      </c>
      <c r="V34" s="1227" t="s">
        <v>1152</v>
      </c>
      <c r="W34" s="1228" t="e">
        <f t="shared" si="12"/>
        <v>#N/A</v>
      </c>
      <c r="X34" s="1222"/>
      <c r="Y34" s="3295"/>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295"/>
      <c r="Q35" s="625" t="str">
        <f t="shared" ref="Q35:Q40" si="14">B35</f>
        <v>宗地形状</v>
      </c>
      <c r="R35" s="1227" t="s">
        <v>1152</v>
      </c>
      <c r="S35" s="1228">
        <f t="shared" si="10"/>
        <v>100</v>
      </c>
      <c r="T35" s="1227" t="s">
        <v>1152</v>
      </c>
      <c r="U35" s="1228">
        <f t="shared" si="11"/>
        <v>100</v>
      </c>
      <c r="V35" s="1227" t="s">
        <v>1152</v>
      </c>
      <c r="W35" s="1228">
        <f t="shared" si="12"/>
        <v>100</v>
      </c>
      <c r="X35" s="1222"/>
      <c r="Y35" s="3295"/>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295"/>
      <c r="Q36" s="625" t="str">
        <f t="shared" si="14"/>
        <v>宗地开发程度</v>
      </c>
      <c r="R36" s="1223" t="s">
        <v>1152</v>
      </c>
      <c r="S36" s="1224">
        <f t="shared" si="10"/>
        <v>100</v>
      </c>
      <c r="T36" s="1223" t="s">
        <v>1152</v>
      </c>
      <c r="U36" s="1224">
        <f t="shared" si="11"/>
        <v>100</v>
      </c>
      <c r="V36" s="1223" t="s">
        <v>1152</v>
      </c>
      <c r="W36" s="1224">
        <f t="shared" si="12"/>
        <v>100</v>
      </c>
      <c r="X36" s="1225"/>
      <c r="Y36" s="3295"/>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295" t="s">
        <v>1178</v>
      </c>
      <c r="Q37" s="625" t="str">
        <f t="shared" si="14"/>
        <v>工程地质条件</v>
      </c>
      <c r="R37" s="1227" t="s">
        <v>1152</v>
      </c>
      <c r="S37" s="1228">
        <f t="shared" si="10"/>
        <v>100</v>
      </c>
      <c r="T37" s="1227" t="s">
        <v>1152</v>
      </c>
      <c r="U37" s="1228">
        <f t="shared" si="11"/>
        <v>100</v>
      </c>
      <c r="V37" s="1227" t="s">
        <v>1152</v>
      </c>
      <c r="W37" s="1228">
        <f t="shared" si="12"/>
        <v>100</v>
      </c>
      <c r="X37" s="1222"/>
      <c r="Y37" s="3295"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295"/>
      <c r="Q38" s="625">
        <f t="shared" si="14"/>
        <v>111</v>
      </c>
      <c r="R38" s="1227" t="s">
        <v>1152</v>
      </c>
      <c r="S38" s="1228">
        <f t="shared" si="10"/>
        <v>100</v>
      </c>
      <c r="T38" s="1227" t="s">
        <v>1152</v>
      </c>
      <c r="U38" s="1228">
        <f t="shared" si="11"/>
        <v>100</v>
      </c>
      <c r="V38" s="1227" t="s">
        <v>1152</v>
      </c>
      <c r="W38" s="1228">
        <f t="shared" si="12"/>
        <v>100</v>
      </c>
      <c r="X38" s="1222"/>
      <c r="Y38" s="3295"/>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295"/>
      <c r="Q39" s="625">
        <f t="shared" si="14"/>
        <v>111</v>
      </c>
      <c r="R39" s="1227" t="s">
        <v>1152</v>
      </c>
      <c r="S39" s="1228">
        <f t="shared" si="10"/>
        <v>100</v>
      </c>
      <c r="T39" s="1227" t="s">
        <v>1152</v>
      </c>
      <c r="U39" s="1228">
        <f t="shared" si="11"/>
        <v>100</v>
      </c>
      <c r="V39" s="1227" t="s">
        <v>1152</v>
      </c>
      <c r="W39" s="1228">
        <f t="shared" si="12"/>
        <v>100</v>
      </c>
      <c r="X39" s="1222"/>
      <c r="Y39" s="3295"/>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295"/>
      <c r="Q40" s="625">
        <f t="shared" si="14"/>
        <v>111</v>
      </c>
      <c r="R40" s="1229" t="s">
        <v>1152</v>
      </c>
      <c r="S40" s="1230">
        <f t="shared" si="10"/>
        <v>100</v>
      </c>
      <c r="T40" s="1229" t="s">
        <v>1152</v>
      </c>
      <c r="U40" s="1230">
        <f t="shared" si="11"/>
        <v>100</v>
      </c>
      <c r="V40" s="1229" t="s">
        <v>1152</v>
      </c>
      <c r="W40" s="1230">
        <f t="shared" si="12"/>
        <v>100</v>
      </c>
      <c r="X40" s="1231"/>
      <c r="Y40" s="3295"/>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283" t="str">
        <f>A41</f>
        <v>成交单价</v>
      </c>
      <c r="Q41" s="3283"/>
      <c r="R41" s="3284">
        <f>E41</f>
        <v>0</v>
      </c>
      <c r="S41" s="3284"/>
      <c r="T41" s="3284">
        <f>G41</f>
        <v>0</v>
      </c>
      <c r="U41" s="3284"/>
      <c r="V41" s="3284">
        <f>I41</f>
        <v>0</v>
      </c>
      <c r="W41" s="3284"/>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283" t="str">
        <f>A42</f>
        <v>比较价值（元/平方米）</v>
      </c>
      <c r="Q42" s="3283"/>
      <c r="R42" s="3471" t="e">
        <f>ROUND(PRODUCT(R41,AA7:AA40),0)</f>
        <v>#DIV/0!</v>
      </c>
      <c r="S42" s="3471"/>
      <c r="T42" s="3471" t="e">
        <f>ROUND(PRODUCT(T41,AB7:AB40),0)</f>
        <v>#DIV/0!</v>
      </c>
      <c r="U42" s="3471"/>
      <c r="V42" s="3471" t="e">
        <f>ROUND(PRODUCT(V41,AC7:AC40),0)</f>
        <v>#DIV/0!</v>
      </c>
      <c r="W42" s="3471"/>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285" t="str">
        <f>A43</f>
        <v>估价对象XX用房的比较价值（楼面单价，元/平方米）</v>
      </c>
      <c r="Q43" s="3286"/>
      <c r="R43" s="3472" t="e">
        <f>ROUND(IF(D42="简单平均",AVERAGE(R42:W42),R42*F42+T42*H42+V42*J42),0)</f>
        <v>#DIV/0!</v>
      </c>
      <c r="S43" s="3472"/>
      <c r="T43" s="3472"/>
      <c r="U43" s="3472"/>
      <c r="V43" s="3472"/>
      <c r="W43" s="3472"/>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311" t="s">
        <v>1689</v>
      </c>
      <c r="H50" s="3470"/>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00"/>
      <c r="H51" s="3283"/>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77" t="s">
        <v>1719</v>
      </c>
      <c r="D1" s="3478"/>
      <c r="E1" s="3478"/>
      <c r="F1" s="3478"/>
      <c r="G1" s="3478"/>
      <c r="H1" s="3478"/>
      <c r="I1" s="3478"/>
      <c r="J1" s="3478"/>
      <c r="K1" s="3478"/>
      <c r="L1" s="3478"/>
      <c r="M1" s="3478"/>
      <c r="N1" s="3478"/>
      <c r="O1" s="3478"/>
      <c r="P1" s="3478"/>
      <c r="Q1" s="3478"/>
      <c r="R1" s="3478"/>
      <c r="S1" s="3479"/>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80" t="s">
        <v>124</v>
      </c>
      <c r="D22" s="3481"/>
      <c r="E22" s="3481"/>
      <c r="F22" s="3481"/>
      <c r="G22" s="3481"/>
      <c r="H22" s="3481"/>
      <c r="I22" s="3481"/>
      <c r="J22" s="3481"/>
      <c r="K22" s="3481"/>
      <c r="L22" s="3481"/>
      <c r="M22" s="3481"/>
      <c r="N22" s="3481"/>
      <c r="O22" s="3481"/>
      <c r="P22" s="3481"/>
      <c r="Q22" s="3482"/>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83"/>
      <c r="B4" s="3484"/>
      <c r="C4" s="3484"/>
      <c r="D4" s="3485"/>
      <c r="E4" s="3485"/>
      <c r="F4" s="3485"/>
      <c r="G4" s="3485"/>
      <c r="H4" s="3485"/>
      <c r="I4" s="3485"/>
      <c r="J4" s="3486"/>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87" t="s">
        <v>1778</v>
      </c>
      <c r="X8" s="3488"/>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01"/>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01"/>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93" t="s">
        <v>1827</v>
      </c>
      <c r="B20" s="590" t="s">
        <v>1828</v>
      </c>
      <c r="C20" s="591">
        <f>ROUND(IF(F21="与级别开发程度一致",0,(G21-E21)/C21),0)</f>
        <v>-20</v>
      </c>
      <c r="D20" s="592" t="s">
        <v>1829</v>
      </c>
      <c r="E20" s="593"/>
      <c r="F20" s="3489" t="s">
        <v>1830</v>
      </c>
      <c r="G20" s="3490"/>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94"/>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95"/>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96"/>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96"/>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91" t="s">
        <v>1930</v>
      </c>
      <c r="B103" s="3491"/>
      <c r="C103" s="3491"/>
      <c r="D103" s="3491"/>
      <c r="E103" s="3491"/>
      <c r="F103" s="3491"/>
      <c r="G103" s="3491"/>
      <c r="H103" s="3491"/>
      <c r="I103" s="3491"/>
      <c r="J103" s="3491"/>
      <c r="K103" s="851"/>
      <c r="L103" s="851"/>
      <c r="M103" s="851"/>
      <c r="N103" s="851"/>
    </row>
    <row r="104" spans="1:14">
      <c r="A104" s="3497" t="s">
        <v>1931</v>
      </c>
      <c r="B104" s="3497" t="s">
        <v>1932</v>
      </c>
      <c r="C104" s="853" t="s">
        <v>1933</v>
      </c>
      <c r="D104" s="854"/>
      <c r="E104" s="854"/>
      <c r="F104" s="854"/>
      <c r="G104" s="854"/>
      <c r="H104" s="854"/>
      <c r="I104" s="854"/>
      <c r="J104" s="873"/>
      <c r="K104" s="874"/>
      <c r="L104" s="874"/>
      <c r="M104" s="874"/>
      <c r="N104" s="874"/>
    </row>
    <row r="105" spans="1:14">
      <c r="A105" s="3497"/>
      <c r="B105" s="3497"/>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498"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99"/>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99"/>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99"/>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99"/>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99"/>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00"/>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92" t="s">
        <v>1935</v>
      </c>
      <c r="B113" s="3492"/>
      <c r="C113" s="3492"/>
      <c r="D113" s="3492"/>
      <c r="E113" s="3492"/>
      <c r="F113" s="3492"/>
      <c r="G113" s="3492"/>
      <c r="H113" s="3492"/>
      <c r="I113" s="3492"/>
      <c r="J113" s="3492"/>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502" t="s">
        <v>229</v>
      </c>
      <c r="B20" s="3508" t="s">
        <v>1956</v>
      </c>
      <c r="C20" s="462" t="s">
        <v>244</v>
      </c>
      <c r="D20" s="462"/>
      <c r="E20" s="463">
        <v>1</v>
      </c>
      <c r="F20" s="464" t="s">
        <v>1957</v>
      </c>
      <c r="G20" s="464"/>
    </row>
    <row r="21" spans="1:13" ht="19.5" customHeight="1">
      <c r="A21" s="3503"/>
      <c r="B21" s="3509"/>
      <c r="C21" s="465" t="s">
        <v>259</v>
      </c>
      <c r="D21" s="465"/>
      <c r="E21" s="466">
        <v>1</v>
      </c>
      <c r="F21" s="464" t="s">
        <v>1958</v>
      </c>
      <c r="G21" s="464"/>
    </row>
    <row r="22" spans="1:13" ht="19.5" customHeight="1">
      <c r="A22" s="3503"/>
      <c r="B22" s="3509"/>
      <c r="C22" s="465" t="s">
        <v>270</v>
      </c>
      <c r="D22" s="465"/>
      <c r="E22" s="466">
        <v>0.9</v>
      </c>
      <c r="F22" s="464" t="s">
        <v>1959</v>
      </c>
      <c r="G22" s="464"/>
    </row>
    <row r="23" spans="1:13" ht="19.5" customHeight="1">
      <c r="A23" s="3503"/>
      <c r="B23" s="3509"/>
      <c r="C23" s="465" t="s">
        <v>281</v>
      </c>
      <c r="D23" s="465"/>
      <c r="E23" s="466">
        <v>0.9</v>
      </c>
      <c r="F23" s="464" t="s">
        <v>1960</v>
      </c>
      <c r="G23" s="464"/>
    </row>
    <row r="24" spans="1:13" ht="19.5" customHeight="1">
      <c r="A24" s="3503"/>
      <c r="B24" s="3509"/>
      <c r="C24" s="465" t="s">
        <v>290</v>
      </c>
      <c r="D24" s="465"/>
      <c r="E24" s="466">
        <v>0.8</v>
      </c>
      <c r="F24" s="464" t="s">
        <v>1961</v>
      </c>
      <c r="G24" s="464"/>
    </row>
    <row r="25" spans="1:13" ht="19.5" customHeight="1">
      <c r="A25" s="3503"/>
      <c r="B25" s="3509"/>
      <c r="C25" s="465" t="s">
        <v>298</v>
      </c>
      <c r="D25" s="465"/>
      <c r="E25" s="466">
        <v>0.8</v>
      </c>
      <c r="F25" s="464"/>
      <c r="G25" s="464"/>
    </row>
    <row r="26" spans="1:13" ht="19.5" customHeight="1">
      <c r="A26" s="3503"/>
      <c r="B26" s="3509"/>
      <c r="C26" s="465" t="s">
        <v>306</v>
      </c>
      <c r="D26" s="465"/>
      <c r="E26" s="466">
        <v>0.43</v>
      </c>
      <c r="F26" s="464"/>
      <c r="G26" s="464"/>
    </row>
    <row r="27" spans="1:13" ht="19.5" customHeight="1">
      <c r="A27" s="3504"/>
      <c r="B27" s="3510"/>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505" t="s">
        <v>231</v>
      </c>
      <c r="B29" s="3511" t="s">
        <v>231</v>
      </c>
      <c r="C29" s="474" t="s">
        <v>246</v>
      </c>
      <c r="D29" s="475"/>
      <c r="E29" s="463">
        <v>1</v>
      </c>
      <c r="F29" s="464" t="s">
        <v>1964</v>
      </c>
      <c r="G29" s="464"/>
    </row>
    <row r="30" spans="1:13" ht="19.5" customHeight="1">
      <c r="A30" s="3506"/>
      <c r="B30" s="3512"/>
      <c r="C30" s="476" t="s">
        <v>260</v>
      </c>
      <c r="D30" s="477"/>
      <c r="E30" s="466">
        <v>1</v>
      </c>
      <c r="F30" s="464" t="s">
        <v>1965</v>
      </c>
      <c r="G30" s="464"/>
    </row>
    <row r="31" spans="1:13" ht="19.5" customHeight="1">
      <c r="A31" s="3506"/>
      <c r="B31" s="3512"/>
      <c r="C31" s="476" t="s">
        <v>271</v>
      </c>
      <c r="D31" s="477"/>
      <c r="E31" s="466">
        <v>0.8</v>
      </c>
      <c r="F31" s="464" t="s">
        <v>1966</v>
      </c>
      <c r="G31" s="464"/>
    </row>
    <row r="32" spans="1:13" ht="19.5" customHeight="1">
      <c r="A32" s="3506"/>
      <c r="B32" s="3512"/>
      <c r="C32" s="476" t="s">
        <v>282</v>
      </c>
      <c r="D32" s="477"/>
      <c r="E32" s="466">
        <v>0.8</v>
      </c>
      <c r="F32" s="464" t="s">
        <v>1967</v>
      </c>
      <c r="G32" s="464"/>
    </row>
    <row r="33" spans="1:7" ht="19.5" customHeight="1">
      <c r="A33" s="3506"/>
      <c r="B33" s="3512"/>
      <c r="C33" s="476" t="s">
        <v>291</v>
      </c>
      <c r="D33" s="477"/>
      <c r="E33" s="466">
        <v>0.8</v>
      </c>
      <c r="F33" s="464" t="s">
        <v>1968</v>
      </c>
      <c r="G33" s="464"/>
    </row>
    <row r="34" spans="1:7" ht="19.5" customHeight="1">
      <c r="A34" s="3506"/>
      <c r="B34" s="3512"/>
      <c r="C34" s="476" t="s">
        <v>299</v>
      </c>
      <c r="D34" s="477"/>
      <c r="E34" s="466">
        <v>0.7</v>
      </c>
      <c r="F34" s="464" t="s">
        <v>1969</v>
      </c>
      <c r="G34" s="464"/>
    </row>
    <row r="35" spans="1:7" ht="19.5" customHeight="1">
      <c r="A35" s="3506"/>
      <c r="B35" s="3512"/>
      <c r="C35" s="476" t="s">
        <v>307</v>
      </c>
      <c r="D35" s="477"/>
      <c r="E35" s="466">
        <v>0.8</v>
      </c>
      <c r="F35" s="464" t="s">
        <v>1970</v>
      </c>
      <c r="G35" s="464"/>
    </row>
    <row r="36" spans="1:7" ht="19.5" customHeight="1">
      <c r="A36" s="3506"/>
      <c r="B36" s="3512"/>
      <c r="C36" s="476" t="s">
        <v>314</v>
      </c>
      <c r="D36" s="477"/>
      <c r="E36" s="466">
        <v>0.6</v>
      </c>
      <c r="F36" s="464" t="s">
        <v>1971</v>
      </c>
      <c r="G36" s="464"/>
    </row>
    <row r="37" spans="1:7" ht="19.5" customHeight="1">
      <c r="A37" s="3506"/>
      <c r="B37" s="3512"/>
      <c r="C37" s="476" t="s">
        <v>320</v>
      </c>
      <c r="D37" s="477"/>
      <c r="E37" s="466">
        <v>0.2</v>
      </c>
      <c r="F37" s="464" t="s">
        <v>1972</v>
      </c>
      <c r="G37" s="464"/>
    </row>
    <row r="38" spans="1:7" ht="19.5" customHeight="1">
      <c r="A38" s="3506"/>
      <c r="B38" s="3512"/>
      <c r="C38" s="476" t="s">
        <v>326</v>
      </c>
      <c r="D38" s="477"/>
      <c r="E38" s="466">
        <v>0.2</v>
      </c>
      <c r="F38" s="464" t="s">
        <v>1973</v>
      </c>
      <c r="G38" s="464"/>
    </row>
    <row r="39" spans="1:7" ht="19.5" customHeight="1">
      <c r="A39" s="3506"/>
      <c r="B39" s="3513" t="s">
        <v>1974</v>
      </c>
      <c r="C39" s="476" t="s">
        <v>332</v>
      </c>
      <c r="D39" s="477"/>
      <c r="E39" s="466">
        <v>0.6</v>
      </c>
      <c r="F39" s="464" t="s">
        <v>1975</v>
      </c>
      <c r="G39" s="464"/>
    </row>
    <row r="40" spans="1:7" ht="19.5" customHeight="1">
      <c r="A40" s="3506"/>
      <c r="B40" s="3512"/>
      <c r="C40" s="476" t="s">
        <v>338</v>
      </c>
      <c r="D40" s="477"/>
      <c r="E40" s="466">
        <v>0.6</v>
      </c>
      <c r="F40" s="464" t="s">
        <v>1976</v>
      </c>
      <c r="G40" s="464"/>
    </row>
    <row r="41" spans="1:7" ht="19.5" customHeight="1">
      <c r="A41" s="3507"/>
      <c r="B41" s="3514"/>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502" t="s">
        <v>233</v>
      </c>
      <c r="B43" s="3511" t="s">
        <v>1979</v>
      </c>
      <c r="C43" s="474" t="s">
        <v>248</v>
      </c>
      <c r="D43" s="475"/>
      <c r="E43" s="463">
        <v>1</v>
      </c>
      <c r="F43" s="464" t="s">
        <v>1980</v>
      </c>
      <c r="G43" s="464"/>
    </row>
    <row r="44" spans="1:7" ht="19.5" customHeight="1">
      <c r="A44" s="3503"/>
      <c r="B44" s="3512"/>
      <c r="C44" s="476" t="s">
        <v>261</v>
      </c>
      <c r="D44" s="477"/>
      <c r="E44" s="466">
        <v>1</v>
      </c>
      <c r="F44" s="464" t="s">
        <v>1981</v>
      </c>
      <c r="G44" s="464"/>
    </row>
    <row r="45" spans="1:7" ht="19.5" customHeight="1">
      <c r="A45" s="3503"/>
      <c r="B45" s="3515"/>
      <c r="C45" s="476" t="s">
        <v>272</v>
      </c>
      <c r="D45" s="477"/>
      <c r="E45" s="466">
        <v>1.5</v>
      </c>
      <c r="F45" s="464" t="s">
        <v>1982</v>
      </c>
      <c r="G45" s="464"/>
    </row>
    <row r="46" spans="1:7" ht="19.5" customHeight="1">
      <c r="A46" s="3503"/>
      <c r="B46" s="465" t="s">
        <v>231</v>
      </c>
      <c r="C46" s="476" t="s">
        <v>283</v>
      </c>
      <c r="D46" s="477"/>
      <c r="E46" s="466">
        <v>2</v>
      </c>
      <c r="F46" s="464" t="s">
        <v>1983</v>
      </c>
      <c r="G46" s="464"/>
    </row>
    <row r="47" spans="1:7" ht="19.5" customHeight="1">
      <c r="A47" s="3503"/>
      <c r="B47" s="3513" t="s">
        <v>1984</v>
      </c>
      <c r="C47" s="476" t="s">
        <v>292</v>
      </c>
      <c r="D47" s="477"/>
      <c r="E47" s="466">
        <v>1</v>
      </c>
      <c r="F47" s="464" t="s">
        <v>1985</v>
      </c>
      <c r="G47" s="464"/>
    </row>
    <row r="48" spans="1:7" ht="19.5" customHeight="1">
      <c r="A48" s="3503"/>
      <c r="B48" s="3512"/>
      <c r="C48" s="476" t="s">
        <v>300</v>
      </c>
      <c r="D48" s="477"/>
      <c r="E48" s="466">
        <v>1</v>
      </c>
      <c r="F48" s="464" t="s">
        <v>1986</v>
      </c>
      <c r="G48" s="464"/>
    </row>
    <row r="49" spans="1:7" ht="19.5" customHeight="1">
      <c r="A49" s="3503"/>
      <c r="B49" s="3512"/>
      <c r="C49" s="476" t="s">
        <v>308</v>
      </c>
      <c r="D49" s="477"/>
      <c r="E49" s="466">
        <v>1</v>
      </c>
      <c r="F49" s="464" t="s">
        <v>1987</v>
      </c>
      <c r="G49" s="464"/>
    </row>
    <row r="50" spans="1:7" ht="19.5" customHeight="1">
      <c r="A50" s="3503"/>
      <c r="B50" s="3512"/>
      <c r="C50" s="476" t="s">
        <v>315</v>
      </c>
      <c r="D50" s="477"/>
      <c r="E50" s="466">
        <v>1</v>
      </c>
      <c r="F50" s="464" t="s">
        <v>1988</v>
      </c>
      <c r="G50" s="464"/>
    </row>
    <row r="51" spans="1:7" ht="19.5" customHeight="1">
      <c r="A51" s="3503"/>
      <c r="B51" s="3512"/>
      <c r="C51" s="476" t="s">
        <v>321</v>
      </c>
      <c r="D51" s="477"/>
      <c r="E51" s="466">
        <v>1</v>
      </c>
      <c r="F51" s="464" t="s">
        <v>1989</v>
      </c>
      <c r="G51" s="464"/>
    </row>
    <row r="52" spans="1:7" ht="19.5" customHeight="1">
      <c r="A52" s="3503"/>
      <c r="B52" s="3512"/>
      <c r="C52" s="476" t="s">
        <v>327</v>
      </c>
      <c r="D52" s="477"/>
      <c r="E52" s="466">
        <v>1</v>
      </c>
      <c r="F52" s="464" t="s">
        <v>1990</v>
      </c>
      <c r="G52" s="464"/>
    </row>
    <row r="53" spans="1:7" ht="19.5" customHeight="1">
      <c r="A53" s="3504"/>
      <c r="B53" s="3514"/>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513" t="s">
        <v>2001</v>
      </c>
      <c r="C75" s="454" t="s">
        <v>2002</v>
      </c>
      <c r="D75" s="454" t="s">
        <v>2003</v>
      </c>
      <c r="E75" s="465">
        <v>0.2</v>
      </c>
      <c r="F75" s="465">
        <v>25</v>
      </c>
    </row>
    <row r="76" spans="1:7" ht="24">
      <c r="A76" s="465">
        <v>2</v>
      </c>
      <c r="B76" s="3512"/>
      <c r="C76" s="454" t="s">
        <v>2004</v>
      </c>
      <c r="D76" s="454" t="s">
        <v>2005</v>
      </c>
      <c r="E76" s="465">
        <v>0.2</v>
      </c>
      <c r="F76" s="465">
        <v>25</v>
      </c>
    </row>
    <row r="77" spans="1:7" ht="24">
      <c r="A77" s="465">
        <v>3</v>
      </c>
      <c r="B77" s="3512"/>
      <c r="C77" s="454" t="s">
        <v>2006</v>
      </c>
      <c r="D77" s="454" t="s">
        <v>2007</v>
      </c>
      <c r="E77" s="465">
        <v>0.2</v>
      </c>
      <c r="F77" s="465">
        <v>25</v>
      </c>
    </row>
    <row r="78" spans="1:7" ht="14.4">
      <c r="A78" s="465">
        <v>4</v>
      </c>
      <c r="B78" s="3512"/>
      <c r="C78" s="454" t="s">
        <v>2008</v>
      </c>
      <c r="D78" s="454" t="s">
        <v>2009</v>
      </c>
      <c r="E78" s="465">
        <v>0.15</v>
      </c>
      <c r="F78" s="465">
        <v>20</v>
      </c>
    </row>
    <row r="79" spans="1:7" ht="24">
      <c r="A79" s="465">
        <v>5</v>
      </c>
      <c r="B79" s="3512"/>
      <c r="C79" s="454" t="s">
        <v>2010</v>
      </c>
      <c r="D79" s="454" t="s">
        <v>2011</v>
      </c>
      <c r="E79" s="465">
        <v>0.15</v>
      </c>
      <c r="F79" s="465">
        <v>20</v>
      </c>
    </row>
    <row r="80" spans="1:7" ht="24">
      <c r="A80" s="465">
        <v>6</v>
      </c>
      <c r="B80" s="3512"/>
      <c r="C80" s="454" t="s">
        <v>2012</v>
      </c>
      <c r="D80" s="454" t="s">
        <v>2013</v>
      </c>
      <c r="E80" s="465">
        <v>0.15</v>
      </c>
      <c r="F80" s="465">
        <v>20</v>
      </c>
    </row>
    <row r="81" spans="1:6" ht="24">
      <c r="A81" s="465">
        <v>7</v>
      </c>
      <c r="B81" s="3512"/>
      <c r="C81" s="454" t="s">
        <v>2014</v>
      </c>
      <c r="D81" s="454" t="s">
        <v>2015</v>
      </c>
      <c r="E81" s="465">
        <v>0.15</v>
      </c>
      <c r="F81" s="465">
        <v>20</v>
      </c>
    </row>
    <row r="82" spans="1:6" ht="24">
      <c r="A82" s="465">
        <v>8</v>
      </c>
      <c r="B82" s="3512"/>
      <c r="C82" s="454" t="s">
        <v>2016</v>
      </c>
      <c r="D82" s="454" t="s">
        <v>2017</v>
      </c>
      <c r="E82" s="465">
        <v>0.1</v>
      </c>
      <c r="F82" s="465">
        <v>15</v>
      </c>
    </row>
    <row r="83" spans="1:6" ht="24">
      <c r="A83" s="465">
        <v>9</v>
      </c>
      <c r="B83" s="3512"/>
      <c r="C83" s="454" t="s">
        <v>2018</v>
      </c>
      <c r="D83" s="454" t="s">
        <v>2019</v>
      </c>
      <c r="E83" s="465">
        <v>0.1</v>
      </c>
      <c r="F83" s="465">
        <v>15</v>
      </c>
    </row>
    <row r="84" spans="1:6" ht="24">
      <c r="A84" s="465">
        <v>10</v>
      </c>
      <c r="B84" s="3512"/>
      <c r="C84" s="454" t="s">
        <v>2020</v>
      </c>
      <c r="D84" s="454" t="s">
        <v>2021</v>
      </c>
      <c r="E84" s="465">
        <v>0.1</v>
      </c>
      <c r="F84" s="465">
        <v>15</v>
      </c>
    </row>
    <row r="85" spans="1:6" ht="24">
      <c r="A85" s="465">
        <v>11</v>
      </c>
      <c r="B85" s="3512"/>
      <c r="C85" s="454" t="s">
        <v>2022</v>
      </c>
      <c r="D85" s="454" t="s">
        <v>2023</v>
      </c>
      <c r="E85" s="465">
        <v>0.1</v>
      </c>
      <c r="F85" s="465">
        <v>15</v>
      </c>
    </row>
    <row r="86" spans="1:6" ht="24">
      <c r="A86" s="465">
        <v>12</v>
      </c>
      <c r="B86" s="3512"/>
      <c r="C86" s="454" t="s">
        <v>2024</v>
      </c>
      <c r="D86" s="454" t="s">
        <v>2025</v>
      </c>
      <c r="E86" s="465">
        <v>0.1</v>
      </c>
      <c r="F86" s="465">
        <v>15</v>
      </c>
    </row>
    <row r="87" spans="1:6" ht="24">
      <c r="A87" s="465">
        <v>13</v>
      </c>
      <c r="B87" s="3512"/>
      <c r="C87" s="454" t="s">
        <v>2026</v>
      </c>
      <c r="D87" s="454" t="s">
        <v>2027</v>
      </c>
      <c r="E87" s="465">
        <v>0.1</v>
      </c>
      <c r="F87" s="465">
        <v>15</v>
      </c>
    </row>
    <row r="88" spans="1:6" ht="24">
      <c r="A88" s="465">
        <v>14</v>
      </c>
      <c r="B88" s="3512"/>
      <c r="C88" s="454" t="s">
        <v>2028</v>
      </c>
      <c r="D88" s="454" t="s">
        <v>2029</v>
      </c>
      <c r="E88" s="465">
        <v>0.1</v>
      </c>
      <c r="F88" s="465">
        <v>15</v>
      </c>
    </row>
    <row r="89" spans="1:6" ht="24">
      <c r="A89" s="465">
        <v>15</v>
      </c>
      <c r="B89" s="3512"/>
      <c r="C89" s="454" t="s">
        <v>2030</v>
      </c>
      <c r="D89" s="454" t="s">
        <v>2031</v>
      </c>
      <c r="E89" s="465">
        <v>0.1</v>
      </c>
      <c r="F89" s="465">
        <v>15</v>
      </c>
    </row>
    <row r="90" spans="1:6" ht="24">
      <c r="A90" s="465">
        <v>16</v>
      </c>
      <c r="B90" s="3512"/>
      <c r="C90" s="454" t="s">
        <v>2032</v>
      </c>
      <c r="D90" s="454" t="s">
        <v>2033</v>
      </c>
      <c r="E90" s="465">
        <v>0.1</v>
      </c>
      <c r="F90" s="465">
        <v>15</v>
      </c>
    </row>
    <row r="91" spans="1:6" ht="24">
      <c r="A91" s="465">
        <v>17</v>
      </c>
      <c r="B91" s="3515"/>
      <c r="C91" s="454" t="s">
        <v>2034</v>
      </c>
      <c r="D91" s="454" t="s">
        <v>2035</v>
      </c>
      <c r="E91" s="465">
        <v>0.1</v>
      </c>
      <c r="F91" s="465">
        <v>15</v>
      </c>
    </row>
    <row r="92" spans="1:6" ht="14.4">
      <c r="A92" s="465">
        <v>18</v>
      </c>
      <c r="B92" s="3513" t="s">
        <v>2036</v>
      </c>
      <c r="C92" s="454" t="s">
        <v>2037</v>
      </c>
      <c r="D92" s="454" t="s">
        <v>2038</v>
      </c>
      <c r="E92" s="465">
        <v>0.2</v>
      </c>
      <c r="F92" s="465">
        <v>25</v>
      </c>
    </row>
    <row r="93" spans="1:6" ht="24">
      <c r="A93" s="465">
        <v>19</v>
      </c>
      <c r="B93" s="3512"/>
      <c r="C93" s="454" t="s">
        <v>2039</v>
      </c>
      <c r="D93" s="454" t="s">
        <v>2040</v>
      </c>
      <c r="E93" s="465">
        <v>0.2</v>
      </c>
      <c r="F93" s="465">
        <v>25</v>
      </c>
    </row>
    <row r="94" spans="1:6" ht="14.4">
      <c r="A94" s="465">
        <v>20</v>
      </c>
      <c r="B94" s="3512"/>
      <c r="C94" s="454" t="s">
        <v>2041</v>
      </c>
      <c r="D94" s="454" t="s">
        <v>2042</v>
      </c>
      <c r="E94" s="465">
        <v>0.15</v>
      </c>
      <c r="F94" s="465">
        <v>20</v>
      </c>
    </row>
    <row r="95" spans="1:6" ht="24">
      <c r="A95" s="465">
        <v>21</v>
      </c>
      <c r="B95" s="3512"/>
      <c r="C95" s="454" t="s">
        <v>2043</v>
      </c>
      <c r="D95" s="454" t="s">
        <v>2044</v>
      </c>
      <c r="E95" s="465">
        <v>0.15</v>
      </c>
      <c r="F95" s="465">
        <v>20</v>
      </c>
    </row>
    <row r="96" spans="1:6" ht="24">
      <c r="A96" s="465">
        <v>22</v>
      </c>
      <c r="B96" s="3512"/>
      <c r="C96" s="454" t="s">
        <v>2045</v>
      </c>
      <c r="D96" s="454" t="s">
        <v>2046</v>
      </c>
      <c r="E96" s="465">
        <v>0.15</v>
      </c>
      <c r="F96" s="465">
        <v>20</v>
      </c>
    </row>
    <row r="97" spans="1:6" ht="36">
      <c r="A97" s="465">
        <v>23</v>
      </c>
      <c r="B97" s="3512"/>
      <c r="C97" s="454" t="s">
        <v>2047</v>
      </c>
      <c r="D97" s="454" t="s">
        <v>2048</v>
      </c>
      <c r="E97" s="465">
        <v>0.15</v>
      </c>
      <c r="F97" s="465">
        <v>20</v>
      </c>
    </row>
    <row r="98" spans="1:6" ht="24">
      <c r="A98" s="465">
        <v>24</v>
      </c>
      <c r="B98" s="3512"/>
      <c r="C98" s="454" t="s">
        <v>2049</v>
      </c>
      <c r="D98" s="454" t="s">
        <v>2050</v>
      </c>
      <c r="E98" s="465">
        <v>0.1</v>
      </c>
      <c r="F98" s="465">
        <v>15</v>
      </c>
    </row>
    <row r="99" spans="1:6" ht="24">
      <c r="A99" s="465">
        <v>25</v>
      </c>
      <c r="B99" s="3512"/>
      <c r="C99" s="454" t="s">
        <v>2051</v>
      </c>
      <c r="D99" s="454" t="s">
        <v>2052</v>
      </c>
      <c r="E99" s="465">
        <v>0.1</v>
      </c>
      <c r="F99" s="465">
        <v>15</v>
      </c>
    </row>
    <row r="100" spans="1:6" ht="24">
      <c r="A100" s="465">
        <v>26</v>
      </c>
      <c r="B100" s="3512"/>
      <c r="C100" s="454" t="s">
        <v>2053</v>
      </c>
      <c r="D100" s="454" t="s">
        <v>2054</v>
      </c>
      <c r="E100" s="465">
        <v>0.1</v>
      </c>
      <c r="F100" s="465">
        <v>15</v>
      </c>
    </row>
    <row r="101" spans="1:6" ht="24">
      <c r="A101" s="465">
        <v>27</v>
      </c>
      <c r="B101" s="3512"/>
      <c r="C101" s="454" t="s">
        <v>2055</v>
      </c>
      <c r="D101" s="454" t="s">
        <v>2056</v>
      </c>
      <c r="E101" s="465">
        <v>0.1</v>
      </c>
      <c r="F101" s="465">
        <v>15</v>
      </c>
    </row>
    <row r="102" spans="1:6" ht="24">
      <c r="A102" s="465">
        <v>28</v>
      </c>
      <c r="B102" s="3512"/>
      <c r="C102" s="454" t="s">
        <v>2057</v>
      </c>
      <c r="D102" s="454" t="s">
        <v>2058</v>
      </c>
      <c r="E102" s="465">
        <v>0.1</v>
      </c>
      <c r="F102" s="465">
        <v>15</v>
      </c>
    </row>
    <row r="103" spans="1:6" ht="24">
      <c r="A103" s="465">
        <v>29</v>
      </c>
      <c r="B103" s="3512"/>
      <c r="C103" s="454" t="s">
        <v>2059</v>
      </c>
      <c r="D103" s="454" t="s">
        <v>2060</v>
      </c>
      <c r="E103" s="465">
        <v>0.1</v>
      </c>
      <c r="F103" s="465">
        <v>15</v>
      </c>
    </row>
    <row r="104" spans="1:6" ht="24">
      <c r="A104" s="465">
        <v>30</v>
      </c>
      <c r="B104" s="3512"/>
      <c r="C104" s="454" t="s">
        <v>2061</v>
      </c>
      <c r="D104" s="454" t="s">
        <v>2062</v>
      </c>
      <c r="E104" s="465">
        <v>0.1</v>
      </c>
      <c r="F104" s="465">
        <v>15</v>
      </c>
    </row>
    <row r="105" spans="1:6" ht="24">
      <c r="A105" s="465">
        <v>31</v>
      </c>
      <c r="B105" s="3512"/>
      <c r="C105" s="454" t="s">
        <v>2063</v>
      </c>
      <c r="D105" s="454" t="s">
        <v>2064</v>
      </c>
      <c r="E105" s="465">
        <v>0.1</v>
      </c>
      <c r="F105" s="465">
        <v>15</v>
      </c>
    </row>
    <row r="106" spans="1:6" ht="24">
      <c r="A106" s="465">
        <v>32</v>
      </c>
      <c r="B106" s="3512"/>
      <c r="C106" s="454" t="s">
        <v>2065</v>
      </c>
      <c r="D106" s="454" t="s">
        <v>2066</v>
      </c>
      <c r="E106" s="465">
        <v>0.1</v>
      </c>
      <c r="F106" s="465">
        <v>15</v>
      </c>
    </row>
    <row r="107" spans="1:6" ht="24">
      <c r="A107" s="465">
        <v>33</v>
      </c>
      <c r="B107" s="3512"/>
      <c r="C107" s="454" t="s">
        <v>2067</v>
      </c>
      <c r="D107" s="454" t="s">
        <v>2068</v>
      </c>
      <c r="E107" s="465">
        <v>0.1</v>
      </c>
      <c r="F107" s="465">
        <v>15</v>
      </c>
    </row>
    <row r="108" spans="1:6" ht="24">
      <c r="A108" s="465">
        <v>34</v>
      </c>
      <c r="B108" s="3515"/>
      <c r="C108" s="454" t="s">
        <v>2069</v>
      </c>
      <c r="D108" s="454" t="s">
        <v>2070</v>
      </c>
      <c r="E108" s="465">
        <v>0.1</v>
      </c>
      <c r="F108" s="465">
        <v>15</v>
      </c>
    </row>
    <row r="109" spans="1:6" ht="36">
      <c r="A109" s="465">
        <v>35</v>
      </c>
      <c r="B109" s="3513" t="s">
        <v>2071</v>
      </c>
      <c r="C109" s="465" t="s">
        <v>2072</v>
      </c>
      <c r="D109" s="454" t="s">
        <v>2073</v>
      </c>
      <c r="E109" s="465">
        <v>0.15</v>
      </c>
      <c r="F109" s="465">
        <v>20</v>
      </c>
    </row>
    <row r="110" spans="1:6" ht="24">
      <c r="A110" s="465">
        <v>36</v>
      </c>
      <c r="B110" s="3512"/>
      <c r="C110" s="465" t="s">
        <v>2074</v>
      </c>
      <c r="D110" s="454" t="s">
        <v>2075</v>
      </c>
      <c r="E110" s="465">
        <v>0.15</v>
      </c>
      <c r="F110" s="465">
        <v>20</v>
      </c>
    </row>
    <row r="111" spans="1:6" ht="24">
      <c r="A111" s="465">
        <v>37</v>
      </c>
      <c r="B111" s="3512"/>
      <c r="C111" s="465" t="s">
        <v>2076</v>
      </c>
      <c r="D111" s="454" t="s">
        <v>2077</v>
      </c>
      <c r="E111" s="465">
        <v>0.15</v>
      </c>
      <c r="F111" s="465">
        <v>20</v>
      </c>
    </row>
    <row r="112" spans="1:6" ht="24">
      <c r="A112" s="465">
        <v>38</v>
      </c>
      <c r="B112" s="3512"/>
      <c r="C112" s="465" t="s">
        <v>2078</v>
      </c>
      <c r="D112" s="454" t="s">
        <v>2079</v>
      </c>
      <c r="E112" s="465">
        <v>0.1</v>
      </c>
      <c r="F112" s="465">
        <v>15</v>
      </c>
    </row>
    <row r="113" spans="1:6" ht="24">
      <c r="A113" s="465">
        <v>39</v>
      </c>
      <c r="B113" s="3512"/>
      <c r="C113" s="465" t="s">
        <v>2080</v>
      </c>
      <c r="D113" s="454" t="s">
        <v>2081</v>
      </c>
      <c r="E113" s="465">
        <v>0.1</v>
      </c>
      <c r="F113" s="465">
        <v>15</v>
      </c>
    </row>
    <row r="114" spans="1:6" ht="24">
      <c r="A114" s="465">
        <v>40</v>
      </c>
      <c r="B114" s="3515"/>
      <c r="C114" s="465" t="s">
        <v>2082</v>
      </c>
      <c r="D114" s="454" t="s">
        <v>2083</v>
      </c>
      <c r="E114" s="465">
        <v>0.1</v>
      </c>
      <c r="F114" s="465">
        <v>15</v>
      </c>
    </row>
    <row r="115" spans="1:6" ht="24">
      <c r="A115" s="465">
        <v>41</v>
      </c>
      <c r="B115" s="3509" t="s">
        <v>2084</v>
      </c>
      <c r="C115" s="465" t="s">
        <v>2085</v>
      </c>
      <c r="D115" s="454" t="s">
        <v>2086</v>
      </c>
      <c r="E115" s="465">
        <v>0.1</v>
      </c>
      <c r="F115" s="465">
        <v>15</v>
      </c>
    </row>
    <row r="116" spans="1:6" ht="24">
      <c r="A116" s="465">
        <v>42</v>
      </c>
      <c r="B116" s="3509"/>
      <c r="C116" s="465" t="s">
        <v>2087</v>
      </c>
      <c r="D116" s="454" t="s">
        <v>2088</v>
      </c>
      <c r="E116" s="465">
        <v>0.1</v>
      </c>
      <c r="F116" s="465">
        <v>15</v>
      </c>
    </row>
    <row r="117" spans="1:6" ht="24">
      <c r="A117" s="465">
        <v>43</v>
      </c>
      <c r="B117" s="3509"/>
      <c r="C117" s="465" t="s">
        <v>2089</v>
      </c>
      <c r="D117" s="454" t="s">
        <v>2090</v>
      </c>
      <c r="E117" s="465">
        <v>0.1</v>
      </c>
      <c r="F117" s="465">
        <v>15</v>
      </c>
    </row>
    <row r="118" spans="1:6" ht="24">
      <c r="A118" s="465">
        <v>44</v>
      </c>
      <c r="B118" s="3513" t="s">
        <v>2091</v>
      </c>
      <c r="C118" s="465" t="s">
        <v>2092</v>
      </c>
      <c r="D118" s="454" t="s">
        <v>2093</v>
      </c>
      <c r="E118" s="465">
        <v>0.1</v>
      </c>
      <c r="F118" s="465">
        <v>15</v>
      </c>
    </row>
    <row r="119" spans="1:6" ht="24">
      <c r="A119" s="465">
        <v>45</v>
      </c>
      <c r="B119" s="3515"/>
      <c r="C119" s="454" t="s">
        <v>2094</v>
      </c>
      <c r="D119" s="454" t="s">
        <v>2095</v>
      </c>
      <c r="E119" s="465">
        <v>0.1</v>
      </c>
      <c r="F119" s="465">
        <v>15</v>
      </c>
    </row>
    <row r="120" spans="1:6" ht="24">
      <c r="A120" s="465">
        <v>46</v>
      </c>
      <c r="B120" s="3513" t="s">
        <v>2096</v>
      </c>
      <c r="C120" s="465" t="s">
        <v>2097</v>
      </c>
      <c r="D120" s="454" t="s">
        <v>2098</v>
      </c>
      <c r="E120" s="465">
        <v>0.1</v>
      </c>
      <c r="F120" s="465">
        <v>15</v>
      </c>
    </row>
    <row r="121" spans="1:6" ht="24">
      <c r="A121" s="465">
        <v>47</v>
      </c>
      <c r="B121" s="3515"/>
      <c r="C121" s="465" t="s">
        <v>2099</v>
      </c>
      <c r="D121" s="454" t="s">
        <v>2100</v>
      </c>
      <c r="E121" s="465">
        <v>0.1</v>
      </c>
      <c r="F121" s="465">
        <v>15</v>
      </c>
    </row>
    <row r="122" spans="1:6" ht="24">
      <c r="A122" s="465">
        <v>48</v>
      </c>
      <c r="B122" s="3513" t="s">
        <v>2101</v>
      </c>
      <c r="C122" s="465" t="s">
        <v>2102</v>
      </c>
      <c r="D122" s="454" t="s">
        <v>2103</v>
      </c>
      <c r="E122" s="465">
        <v>0.1</v>
      </c>
      <c r="F122" s="465">
        <v>15</v>
      </c>
    </row>
    <row r="123" spans="1:6" ht="24">
      <c r="A123" s="465">
        <v>49</v>
      </c>
      <c r="B123" s="3515"/>
      <c r="C123" s="465" t="s">
        <v>2104</v>
      </c>
      <c r="D123" s="454" t="s">
        <v>2105</v>
      </c>
      <c r="E123" s="465">
        <v>0.1</v>
      </c>
      <c r="F123" s="465">
        <v>15</v>
      </c>
    </row>
    <row r="124" spans="1:6" ht="24">
      <c r="A124" s="465">
        <v>50</v>
      </c>
      <c r="B124" s="3509" t="s">
        <v>2106</v>
      </c>
      <c r="C124" s="465" t="s">
        <v>2107</v>
      </c>
      <c r="D124" s="454" t="s">
        <v>2108</v>
      </c>
      <c r="E124" s="465">
        <v>0.1</v>
      </c>
      <c r="F124" s="465">
        <v>15</v>
      </c>
    </row>
    <row r="125" spans="1:6" ht="24">
      <c r="A125" s="465">
        <v>51</v>
      </c>
      <c r="B125" s="3509"/>
      <c r="C125" s="465" t="s">
        <v>2109</v>
      </c>
      <c r="D125" s="454" t="s">
        <v>2110</v>
      </c>
      <c r="E125" s="465">
        <v>0.1</v>
      </c>
      <c r="F125" s="465">
        <v>15</v>
      </c>
    </row>
    <row r="126" spans="1:6" ht="24">
      <c r="A126" s="465">
        <v>52</v>
      </c>
      <c r="B126" s="3509" t="s">
        <v>2111</v>
      </c>
      <c r="C126" s="465" t="s">
        <v>2112</v>
      </c>
      <c r="D126" s="454" t="s">
        <v>2113</v>
      </c>
      <c r="E126" s="465">
        <v>0.1</v>
      </c>
      <c r="F126" s="465">
        <v>15</v>
      </c>
    </row>
    <row r="127" spans="1:6" ht="24">
      <c r="A127" s="465">
        <v>53</v>
      </c>
      <c r="B127" s="3509"/>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509" t="s">
        <v>2119</v>
      </c>
      <c r="C129" s="465" t="s">
        <v>2120</v>
      </c>
      <c r="D129" s="454" t="s">
        <v>2121</v>
      </c>
      <c r="E129" s="465">
        <v>0.1</v>
      </c>
      <c r="F129" s="465">
        <v>15</v>
      </c>
    </row>
    <row r="130" spans="1:6" ht="24">
      <c r="A130" s="465">
        <v>56</v>
      </c>
      <c r="B130" s="3509"/>
      <c r="C130" s="465" t="s">
        <v>2122</v>
      </c>
      <c r="D130" s="454" t="s">
        <v>2123</v>
      </c>
      <c r="E130" s="465">
        <v>0.1</v>
      </c>
      <c r="F130" s="465">
        <v>15</v>
      </c>
    </row>
    <row r="131" spans="1:6" ht="24">
      <c r="A131" s="465">
        <v>57</v>
      </c>
      <c r="B131" s="3509"/>
      <c r="C131" s="465" t="s">
        <v>2124</v>
      </c>
      <c r="D131" s="454" t="s">
        <v>2125</v>
      </c>
      <c r="E131" s="465">
        <v>0.1</v>
      </c>
      <c r="F131" s="465">
        <v>15</v>
      </c>
    </row>
    <row r="132" spans="1:6" ht="24">
      <c r="A132" s="465">
        <v>58</v>
      </c>
      <c r="B132" s="3509" t="s">
        <v>2126</v>
      </c>
      <c r="C132" s="465" t="s">
        <v>2127</v>
      </c>
      <c r="D132" s="454" t="s">
        <v>2128</v>
      </c>
      <c r="E132" s="465">
        <v>0.1</v>
      </c>
      <c r="F132" s="465">
        <v>15</v>
      </c>
    </row>
    <row r="133" spans="1:6" ht="24">
      <c r="A133" s="465">
        <v>59</v>
      </c>
      <c r="B133" s="3509"/>
      <c r="C133" s="465" t="s">
        <v>2129</v>
      </c>
      <c r="D133" s="454" t="s">
        <v>2130</v>
      </c>
      <c r="E133" s="465">
        <v>0.1</v>
      </c>
      <c r="F133" s="465">
        <v>15</v>
      </c>
    </row>
    <row r="134" spans="1:6" ht="24">
      <c r="A134" s="465">
        <v>60</v>
      </c>
      <c r="B134" s="3513" t="s">
        <v>2131</v>
      </c>
      <c r="C134" s="465" t="s">
        <v>2132</v>
      </c>
      <c r="D134" s="454" t="s">
        <v>2133</v>
      </c>
      <c r="E134" s="465">
        <v>0.1</v>
      </c>
      <c r="F134" s="465">
        <v>15</v>
      </c>
    </row>
    <row r="135" spans="1:6" ht="24">
      <c r="A135" s="465">
        <v>61</v>
      </c>
      <c r="B135" s="3515"/>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509" t="s">
        <v>2139</v>
      </c>
      <c r="C137" s="465" t="s">
        <v>2140</v>
      </c>
      <c r="D137" s="454" t="s">
        <v>2141</v>
      </c>
      <c r="E137" s="465">
        <v>0.1</v>
      </c>
      <c r="F137" s="465">
        <v>15</v>
      </c>
    </row>
    <row r="138" spans="1:6" ht="24">
      <c r="A138" s="465">
        <v>64</v>
      </c>
      <c r="B138" s="3509"/>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27664</v>
      </c>
      <c r="C2" s="345" t="s">
        <v>1329</v>
      </c>
      <c r="D2" s="342"/>
      <c r="E2" s="342"/>
      <c r="F2" s="342"/>
      <c r="G2" s="342"/>
    </row>
    <row r="3" spans="1:7" s="331" customFormat="1" ht="18" customHeight="1">
      <c r="A3" s="346" t="s">
        <v>2161</v>
      </c>
      <c r="B3" s="347">
        <f ca="1">ROUND(B2*10000/'数据-汇总表'!E3,0)</f>
        <v>299991</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422" t="s">
        <v>2220</v>
      </c>
    </row>
    <row r="43" spans="1:7" ht="13.5" customHeight="1">
      <c r="A43" s="384" t="s">
        <v>1048</v>
      </c>
      <c r="B43" s="357" t="s">
        <v>2192</v>
      </c>
      <c r="C43" s="386">
        <f ca="1">ROUND(IF('数据-取费表'!B22&lt;=1,C39*F22*'数据-取费表'!B21/2,C39*(POWER((1+F22),'数据-取费表'!B21/2)-1)),0)</f>
        <v>0</v>
      </c>
      <c r="D43" s="386"/>
      <c r="E43" s="386"/>
      <c r="F43" s="387"/>
      <c r="G43" s="3423"/>
    </row>
    <row r="44" spans="1:7" ht="13.5" customHeight="1">
      <c r="A44" s="384" t="s">
        <v>1050</v>
      </c>
      <c r="B44" s="357" t="s">
        <v>2194</v>
      </c>
      <c r="C44" s="386">
        <f ca="1">ROUND(IF('数据-取费表'!B22&lt;=1,C40*F22*'数据-取费表'!B21/2,C40*(POWER((1+F22),'数据-取费表'!B21/2)-1)),4)</f>
        <v>5.0000000000000001E-4</v>
      </c>
      <c r="D44" s="386"/>
      <c r="E44" s="386"/>
      <c r="F44" s="387"/>
      <c r="G44" s="3424"/>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0.77</v>
      </c>
      <c r="G50" s="395" t="s">
        <v>2230</v>
      </c>
    </row>
    <row r="51" spans="1:7" ht="16.5" customHeight="1">
      <c r="A51" s="374" t="s">
        <v>2231</v>
      </c>
      <c r="B51" s="352" t="s">
        <v>2232</v>
      </c>
      <c r="C51" s="376">
        <f ca="1">ROUND(C49*F50,0)</f>
        <v>410</v>
      </c>
      <c r="D51" s="376"/>
      <c r="E51" s="376"/>
      <c r="F51" s="411"/>
      <c r="G51" s="381" t="s">
        <v>2233</v>
      </c>
    </row>
    <row r="52" spans="1:7" s="332" customFormat="1" ht="16.2">
      <c r="A52" s="412" t="s">
        <v>2234</v>
      </c>
      <c r="B52" s="413"/>
      <c r="C52" s="414">
        <f ca="1">C31+C51</f>
        <v>27664</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203"/>
      <c r="B3" s="3203"/>
      <c r="C3" s="3203"/>
      <c r="D3" s="3109" t="s">
        <v>110</v>
      </c>
      <c r="E3" s="3109" t="s">
        <v>111</v>
      </c>
      <c r="F3" s="3109" t="s">
        <v>110</v>
      </c>
      <c r="G3" s="3109" t="s">
        <v>111</v>
      </c>
      <c r="H3" s="3109" t="s">
        <v>110</v>
      </c>
      <c r="I3" s="3109" t="s">
        <v>111</v>
      </c>
    </row>
    <row r="4" spans="1:9" ht="15">
      <c r="A4" s="3110" t="str">
        <f>项目基本情况!S2</f>
        <v>北京市房地产</v>
      </c>
      <c r="B4" s="3109">
        <f>项目基本情况!C17</f>
        <v>922.16</v>
      </c>
      <c r="C4" s="3109">
        <f>项目基本情况!C18</f>
        <v>0</v>
      </c>
      <c r="D4" s="3109" t="e">
        <f ca="1">结果表!D118</f>
        <v>#N/A</v>
      </c>
      <c r="E4" s="3109" t="e">
        <f ca="1">结果表!E118</f>
        <v>#N/A</v>
      </c>
      <c r="F4" s="3109" t="e">
        <f ca="1">结果表!F118</f>
        <v>#N/A</v>
      </c>
      <c r="G4" s="3109" t="e">
        <f ca="1">结果表!G118</f>
        <v>#N/A</v>
      </c>
      <c r="H4" s="3109">
        <f ca="1">结果表!H118</f>
        <v>820.86159999999995</v>
      </c>
      <c r="I4" s="3109">
        <f ca="1">结果表!I118</f>
        <v>31441</v>
      </c>
    </row>
    <row r="5" spans="1:9" ht="30" customHeight="1">
      <c r="A5" s="3203" t="s">
        <v>112</v>
      </c>
      <c r="B5" s="3203"/>
      <c r="C5" s="3203"/>
      <c r="D5" s="3203" t="e">
        <f ca="1">结果表!D119</f>
        <v>#N/A</v>
      </c>
      <c r="E5" s="3203"/>
      <c r="F5" s="3203" t="e">
        <f ca="1">结果表!F119</f>
        <v>#N/A</v>
      </c>
      <c r="G5" s="3203"/>
      <c r="H5" s="3203" t="str">
        <f ca="1">结果表!H119</f>
        <v>捌佰贰拾万捌仟陆佰壹拾陆元整</v>
      </c>
      <c r="I5" s="3203"/>
    </row>
    <row r="6" spans="1:9" ht="15.6">
      <c r="A6" s="3204" t="str">
        <f>结果表!A120</f>
        <v>估价师知悉的法定优先受偿款</v>
      </c>
      <c r="B6" s="3204"/>
      <c r="C6" s="3204"/>
      <c r="D6" s="3204">
        <f>结果表!D120</f>
        <v>0</v>
      </c>
      <c r="E6" s="3204"/>
      <c r="F6" s="3204"/>
      <c r="G6" s="3204"/>
      <c r="H6" s="3204"/>
      <c r="I6" s="3204"/>
    </row>
    <row r="7" spans="1:9" ht="15">
      <c r="A7" s="3203" t="s">
        <v>112</v>
      </c>
      <c r="B7" s="3203"/>
      <c r="C7" s="3203"/>
      <c r="D7" s="3205" t="str">
        <f>结果表!D121</f>
        <v>零元整</v>
      </c>
      <c r="E7" s="3206"/>
      <c r="F7" s="3206"/>
      <c r="G7" s="3206"/>
      <c r="H7" s="3206"/>
      <c r="I7" s="3207"/>
    </row>
    <row r="8" spans="1:9" ht="15.6">
      <c r="A8" s="3204" t="str">
        <f>结果表!A122</f>
        <v>房地产抵押价值</v>
      </c>
      <c r="B8" s="3204"/>
      <c r="C8" s="3204"/>
      <c r="D8" s="3204">
        <f ca="1">结果表!D122</f>
        <v>820.86159999999995</v>
      </c>
      <c r="E8" s="3204"/>
      <c r="F8" s="3204"/>
      <c r="G8" s="3204"/>
      <c r="H8" s="3204"/>
      <c r="I8" s="3204"/>
    </row>
    <row r="9" spans="1:9" ht="15">
      <c r="A9" s="3203" t="s">
        <v>112</v>
      </c>
      <c r="B9" s="3203"/>
      <c r="C9" s="3203"/>
      <c r="D9" s="3203" t="str">
        <f ca="1">结果表!D123</f>
        <v>捌佰贰拾万捌仟陆佰壹拾陆元整</v>
      </c>
      <c r="E9" s="3203"/>
      <c r="F9" s="3203"/>
      <c r="G9" s="3203"/>
      <c r="H9" s="3203"/>
      <c r="I9" s="3203"/>
    </row>
    <row r="10" spans="1:9" ht="15.6">
      <c r="A10" s="3204" t="str">
        <f>结果表!A124</f>
        <v/>
      </c>
      <c r="B10" s="3204"/>
      <c r="C10" s="3204"/>
      <c r="D10" s="3204" t="str">
        <f>结果表!D124</f>
        <v>——</v>
      </c>
      <c r="E10" s="3204"/>
      <c r="F10" s="3204"/>
      <c r="G10" s="3204"/>
      <c r="H10" s="3204"/>
      <c r="I10" s="3204"/>
    </row>
    <row r="11" spans="1:9" ht="15">
      <c r="A11" s="3203" t="s">
        <v>112</v>
      </c>
      <c r="B11" s="3203"/>
      <c r="C11" s="3203"/>
      <c r="D11" s="3203" t="e">
        <f>结果表!D125</f>
        <v>#VALUE!</v>
      </c>
      <c r="E11" s="3203"/>
      <c r="F11" s="3203"/>
      <c r="G11" s="3203"/>
      <c r="H11" s="3203"/>
      <c r="I11" s="3203"/>
    </row>
    <row r="12" spans="1:9" ht="15.6">
      <c r="A12" s="3204" t="str">
        <f>结果表!A126</f>
        <v/>
      </c>
      <c r="B12" s="3204"/>
      <c r="C12" s="3204"/>
      <c r="D12" s="3204" t="str">
        <f>结果表!D126</f>
        <v>——</v>
      </c>
      <c r="E12" s="3204"/>
      <c r="F12" s="3204"/>
      <c r="G12" s="3204"/>
      <c r="H12" s="3204"/>
      <c r="I12" s="3204"/>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7.399999999999999">
      <c r="A16" s="311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6" t="s">
        <v>2238</v>
      </c>
      <c r="B1" s="3516"/>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17" t="s">
        <v>2620</v>
      </c>
      <c r="B1" s="3517"/>
      <c r="C1" s="3517"/>
      <c r="D1" s="3517"/>
      <c r="E1" s="3517"/>
      <c r="F1" s="3518"/>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19" t="s">
        <v>2627</v>
      </c>
      <c r="S1" s="3520"/>
      <c r="T1" s="3520"/>
      <c r="U1" s="3520"/>
      <c r="V1" s="3520"/>
      <c r="W1" s="3520"/>
      <c r="X1" s="245"/>
      <c r="Y1" s="3519" t="s">
        <v>2628</v>
      </c>
      <c r="Z1" s="3520"/>
      <c r="AA1" s="3520"/>
      <c r="AB1" s="3520"/>
      <c r="AC1" s="3520"/>
      <c r="AD1" s="3520"/>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19" t="s">
        <v>2627</v>
      </c>
      <c r="S29" s="3520"/>
      <c r="T29" s="3520"/>
      <c r="U29" s="3520"/>
      <c r="V29" s="3520"/>
      <c r="W29" s="3520"/>
      <c r="X29" s="245"/>
      <c r="Y29" s="3519" t="s">
        <v>2628</v>
      </c>
      <c r="Z29" s="3520"/>
      <c r="AA29" s="3520"/>
      <c r="AB29" s="3520"/>
      <c r="AC29" s="3520"/>
      <c r="AD29" s="3520"/>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21" t="s">
        <v>2654</v>
      </c>
      <c r="C1" s="3521"/>
      <c r="D1" s="3521"/>
      <c r="E1" s="3521"/>
      <c r="F1" s="3521"/>
      <c r="G1" s="3520" t="s">
        <v>2655</v>
      </c>
      <c r="H1" s="3520"/>
      <c r="I1" s="3520"/>
      <c r="J1" s="3520"/>
      <c r="K1" s="3520"/>
      <c r="L1" s="3520"/>
      <c r="N1" s="3520" t="s">
        <v>2626</v>
      </c>
      <c r="O1" s="3520"/>
      <c r="P1" s="3520"/>
      <c r="Q1" s="3520"/>
      <c r="S1" s="3520" t="s">
        <v>2656</v>
      </c>
      <c r="T1" s="3520"/>
      <c r="U1" s="3520"/>
      <c r="V1" s="3520"/>
      <c r="X1" s="3519" t="s">
        <v>2627</v>
      </c>
      <c r="Y1" s="3520"/>
      <c r="Z1" s="3520"/>
      <c r="AA1" s="3520"/>
      <c r="AB1" s="3520"/>
      <c r="AD1" s="3519" t="s">
        <v>2628</v>
      </c>
      <c r="AE1" s="3520"/>
      <c r="AF1" s="3520"/>
      <c r="AG1" s="3520"/>
      <c r="AH1" s="3520"/>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2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2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2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2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2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2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2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2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2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2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2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2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2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2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2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2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2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2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2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2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2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2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2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2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2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2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2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2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2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2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2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2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2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2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2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2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2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2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2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2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2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2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2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26">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22">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22">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25">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26">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22">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22">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2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0" t="s">
        <v>2745</v>
      </c>
      <c r="B1" s="3530"/>
      <c r="C1" s="3530"/>
      <c r="D1" s="3530"/>
      <c r="E1" s="3530"/>
      <c r="F1" s="3530"/>
      <c r="G1" s="353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32"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33"/>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10" t="s">
        <v>114</v>
      </c>
      <c r="B1" s="3210"/>
      <c r="C1" s="3210"/>
      <c r="D1" s="3210"/>
    </row>
    <row r="2" spans="1:4" ht="17.399999999999999">
      <c r="A2" s="3211" t="s">
        <v>115</v>
      </c>
      <c r="B2" s="3211"/>
      <c r="C2" s="3211"/>
      <c r="D2" s="3211"/>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211" t="s">
        <v>121</v>
      </c>
      <c r="B6" s="3211"/>
      <c r="C6" s="3211"/>
      <c r="D6" s="3211"/>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12" t="s">
        <v>126</v>
      </c>
      <c r="B11" s="3213"/>
      <c r="C11" s="3213"/>
      <c r="D11" s="3213"/>
    </row>
    <row r="12" spans="1:4" ht="15.6">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06"/>
      <c r="B23" s="1509"/>
      <c r="C23" s="1509"/>
      <c r="D23" s="1509"/>
    </row>
    <row r="24" spans="1:4">
      <c r="A24" s="3106"/>
      <c r="B24" s="1509"/>
      <c r="C24" s="1509"/>
      <c r="D24" s="1509"/>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21" t="s">
        <v>146</v>
      </c>
      <c r="B15" s="3226" t="s">
        <v>147</v>
      </c>
      <c r="C15" s="3220"/>
    </row>
    <row r="16" spans="1:7" ht="14.4">
      <c r="A16" s="3222"/>
      <c r="B16" s="3226" t="s">
        <v>148</v>
      </c>
      <c r="C16" s="3220"/>
    </row>
    <row r="17" spans="1:3" ht="14.4">
      <c r="A17" s="3222"/>
      <c r="B17" s="3225" t="s">
        <v>149</v>
      </c>
      <c r="C17" s="3088" t="s">
        <v>146</v>
      </c>
    </row>
    <row r="18" spans="1:3" ht="14.4">
      <c r="A18" s="3222"/>
      <c r="B18" s="3225"/>
      <c r="C18" s="3088" t="s">
        <v>150</v>
      </c>
    </row>
    <row r="19" spans="1:3" ht="14.4">
      <c r="A19" s="3222"/>
      <c r="B19" s="3225"/>
      <c r="C19" s="3088" t="s">
        <v>151</v>
      </c>
    </row>
    <row r="20" spans="1:3" ht="14.4">
      <c r="A20" s="3223"/>
      <c r="B20" s="3219" t="s">
        <v>152</v>
      </c>
      <c r="C20" s="3220"/>
    </row>
    <row r="21" spans="1:3" ht="14.4">
      <c r="A21" s="3089" t="s">
        <v>153</v>
      </c>
      <c r="B21" s="3090"/>
      <c r="C21" s="3091"/>
    </row>
    <row r="22" spans="1:3" ht="14.4">
      <c r="A22" s="3224" t="s">
        <v>154</v>
      </c>
      <c r="B22" s="3219" t="s">
        <v>155</v>
      </c>
      <c r="C22" s="3220"/>
    </row>
    <row r="23" spans="1:3" ht="14.4">
      <c r="A23" s="3224"/>
      <c r="B23" s="3219" t="s">
        <v>156</v>
      </c>
      <c r="C23" s="3220"/>
    </row>
    <row r="24" spans="1:3" ht="14.4">
      <c r="A24" s="3224"/>
      <c r="B24" s="3219" t="s">
        <v>157</v>
      </c>
      <c r="C24" s="3220"/>
    </row>
    <row r="25" spans="1:3" ht="14.4">
      <c r="A25" s="3224"/>
      <c r="B25" s="3225" t="s">
        <v>158</v>
      </c>
      <c r="C25" s="3088" t="s">
        <v>159</v>
      </c>
    </row>
    <row r="26" spans="1:3" ht="14.4">
      <c r="A26" s="3224"/>
      <c r="B26" s="3225"/>
      <c r="C26" s="3088" t="s">
        <v>160</v>
      </c>
    </row>
    <row r="27" spans="1:3" ht="14.4">
      <c r="A27" s="3224"/>
      <c r="B27" s="3225"/>
      <c r="C27" s="3088" t="s">
        <v>161</v>
      </c>
    </row>
    <row r="28" spans="1:3" ht="14.4">
      <c r="A28" s="3224"/>
      <c r="B28" s="3225"/>
      <c r="C28" s="3088" t="s">
        <v>162</v>
      </c>
    </row>
    <row r="29" spans="1:3" ht="14.4">
      <c r="A29" s="3224"/>
      <c r="B29" s="3225"/>
      <c r="C29" s="3088" t="s">
        <v>163</v>
      </c>
    </row>
    <row r="30" spans="1:3" ht="14.4">
      <c r="A30" s="3224"/>
      <c r="B30" s="3225"/>
      <c r="C30" s="3088" t="s">
        <v>164</v>
      </c>
    </row>
    <row r="31" spans="1:3" ht="14.4">
      <c r="A31" s="3224"/>
      <c r="B31" s="3225"/>
      <c r="C31" s="3088" t="s">
        <v>165</v>
      </c>
    </row>
    <row r="32" spans="1:3" ht="14.4">
      <c r="A32" s="3224"/>
      <c r="B32" s="3225"/>
      <c r="C32" s="3088" t="s">
        <v>166</v>
      </c>
    </row>
    <row r="33" spans="1:3" ht="14.4">
      <c r="A33" s="3224"/>
      <c r="B33" s="3225"/>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45925</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58"/>
      <c r="E18" s="3229" t="s">
        <v>199</v>
      </c>
      <c r="F18" s="3228"/>
      <c r="G18" s="3228"/>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比较法-租金</vt:lpstr>
      <vt:lpstr>结果表</vt:lpstr>
      <vt:lpstr>成本法</vt:lpstr>
      <vt:lpstr>比较法-商业</vt:lpstr>
      <vt:lpstr>收益法 (元)</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2025-09-25T09:28:19Z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