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-1-0895海淀土增\"/>
    </mc:Choice>
  </mc:AlternateContent>
  <xr:revisionPtr revIDLastSave="0" documentId="13_ncr:1_{1E961B94-C167-4C81-B913-13477610DDE8}" xr6:coauthVersionLast="47" xr6:coauthVersionMax="47" xr10:uidLastSave="{00000000-0000-0000-0000-000000000000}"/>
  <bookViews>
    <workbookView xWindow="-120" yWindow="-120" windowWidth="21840" windowHeight="13140" tabRatio="787" firstSheet="2" activeTab="6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Sheet2" sheetId="70" r:id="rId7"/>
    <sheet name="2014基准地价" sheetId="43" state="hidden" r:id="rId8"/>
    <sheet name="2014因素修正幅度" sheetId="56" state="hidden" r:id="rId9"/>
    <sheet name="2014区片价" sheetId="44" state="hidden" r:id="rId10"/>
    <sheet name="2014修正" sheetId="45" state="hidden" r:id="rId11"/>
    <sheet name="2014容积率修正" sheetId="46" state="hidden" r:id="rId12"/>
    <sheet name="2002基准地价" sheetId="63" r:id="rId13"/>
    <sheet name="2002地价表" sheetId="60" state="hidden" r:id="rId14"/>
    <sheet name="2002容积率修正" sheetId="61" state="hidden" r:id="rId15"/>
    <sheet name="2002因素修正幅度" sheetId="62" state="hidden" r:id="rId16"/>
    <sheet name="1993基准地价" sheetId="64" state="hidden" r:id="rId17"/>
    <sheet name="比较法" sheetId="39" state="hidden" r:id="rId18"/>
    <sheet name="存贷款利率" sheetId="65" r:id="rId19"/>
    <sheet name="地价" sheetId="67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12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 iterate="1"/>
</workbook>
</file>

<file path=xl/calcChain.xml><?xml version="1.0" encoding="utf-8"?>
<calcChain xmlns="http://schemas.openxmlformats.org/spreadsheetml/2006/main">
  <c r="G8" i="70" l="1"/>
  <c r="G5" i="70"/>
  <c r="G7" i="70"/>
  <c r="G9" i="70"/>
  <c r="G10" i="70"/>
  <c r="F6" i="70"/>
  <c r="F5" i="70"/>
  <c r="G16" i="70" l="1"/>
  <c r="G22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7" i="68" s="1"/>
  <c r="B3" i="68"/>
  <c r="B8" i="68"/>
  <c r="B7" i="68"/>
  <c r="B6" i="68"/>
  <c r="B5" i="68"/>
  <c r="N25" i="67"/>
  <c r="O25" i="67"/>
  <c r="P25" i="67"/>
  <c r="Q25" i="67"/>
  <c r="N26" i="67"/>
  <c r="O26" i="67"/>
  <c r="C26" i="67" s="1"/>
  <c r="P26" i="67"/>
  <c r="Q26" i="67"/>
  <c r="F26" i="67" s="1"/>
  <c r="B26" i="67"/>
  <c r="S26" i="67"/>
  <c r="V26" i="67"/>
  <c r="E26" i="67"/>
  <c r="U26" i="67"/>
  <c r="T26" i="67"/>
  <c r="E25" i="67"/>
  <c r="E24" i="67"/>
  <c r="B25" i="67"/>
  <c r="B24" i="67"/>
  <c r="B21" i="67"/>
  <c r="B20" i="67" s="1"/>
  <c r="F25" i="67"/>
  <c r="F24" i="67" s="1"/>
  <c r="F22" i="67"/>
  <c r="S22" i="67"/>
  <c r="C22" i="67"/>
  <c r="T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C86" i="67"/>
  <c r="D86" i="67"/>
  <c r="B86" i="67"/>
  <c r="F85" i="67"/>
  <c r="F84" i="67" s="1"/>
  <c r="C85" i="67"/>
  <c r="B85" i="67"/>
  <c r="B84" i="67" s="1"/>
  <c r="E84" i="67"/>
  <c r="F82" i="67"/>
  <c r="F81" i="67" s="1"/>
  <c r="E82" i="67"/>
  <c r="C82" i="67"/>
  <c r="B82" i="67"/>
  <c r="B81" i="67" s="1"/>
  <c r="E81" i="67"/>
  <c r="E80" i="67" s="1"/>
  <c r="F80" i="67"/>
  <c r="B80" i="67"/>
  <c r="Q78" i="67"/>
  <c r="P78" i="67"/>
  <c r="O78" i="67"/>
  <c r="N78" i="67"/>
  <c r="F78" i="67"/>
  <c r="V78" i="67"/>
  <c r="E78" i="67"/>
  <c r="U78" i="67"/>
  <c r="C78" i="67"/>
  <c r="T78" i="67"/>
  <c r="B78" i="67"/>
  <c r="S78" i="67"/>
  <c r="Q77" i="67"/>
  <c r="P77" i="67"/>
  <c r="O77" i="67"/>
  <c r="N77" i="67"/>
  <c r="F77" i="67"/>
  <c r="E77" i="67"/>
  <c r="E76" i="67" s="1"/>
  <c r="C77" i="67"/>
  <c r="D77" i="67"/>
  <c r="B77" i="67"/>
  <c r="Q76" i="67"/>
  <c r="P76" i="67"/>
  <c r="O76" i="67"/>
  <c r="N76" i="67"/>
  <c r="F76" i="67"/>
  <c r="C76" i="67"/>
  <c r="D76" i="67" s="1"/>
  <c r="B76" i="67"/>
  <c r="Q75" i="67"/>
  <c r="P75" i="67"/>
  <c r="O75" i="67"/>
  <c r="N75" i="67"/>
  <c r="Q74" i="67"/>
  <c r="P74" i="67"/>
  <c r="O74" i="67"/>
  <c r="N74" i="67"/>
  <c r="F74" i="67"/>
  <c r="V74" i="67"/>
  <c r="E74" i="67"/>
  <c r="U74" i="67"/>
  <c r="C74" i="67"/>
  <c r="T74" i="67"/>
  <c r="B74" i="67"/>
  <c r="S74" i="67"/>
  <c r="Q73" i="67"/>
  <c r="P73" i="67"/>
  <c r="O73" i="67"/>
  <c r="N73" i="67"/>
  <c r="F73" i="67"/>
  <c r="E73" i="67"/>
  <c r="E72" i="67" s="1"/>
  <c r="C73" i="67"/>
  <c r="D73" i="67"/>
  <c r="B73" i="67"/>
  <c r="Q72" i="67"/>
  <c r="P72" i="67"/>
  <c r="O72" i="67"/>
  <c r="N72" i="67"/>
  <c r="F72" i="67"/>
  <c r="C72" i="67"/>
  <c r="D72" i="67" s="1"/>
  <c r="B72" i="67"/>
  <c r="Q71" i="67"/>
  <c r="P71" i="67"/>
  <c r="O71" i="67"/>
  <c r="N71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E68" i="67" s="1"/>
  <c r="C69" i="67"/>
  <c r="D69" i="67"/>
  <c r="B69" i="67"/>
  <c r="Q68" i="67"/>
  <c r="P68" i="67"/>
  <c r="O68" i="67"/>
  <c r="N68" i="67"/>
  <c r="F68" i="67"/>
  <c r="C68" i="67"/>
  <c r="D68" i="67" s="1"/>
  <c r="B68" i="67"/>
  <c r="Q67" i="67"/>
  <c r="P67" i="67"/>
  <c r="O67" i="67"/>
  <c r="N67" i="67"/>
  <c r="F66" i="67"/>
  <c r="V66" i="67"/>
  <c r="E66" i="67"/>
  <c r="U66" i="67"/>
  <c r="C66" i="67"/>
  <c r="T66" i="67"/>
  <c r="B66" i="67"/>
  <c r="S66" i="67"/>
  <c r="F65" i="67"/>
  <c r="Q65" i="67"/>
  <c r="E65" i="67"/>
  <c r="P65" i="67"/>
  <c r="C65" i="67"/>
  <c r="O65" i="67"/>
  <c r="B65" i="67"/>
  <c r="N65" i="67"/>
  <c r="F64" i="67"/>
  <c r="Q64" i="67"/>
  <c r="E64" i="67"/>
  <c r="P64" i="67"/>
  <c r="C64" i="67"/>
  <c r="O64" i="67"/>
  <c r="B64" i="67"/>
  <c r="N64" i="67"/>
  <c r="Q63" i="67"/>
  <c r="P63" i="67"/>
  <c r="O63" i="67"/>
  <c r="N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E61" i="67" s="1"/>
  <c r="E62" i="67" s="1"/>
  <c r="U62" i="67" s="1"/>
  <c r="O59" i="67"/>
  <c r="C60" i="67"/>
  <c r="C61" i="67" s="1"/>
  <c r="C62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/>
  <c r="C57" i="67" s="1"/>
  <c r="C58" i="67" s="1"/>
  <c r="N55" i="67"/>
  <c r="B56" i="67" s="1"/>
  <c r="B57" i="67" s="1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E53" i="67" s="1"/>
  <c r="E54" i="67" s="1"/>
  <c r="U54" i="67" s="1"/>
  <c r="O51" i="67"/>
  <c r="C52" i="67"/>
  <c r="C53" i="67" s="1"/>
  <c r="C54" i="67" s="1"/>
  <c r="N51" i="67"/>
  <c r="B52" i="67" s="1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/>
  <c r="C49" i="67" s="1"/>
  <c r="C50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/>
  <c r="C41" i="67" s="1"/>
  <c r="C42" i="67" s="1"/>
  <c r="N39" i="67"/>
  <c r="B40" i="67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/>
  <c r="E37" i="67" s="1"/>
  <c r="E38" i="67" s="1"/>
  <c r="U38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/>
  <c r="E33" i="67" s="1"/>
  <c r="E34" i="67" s="1"/>
  <c r="U34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/>
  <c r="E29" i="67" s="1"/>
  <c r="E30" i="67" s="1"/>
  <c r="U30" i="67" s="1"/>
  <c r="O27" i="67"/>
  <c r="C28" i="67" s="1"/>
  <c r="N27" i="67"/>
  <c r="B28" i="67"/>
  <c r="B29" i="67" s="1"/>
  <c r="B30" i="67" s="1"/>
  <c r="S30" i="67" s="1"/>
  <c r="D22" i="67"/>
  <c r="D48" i="67"/>
  <c r="D52" i="67"/>
  <c r="D56" i="67"/>
  <c r="D60" i="67"/>
  <c r="D64" i="67"/>
  <c r="D66" i="67"/>
  <c r="D70" i="67"/>
  <c r="D74" i="67"/>
  <c r="D78" i="67"/>
  <c r="D41" i="67"/>
  <c r="D53" i="67"/>
  <c r="D61" i="67"/>
  <c r="D65" i="67"/>
  <c r="N66" i="67"/>
  <c r="P66" i="67"/>
  <c r="O66" i="67"/>
  <c r="Q66" i="67"/>
  <c r="Y62" i="66"/>
  <c r="Y61" i="66" s="1"/>
  <c r="Y63" i="66"/>
  <c r="A70" i="66"/>
  <c r="H6" i="59"/>
  <c r="O1" i="66"/>
  <c r="J1" i="66"/>
  <c r="G2" i="66"/>
  <c r="N20" i="43" s="1"/>
  <c r="B9" i="66"/>
  <c r="C9" i="66"/>
  <c r="E9" i="66"/>
  <c r="F9" i="66"/>
  <c r="K4" i="66" s="1"/>
  <c r="B10" i="66"/>
  <c r="C10" i="66"/>
  <c r="E10" i="66"/>
  <c r="F10" i="66"/>
  <c r="K10" i="66" s="1"/>
  <c r="B11" i="66"/>
  <c r="C11" i="66"/>
  <c r="D11" i="66" s="1"/>
  <c r="E11" i="66"/>
  <c r="F11" i="66"/>
  <c r="K11" i="66" s="1"/>
  <c r="B12" i="66"/>
  <c r="C12" i="66"/>
  <c r="E12" i="66"/>
  <c r="F12" i="66"/>
  <c r="K12" i="66" s="1"/>
  <c r="B13" i="66"/>
  <c r="C13" i="66"/>
  <c r="D13" i="66" s="1"/>
  <c r="E13" i="66"/>
  <c r="F13" i="66"/>
  <c r="K13" i="66" s="1"/>
  <c r="B14" i="66"/>
  <c r="C14" i="66"/>
  <c r="E14" i="66"/>
  <c r="F14" i="66"/>
  <c r="K14" i="66" s="1"/>
  <c r="B15" i="66"/>
  <c r="C15" i="66"/>
  <c r="D15" i="66" s="1"/>
  <c r="E15" i="66"/>
  <c r="F15" i="66"/>
  <c r="K15" i="66" s="1"/>
  <c r="B16" i="66"/>
  <c r="C16" i="66"/>
  <c r="E16" i="66"/>
  <c r="F16" i="66"/>
  <c r="K16" i="66" s="1"/>
  <c r="B17" i="66"/>
  <c r="C17" i="66"/>
  <c r="D17" i="66" s="1"/>
  <c r="E17" i="66"/>
  <c r="F17" i="66"/>
  <c r="B18" i="66"/>
  <c r="G18" i="66"/>
  <c r="C18" i="66"/>
  <c r="H18" i="66"/>
  <c r="E18" i="66"/>
  <c r="J18" i="66"/>
  <c r="F18" i="66"/>
  <c r="K18" i="66"/>
  <c r="B19" i="66"/>
  <c r="C19" i="66"/>
  <c r="D19" i="66" s="1"/>
  <c r="E19" i="66"/>
  <c r="F19" i="66"/>
  <c r="B20" i="66"/>
  <c r="C20" i="66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J8" i="66" s="1"/>
  <c r="C8" i="66"/>
  <c r="B8" i="66"/>
  <c r="G4" i="66" s="1"/>
  <c r="Z67" i="66"/>
  <c r="U67" i="66"/>
  <c r="C67" i="66" s="1"/>
  <c r="D67" i="66" s="1"/>
  <c r="AA67" i="66"/>
  <c r="AA66" i="66"/>
  <c r="AA65" i="66" s="1"/>
  <c r="AB67" i="66"/>
  <c r="W67" i="66" s="1"/>
  <c r="F67" i="66" s="1"/>
  <c r="Y67" i="66"/>
  <c r="Y66" i="66"/>
  <c r="Y65" i="66" s="1"/>
  <c r="AB63" i="66"/>
  <c r="W63" i="66" s="1"/>
  <c r="F63" i="66" s="1"/>
  <c r="AA63" i="66"/>
  <c r="AA62" i="66"/>
  <c r="V62" i="66" s="1"/>
  <c r="E62" i="66" s="1"/>
  <c r="Z63" i="66"/>
  <c r="U63" i="66"/>
  <c r="C63" i="66" s="1"/>
  <c r="D63" i="66" s="1"/>
  <c r="D8" i="66"/>
  <c r="D26" i="66"/>
  <c r="D24" i="66"/>
  <c r="D22" i="66"/>
  <c r="D20" i="66"/>
  <c r="D18" i="66"/>
  <c r="D16" i="66"/>
  <c r="D14" i="66"/>
  <c r="D12" i="66"/>
  <c r="D10" i="66"/>
  <c r="D9" i="66"/>
  <c r="I9" i="66" s="1"/>
  <c r="H4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G8" i="66"/>
  <c r="G7" i="66"/>
  <c r="G6" i="66"/>
  <c r="G5" i="66"/>
  <c r="V67" i="66"/>
  <c r="E67" i="66" s="1"/>
  <c r="Z62" i="66"/>
  <c r="U62" i="66" s="1"/>
  <c r="C62" i="66" s="1"/>
  <c r="D62" i="66" s="1"/>
  <c r="T63" i="66"/>
  <c r="B63" i="66"/>
  <c r="T67" i="66"/>
  <c r="B67" i="66" s="1"/>
  <c r="AA61" i="66"/>
  <c r="T66" i="66"/>
  <c r="B66" i="66" s="1"/>
  <c r="L66" i="66" s="1"/>
  <c r="V63" i="66"/>
  <c r="E63" i="66"/>
  <c r="T62" i="66"/>
  <c r="B62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I7" i="66"/>
  <c r="I5" i="66"/>
  <c r="I10" i="66"/>
  <c r="I14" i="66"/>
  <c r="I18" i="66"/>
  <c r="I6" i="66"/>
  <c r="I11" i="66"/>
  <c r="I13" i="66"/>
  <c r="I15" i="66"/>
  <c r="I17" i="66"/>
  <c r="Z61" i="66"/>
  <c r="U61" i="66" s="1"/>
  <c r="C61" i="66" s="1"/>
  <c r="D61" i="66" s="1"/>
  <c r="U66" i="66"/>
  <c r="C66" i="66"/>
  <c r="Z65" i="66"/>
  <c r="V60" i="66"/>
  <c r="E60" i="66" s="1"/>
  <c r="V61" i="66"/>
  <c r="E61" i="66" s="1"/>
  <c r="D66" i="66"/>
  <c r="N66" i="66" s="1"/>
  <c r="M66" i="66"/>
  <c r="U64" i="66"/>
  <c r="C64" i="66" s="1"/>
  <c r="U65" i="66"/>
  <c r="C65" i="66" s="1"/>
  <c r="C18" i="64"/>
  <c r="M61" i="66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J12" i="39" s="1"/>
  <c r="AC12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B7" i="64"/>
  <c r="E14" i="64" s="1"/>
  <c r="B5" i="64"/>
  <c r="C25" i="64" s="1"/>
  <c r="B10" i="64"/>
  <c r="D30" i="64" s="1"/>
  <c r="B9" i="64"/>
  <c r="D29" i="64" s="1"/>
  <c r="D14" i="64"/>
  <c r="E17" i="64"/>
  <c r="D20" i="64"/>
  <c r="E20" i="64"/>
  <c r="G11" i="9"/>
  <c r="F7" i="9"/>
  <c r="C63" i="39"/>
  <c r="H9" i="39" s="1"/>
  <c r="U9" i="39" s="1"/>
  <c r="C9" i="39"/>
  <c r="F9" i="39" s="1"/>
  <c r="J9" i="39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A16" i="43" s="1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H10" i="63"/>
  <c r="J20" i="43"/>
  <c r="D8" i="63"/>
  <c r="K1" i="60"/>
  <c r="F45" i="63"/>
  <c r="G45" i="63" s="1"/>
  <c r="D43" i="63"/>
  <c r="F42" i="63"/>
  <c r="D42" i="63"/>
  <c r="F56" i="63"/>
  <c r="F54" i="63"/>
  <c r="F52" i="63"/>
  <c r="G52" i="63" s="1"/>
  <c r="D60" i="63"/>
  <c r="F66" i="63"/>
  <c r="G66" i="63" s="1"/>
  <c r="D66" i="63"/>
  <c r="D64" i="63"/>
  <c r="F62" i="63"/>
  <c r="G62" i="63" s="1"/>
  <c r="D62" i="63"/>
  <c r="D70" i="63"/>
  <c r="F76" i="63"/>
  <c r="G76" i="63" s="1"/>
  <c r="F74" i="63"/>
  <c r="G74" i="63" s="1"/>
  <c r="D72" i="63"/>
  <c r="D74" i="63"/>
  <c r="F48" i="63"/>
  <c r="F44" i="63"/>
  <c r="F51" i="63"/>
  <c r="G51" i="63" s="1"/>
  <c r="F55" i="63"/>
  <c r="F53" i="63"/>
  <c r="G53" i="63" s="1"/>
  <c r="F65" i="63"/>
  <c r="G65" i="63" s="1"/>
  <c r="D65" i="63"/>
  <c r="F63" i="63"/>
  <c r="D61" i="63"/>
  <c r="F75" i="63"/>
  <c r="G75" i="63" s="1"/>
  <c r="D75" i="63"/>
  <c r="D73" i="63"/>
  <c r="F71" i="63"/>
  <c r="G71" i="63" s="1"/>
  <c r="D71" i="63"/>
  <c r="D53" i="63"/>
  <c r="D51" i="63"/>
  <c r="I2" i="43"/>
  <c r="H6" i="44" s="1"/>
  <c r="D1" i="43"/>
  <c r="G2" i="43"/>
  <c r="O17" i="43" s="1"/>
  <c r="D57" i="63"/>
  <c r="G44" i="63"/>
  <c r="D44" i="63"/>
  <c r="G48" i="63"/>
  <c r="D48" i="63"/>
  <c r="D76" i="63"/>
  <c r="E70" i="63" s="1"/>
  <c r="B68" i="63" s="1"/>
  <c r="C15" i="63" s="1"/>
  <c r="G54" i="63"/>
  <c r="D54" i="63"/>
  <c r="D45" i="63"/>
  <c r="G63" i="63"/>
  <c r="D63" i="63"/>
  <c r="G55" i="63"/>
  <c r="D55" i="63"/>
  <c r="D46" i="63"/>
  <c r="D52" i="63"/>
  <c r="G56" i="63"/>
  <c r="D56" i="63"/>
  <c r="D47" i="63"/>
  <c r="O4" i="59"/>
  <c r="F31" i="59"/>
  <c r="F32" i="59" s="1"/>
  <c r="G29" i="59"/>
  <c r="F18" i="59"/>
  <c r="F9" i="9" s="1"/>
  <c r="B8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/>
  <c r="K62" i="43"/>
  <c r="J62" i="43"/>
  <c r="D62" i="43"/>
  <c r="M61" i="43"/>
  <c r="N61" i="43" s="1"/>
  <c r="K61" i="43"/>
  <c r="J61" i="43" s="1"/>
  <c r="D61" i="43"/>
  <c r="M60" i="43"/>
  <c r="N60" i="43"/>
  <c r="K60" i="43"/>
  <c r="J60" i="43"/>
  <c r="D60" i="43"/>
  <c r="M59" i="43"/>
  <c r="N59" i="43" s="1"/>
  <c r="K59" i="43"/>
  <c r="J59" i="43" s="1"/>
  <c r="D59" i="43"/>
  <c r="M56" i="43"/>
  <c r="N56" i="43"/>
  <c r="K56" i="43"/>
  <c r="J56" i="43"/>
  <c r="D56" i="43"/>
  <c r="M55" i="43"/>
  <c r="N55" i="43" s="1"/>
  <c r="K55" i="43"/>
  <c r="J55" i="43" s="1"/>
  <c r="D55" i="43"/>
  <c r="M54" i="43"/>
  <c r="N54" i="43"/>
  <c r="K54" i="43"/>
  <c r="J54" i="43"/>
  <c r="M53" i="43"/>
  <c r="N53" i="43"/>
  <c r="K53" i="43"/>
  <c r="J53" i="43"/>
  <c r="D53" i="43"/>
  <c r="M52" i="43"/>
  <c r="N52" i="43" s="1"/>
  <c r="K52" i="43"/>
  <c r="J52" i="43" s="1"/>
  <c r="D52" i="43"/>
  <c r="M51" i="43"/>
  <c r="N51" i="43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F12" i="39"/>
  <c r="S12" i="39" s="1"/>
  <c r="U8" i="39"/>
  <c r="H35" i="39"/>
  <c r="U35" i="39" s="1"/>
  <c r="J35" i="39"/>
  <c r="AC35" i="39" s="1"/>
  <c r="M11" i="43"/>
  <c r="M3" i="43"/>
  <c r="M10" i="43"/>
  <c r="M4" i="43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M101" i="43"/>
  <c r="E101" i="43"/>
  <c r="K101" i="43"/>
  <c r="C101" i="43"/>
  <c r="AB13" i="39"/>
  <c r="F27" i="39"/>
  <c r="AA27" i="39" s="1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C15" i="39"/>
  <c r="AB15" i="39"/>
  <c r="AB12" i="39"/>
  <c r="U10" i="39"/>
  <c r="S10" i="39"/>
  <c r="M12" i="43"/>
  <c r="M6" i="43"/>
  <c r="C6" i="43" s="1"/>
  <c r="M5" i="43"/>
  <c r="N4" i="43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 s="1"/>
  <c r="S21" i="39"/>
  <c r="AB21" i="39"/>
  <c r="AA44" i="39"/>
  <c r="S44" i="39"/>
  <c r="AC40" i="39"/>
  <c r="AB41" i="39"/>
  <c r="AA15" i="39"/>
  <c r="S15" i="39"/>
  <c r="AA37" i="39"/>
  <c r="W45" i="39"/>
  <c r="AB32" i="39"/>
  <c r="B2" i="39"/>
  <c r="G42" i="63"/>
  <c r="U22" i="67"/>
  <c r="E21" i="67"/>
  <c r="E20" i="67"/>
  <c r="E19" i="67" s="1"/>
  <c r="E18" i="67" s="1"/>
  <c r="B19" i="67"/>
  <c r="B18" i="67"/>
  <c r="I2" i="66"/>
  <c r="N22" i="43" s="1"/>
  <c r="H2" i="66"/>
  <c r="N21" i="43" s="1"/>
  <c r="K2" i="66"/>
  <c r="N24" i="43" s="1"/>
  <c r="H13" i="44"/>
  <c r="N12" i="43"/>
  <c r="N8" i="43"/>
  <c r="N3" i="43"/>
  <c r="N5" i="43"/>
  <c r="N9" i="43"/>
  <c r="M2" i="43"/>
  <c r="N7" i="43"/>
  <c r="N1" i="43"/>
  <c r="N2" i="43"/>
  <c r="N10" i="43"/>
  <c r="H8" i="44"/>
  <c r="H12" i="44"/>
  <c r="F114" i="43"/>
  <c r="H5" i="44"/>
  <c r="A12" i="43"/>
  <c r="F59" i="43"/>
  <c r="H62" i="43" s="1"/>
  <c r="F19" i="43"/>
  <c r="J7" i="39"/>
  <c r="AC7" i="39" s="1"/>
  <c r="V47" i="39" s="1"/>
  <c r="I47" i="39" s="1"/>
  <c r="W9" i="39"/>
  <c r="H16" i="63"/>
  <c r="I3" i="63"/>
  <c r="B17" i="67"/>
  <c r="B16" i="67" s="1"/>
  <c r="B15" i="67" s="1"/>
  <c r="S18" i="67"/>
  <c r="H65" i="43"/>
  <c r="B3" i="43"/>
  <c r="B4" i="43"/>
  <c r="H7" i="65"/>
  <c r="H4" i="65"/>
  <c r="G4" i="65"/>
  <c r="H8" i="65"/>
  <c r="H6" i="65"/>
  <c r="H5" i="65"/>
  <c r="G5" i="65"/>
  <c r="G6" i="65"/>
  <c r="G7" i="65"/>
  <c r="G8" i="65"/>
  <c r="C6" i="68" l="1"/>
  <c r="D19" i="63"/>
  <c r="D28" i="64"/>
  <c r="J2" i="65"/>
  <c r="H7" i="39"/>
  <c r="AA9" i="39"/>
  <c r="S9" i="39"/>
  <c r="F48" i="43"/>
  <c r="H50" i="43" s="1"/>
  <c r="M1" i="43"/>
  <c r="C17" i="43"/>
  <c r="M7" i="43"/>
  <c r="H15" i="44"/>
  <c r="M9" i="43"/>
  <c r="H11" i="44"/>
  <c r="H14" i="44"/>
  <c r="N11" i="43"/>
  <c r="M8" i="43"/>
  <c r="N6" i="43"/>
  <c r="H10" i="44"/>
  <c r="F73" i="63"/>
  <c r="G73" i="63" s="1"/>
  <c r="F61" i="63"/>
  <c r="G61" i="63" s="1"/>
  <c r="F67" i="63"/>
  <c r="G67" i="63" s="1"/>
  <c r="F57" i="63"/>
  <c r="G57" i="63" s="1"/>
  <c r="F46" i="63"/>
  <c r="G46" i="63" s="1"/>
  <c r="F72" i="63"/>
  <c r="G72" i="63" s="1"/>
  <c r="F70" i="63"/>
  <c r="G70" i="63" s="1"/>
  <c r="F64" i="63"/>
  <c r="G64" i="63" s="1"/>
  <c r="F60" i="63"/>
  <c r="G60" i="63" s="1"/>
  <c r="D17" i="64"/>
  <c r="I20" i="43"/>
  <c r="G10" i="63"/>
  <c r="C10" i="63" s="1"/>
  <c r="D27" i="64"/>
  <c r="C5" i="68"/>
  <c r="H59" i="43"/>
  <c r="AA12" i="39"/>
  <c r="E51" i="63"/>
  <c r="B49" i="63" s="1"/>
  <c r="E60" i="63"/>
  <c r="B58" i="63" s="1"/>
  <c r="F7" i="39"/>
  <c r="E8" i="43"/>
  <c r="E11" i="43"/>
  <c r="E10" i="43"/>
  <c r="E9" i="43"/>
  <c r="J42" i="63"/>
  <c r="I42" i="63" s="1"/>
  <c r="J47" i="63"/>
  <c r="I47" i="63" s="1"/>
  <c r="J45" i="63"/>
  <c r="I45" i="63" s="1"/>
  <c r="J43" i="63"/>
  <c r="I43" i="63" s="1"/>
  <c r="E17" i="67"/>
  <c r="E16" i="67" s="1"/>
  <c r="E15" i="67" s="1"/>
  <c r="E14" i="67" s="1"/>
  <c r="U18" i="67"/>
  <c r="J54" i="63"/>
  <c r="I54" i="63" s="1"/>
  <c r="J57" i="63"/>
  <c r="I57" i="63" s="1"/>
  <c r="J55" i="63"/>
  <c r="I55" i="63" s="1"/>
  <c r="J51" i="63"/>
  <c r="I51" i="63" s="1"/>
  <c r="J56" i="63"/>
  <c r="I56" i="63" s="1"/>
  <c r="J52" i="63"/>
  <c r="I52" i="63" s="1"/>
  <c r="J53" i="63"/>
  <c r="I53" i="63" s="1"/>
  <c r="J65" i="63"/>
  <c r="I65" i="63" s="1"/>
  <c r="J61" i="63"/>
  <c r="I61" i="63" s="1"/>
  <c r="J60" i="63"/>
  <c r="I60" i="63" s="1"/>
  <c r="J67" i="63"/>
  <c r="I67" i="63" s="1"/>
  <c r="J63" i="63"/>
  <c r="I63" i="63" s="1"/>
  <c r="J66" i="63"/>
  <c r="I66" i="63" s="1"/>
  <c r="J64" i="63"/>
  <c r="I64" i="63" s="1"/>
  <c r="J62" i="63"/>
  <c r="I62" i="63" s="1"/>
  <c r="J71" i="63"/>
  <c r="I71" i="63" s="1"/>
  <c r="J74" i="63"/>
  <c r="I74" i="63" s="1"/>
  <c r="J72" i="63"/>
  <c r="I72" i="63" s="1"/>
  <c r="J75" i="63"/>
  <c r="I75" i="63" s="1"/>
  <c r="J76" i="63"/>
  <c r="I76" i="63" s="1"/>
  <c r="J70" i="63"/>
  <c r="I70" i="63" s="1"/>
  <c r="J73" i="63"/>
  <c r="I73" i="63" s="1"/>
  <c r="AB19" i="39"/>
  <c r="D65" i="66"/>
  <c r="N65" i="66" s="1"/>
  <c r="M65" i="66"/>
  <c r="B11" i="64"/>
  <c r="C21" i="64" s="1"/>
  <c r="G3" i="43"/>
  <c r="C11" i="39"/>
  <c r="G3" i="63"/>
  <c r="D20" i="63"/>
  <c r="M64" i="66"/>
  <c r="M62" i="66"/>
  <c r="D64" i="66"/>
  <c r="M63" i="66"/>
  <c r="F29" i="59"/>
  <c r="T64" i="66"/>
  <c r="B64" i="66" s="1"/>
  <c r="T65" i="66"/>
  <c r="B65" i="66" s="1"/>
  <c r="L65" i="66" s="1"/>
  <c r="D28" i="67"/>
  <c r="C29" i="67"/>
  <c r="D32" i="67"/>
  <c r="C33" i="67"/>
  <c r="D36" i="67"/>
  <c r="C37" i="67"/>
  <c r="T42" i="67"/>
  <c r="D42" i="67"/>
  <c r="T50" i="67"/>
  <c r="D50" i="67"/>
  <c r="T54" i="67"/>
  <c r="D54" i="67"/>
  <c r="T58" i="67"/>
  <c r="D58" i="67"/>
  <c r="T62" i="67"/>
  <c r="D62" i="67"/>
  <c r="U60" i="66"/>
  <c r="C60" i="66" s="1"/>
  <c r="M18" i="66" s="1"/>
  <c r="V65" i="66"/>
  <c r="E65" i="66" s="1"/>
  <c r="V64" i="66"/>
  <c r="E64" i="66" s="1"/>
  <c r="I16" i="66"/>
  <c r="I12" i="66"/>
  <c r="I8" i="66"/>
  <c r="T60" i="66"/>
  <c r="B60" i="66" s="1"/>
  <c r="L18" i="66" s="1"/>
  <c r="T61" i="66"/>
  <c r="B61" i="66" s="1"/>
  <c r="L61" i="66" s="1"/>
  <c r="M19" i="66"/>
  <c r="M17" i="66"/>
  <c r="M2" i="66" s="1"/>
  <c r="C27" i="63" s="1"/>
  <c r="D82" i="67"/>
  <c r="C81" i="67"/>
  <c r="D85" i="67"/>
  <c r="C84" i="67"/>
  <c r="D84" i="67" s="1"/>
  <c r="F21" i="67"/>
  <c r="F20" i="67" s="1"/>
  <c r="F19" i="67" s="1"/>
  <c r="F18" i="67" s="1"/>
  <c r="V22" i="67"/>
  <c r="B14" i="67"/>
  <c r="AB66" i="66"/>
  <c r="V66" i="66"/>
  <c r="E66" i="66" s="1"/>
  <c r="O66" i="66" s="1"/>
  <c r="AB62" i="66"/>
  <c r="I4" i="66"/>
  <c r="J5" i="66"/>
  <c r="J6" i="66"/>
  <c r="J7" i="66"/>
  <c r="K5" i="66"/>
  <c r="K6" i="66"/>
  <c r="K7" i="66"/>
  <c r="K8" i="66"/>
  <c r="K9" i="66"/>
  <c r="K17" i="66"/>
  <c r="D57" i="67"/>
  <c r="D49" i="67"/>
  <c r="D44" i="67"/>
  <c r="D40" i="67"/>
  <c r="C21" i="67"/>
  <c r="C25" i="67"/>
  <c r="D26" i="67"/>
  <c r="E14" i="68"/>
  <c r="C8" i="68"/>
  <c r="B2" i="68"/>
  <c r="F14" i="68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0" i="43" s="1"/>
  <c r="C15" i="64"/>
  <c r="W7" i="39"/>
  <c r="B13" i="67"/>
  <c r="B12" i="67" s="1"/>
  <c r="B11" i="67" s="1"/>
  <c r="B10" i="67" s="1"/>
  <c r="B9" i="67" s="1"/>
  <c r="S14" i="67"/>
  <c r="E13" i="67"/>
  <c r="E12" i="67" s="1"/>
  <c r="E11" i="67" s="1"/>
  <c r="E10" i="67" s="1"/>
  <c r="E9" i="67" s="1"/>
  <c r="U14" i="67"/>
  <c r="M1" i="60"/>
  <c r="C7" i="63" s="1"/>
  <c r="D17" i="43"/>
  <c r="L17" i="43"/>
  <c r="N17" i="43"/>
  <c r="E17" i="43"/>
  <c r="H74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S10" i="67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E5" i="65"/>
  <c r="D7" i="65"/>
  <c r="E7" i="65"/>
  <c r="E8" i="65"/>
  <c r="D5" i="65"/>
  <c r="D8" i="65"/>
  <c r="E6" i="65"/>
  <c r="D6" i="65"/>
  <c r="D4" i="65"/>
  <c r="E4" i="65"/>
  <c r="F33" i="59" l="1"/>
  <c r="B17" i="9" s="1"/>
  <c r="U7" i="39"/>
  <c r="AB7" i="39"/>
  <c r="T47" i="39" s="1"/>
  <c r="G47" i="39" s="1"/>
  <c r="H48" i="43"/>
  <c r="H56" i="43"/>
  <c r="H53" i="43"/>
  <c r="H49" i="43"/>
  <c r="H54" i="43"/>
  <c r="H51" i="43"/>
  <c r="H52" i="43"/>
  <c r="H55" i="43"/>
  <c r="H73" i="43"/>
  <c r="S7" i="39"/>
  <c r="AA7" i="39"/>
  <c r="R47" i="39" s="1"/>
  <c r="D7" i="68"/>
  <c r="D5" i="68"/>
  <c r="D8" i="68"/>
  <c r="D6" i="68"/>
  <c r="C20" i="67"/>
  <c r="D21" i="67"/>
  <c r="W62" i="66"/>
  <c r="F62" i="66" s="1"/>
  <c r="AB61" i="66"/>
  <c r="W66" i="66"/>
  <c r="F66" i="66" s="1"/>
  <c r="P66" i="66" s="1"/>
  <c r="AB65" i="66"/>
  <c r="D81" i="67"/>
  <c r="C80" i="67"/>
  <c r="D80" i="67" s="1"/>
  <c r="O63" i="66"/>
  <c r="O64" i="66"/>
  <c r="O62" i="66"/>
  <c r="L19" i="66"/>
  <c r="L64" i="66"/>
  <c r="L63" i="66"/>
  <c r="O20" i="66"/>
  <c r="O26" i="66"/>
  <c r="O30" i="66"/>
  <c r="O34" i="66"/>
  <c r="O38" i="66"/>
  <c r="O42" i="66"/>
  <c r="O46" i="66"/>
  <c r="O50" i="66"/>
  <c r="O54" i="66"/>
  <c r="O57" i="66"/>
  <c r="O21" i="66"/>
  <c r="O22" i="66"/>
  <c r="O29" i="66"/>
  <c r="O33" i="66"/>
  <c r="O37" i="66"/>
  <c r="O41" i="66"/>
  <c r="O45" i="66"/>
  <c r="O49" i="66"/>
  <c r="O53" i="66"/>
  <c r="O55" i="66"/>
  <c r="H11" i="39"/>
  <c r="F11" i="39"/>
  <c r="J11" i="39"/>
  <c r="D25" i="67"/>
  <c r="C24" i="67"/>
  <c r="D24" i="67" s="1"/>
  <c r="F17" i="67"/>
  <c r="F16" i="67" s="1"/>
  <c r="F15" i="67" s="1"/>
  <c r="F14" i="67" s="1"/>
  <c r="V18" i="67"/>
  <c r="O19" i="66"/>
  <c r="L20" i="66"/>
  <c r="L22" i="66"/>
  <c r="L24" i="66"/>
  <c r="L26" i="66"/>
  <c r="L27" i="66"/>
  <c r="L28" i="66"/>
  <c r="L30" i="66"/>
  <c r="L32" i="66"/>
  <c r="L34" i="66"/>
  <c r="L36" i="66"/>
  <c r="L38" i="66"/>
  <c r="L40" i="66"/>
  <c r="L42" i="66"/>
  <c r="L44" i="66"/>
  <c r="L46" i="66"/>
  <c r="L48" i="66"/>
  <c r="L50" i="66"/>
  <c r="L52" i="66"/>
  <c r="L54" i="66"/>
  <c r="L57" i="66"/>
  <c r="L56" i="66"/>
  <c r="L21" i="66"/>
  <c r="L25" i="66"/>
  <c r="L31" i="66"/>
  <c r="L35" i="66"/>
  <c r="L39" i="66"/>
  <c r="L43" i="66"/>
  <c r="L47" i="66"/>
  <c r="L51" i="66"/>
  <c r="L55" i="66"/>
  <c r="L58" i="66"/>
  <c r="L60" i="66"/>
  <c r="L23" i="66"/>
  <c r="L29" i="66"/>
  <c r="L33" i="66"/>
  <c r="L37" i="66"/>
  <c r="L41" i="66"/>
  <c r="L45" i="66"/>
  <c r="L49" i="66"/>
  <c r="L53" i="66"/>
  <c r="L59" i="66"/>
  <c r="O65" i="66"/>
  <c r="M60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C38" i="67"/>
  <c r="D37" i="67"/>
  <c r="C34" i="67"/>
  <c r="D33" i="67"/>
  <c r="C30" i="67"/>
  <c r="D29" i="67"/>
  <c r="L17" i="66"/>
  <c r="L2" i="66" s="1"/>
  <c r="C26" i="63" s="1"/>
  <c r="O18" i="66"/>
  <c r="O17" i="66"/>
  <c r="O2" i="66" s="1"/>
  <c r="C29" i="63" s="1"/>
  <c r="L62" i="66"/>
  <c r="O23" i="66"/>
  <c r="O24" i="66"/>
  <c r="O28" i="66"/>
  <c r="O32" i="66"/>
  <c r="O36" i="66"/>
  <c r="O40" i="66"/>
  <c r="O44" i="66"/>
  <c r="O48" i="66"/>
  <c r="O52" i="66"/>
  <c r="O58" i="66"/>
  <c r="O60" i="66"/>
  <c r="O25" i="66"/>
  <c r="O27" i="66"/>
  <c r="O31" i="66"/>
  <c r="O35" i="66"/>
  <c r="O39" i="66"/>
  <c r="O43" i="66"/>
  <c r="O47" i="66"/>
  <c r="O51" i="66"/>
  <c r="O56" i="66"/>
  <c r="O59" i="66"/>
  <c r="N64" i="66"/>
  <c r="N62" i="66"/>
  <c r="N61" i="66"/>
  <c r="N63" i="66"/>
  <c r="E13" i="63"/>
  <c r="G13" i="63"/>
  <c r="G12" i="63"/>
  <c r="F13" i="63"/>
  <c r="H13" i="63"/>
  <c r="H12" i="63"/>
  <c r="B80" i="63"/>
  <c r="E12" i="63"/>
  <c r="F12" i="63" s="1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O61" i="66"/>
  <c r="C7" i="43"/>
  <c r="K1" i="65"/>
  <c r="K2" i="65"/>
  <c r="K3" i="65"/>
  <c r="K4" i="65"/>
  <c r="G17" i="43"/>
  <c r="C16" i="43" s="1"/>
  <c r="D5" i="43" s="1"/>
  <c r="H84" i="43"/>
  <c r="H87" i="43"/>
  <c r="H83" i="43"/>
  <c r="H82" i="43"/>
  <c r="H81" i="43"/>
  <c r="H85" i="43"/>
  <c r="H88" i="43"/>
  <c r="H86" i="43"/>
  <c r="H72" i="43"/>
  <c r="H76" i="43"/>
  <c r="H75" i="43"/>
  <c r="H77" i="43"/>
  <c r="H71" i="43"/>
  <c r="H78" i="43"/>
  <c r="U10" i="67"/>
  <c r="E8" i="67"/>
  <c r="B8" i="67"/>
  <c r="D58" i="39"/>
  <c r="E56" i="39"/>
  <c r="S25" i="39"/>
  <c r="AA25" i="39"/>
  <c r="AC25" i="39"/>
  <c r="U25" i="39"/>
  <c r="AB25" i="39"/>
  <c r="AB27" i="39"/>
  <c r="U27" i="39"/>
  <c r="G3" i="65"/>
  <c r="G2" i="65"/>
  <c r="E20" i="43"/>
  <c r="G1" i="65"/>
  <c r="G51" i="39" l="1"/>
  <c r="H51" i="39" s="1"/>
  <c r="G52" i="39"/>
  <c r="H52" i="39" s="1"/>
  <c r="C5" i="43"/>
  <c r="E47" i="39"/>
  <c r="R48" i="39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3" i="43"/>
  <c r="K107" i="43"/>
  <c r="K105" i="43"/>
  <c r="K104" i="43"/>
  <c r="K110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F108" i="43"/>
  <c r="F105" i="43"/>
  <c r="F103" i="43"/>
  <c r="F106" i="43"/>
  <c r="F110" i="43"/>
  <c r="F107" i="43"/>
  <c r="F104" i="43"/>
  <c r="G104" i="43"/>
  <c r="G105" i="43"/>
  <c r="G108" i="43"/>
  <c r="G110" i="43"/>
  <c r="G106" i="43"/>
  <c r="G107" i="43"/>
  <c r="G103" i="43"/>
  <c r="H110" i="43"/>
  <c r="H107" i="43"/>
  <c r="H105" i="43"/>
  <c r="H106" i="43"/>
  <c r="H108" i="43"/>
  <c r="H103" i="43"/>
  <c r="H104" i="43"/>
  <c r="L108" i="43"/>
  <c r="L110" i="43"/>
  <c r="L105" i="43"/>
  <c r="L106" i="43"/>
  <c r="L104" i="43"/>
  <c r="L107" i="43"/>
  <c r="L103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D22" i="43"/>
  <c r="D13" i="63"/>
  <c r="D12" i="63"/>
  <c r="F13" i="67"/>
  <c r="F12" i="67" s="1"/>
  <c r="F11" i="67" s="1"/>
  <c r="F10" i="67" s="1"/>
  <c r="V14" i="67"/>
  <c r="AA11" i="39"/>
  <c r="S11" i="39"/>
  <c r="W64" i="66"/>
  <c r="F64" i="66" s="1"/>
  <c r="W65" i="66"/>
  <c r="F65" i="66" s="1"/>
  <c r="P65" i="66" s="1"/>
  <c r="W61" i="66"/>
  <c r="F61" i="66" s="1"/>
  <c r="W60" i="66"/>
  <c r="F60" i="66" s="1"/>
  <c r="B83" i="63"/>
  <c r="B85" i="63"/>
  <c r="B84" i="63"/>
  <c r="B82" i="63"/>
  <c r="B81" i="63" s="1"/>
  <c r="D14" i="63" s="1"/>
  <c r="T30" i="67"/>
  <c r="D30" i="67"/>
  <c r="T34" i="67"/>
  <c r="D34" i="67"/>
  <c r="T38" i="67"/>
  <c r="D38" i="67"/>
  <c r="I9" i="63" s="1"/>
  <c r="C9" i="63" s="1"/>
  <c r="N59" i="66"/>
  <c r="N60" i="66"/>
  <c r="N27" i="66"/>
  <c r="N42" i="66"/>
  <c r="N58" i="66"/>
  <c r="N25" i="66"/>
  <c r="N36" i="66"/>
  <c r="N52" i="66"/>
  <c r="N45" i="66"/>
  <c r="N20" i="66"/>
  <c r="N51" i="66"/>
  <c r="N57" i="66"/>
  <c r="N34" i="66"/>
  <c r="N50" i="66"/>
  <c r="N35" i="66"/>
  <c r="N28" i="66"/>
  <c r="N44" i="66"/>
  <c r="N22" i="66"/>
  <c r="N37" i="66"/>
  <c r="N53" i="66"/>
  <c r="N39" i="66"/>
  <c r="N43" i="66"/>
  <c r="N23" i="66"/>
  <c r="N41" i="66"/>
  <c r="N26" i="66"/>
  <c r="N48" i="66"/>
  <c r="N32" i="66"/>
  <c r="N47" i="66"/>
  <c r="N54" i="66"/>
  <c r="N38" i="66"/>
  <c r="N55" i="66"/>
  <c r="N21" i="66"/>
  <c r="N31" i="66"/>
  <c r="N49" i="66"/>
  <c r="N33" i="66"/>
  <c r="N56" i="66"/>
  <c r="N40" i="66"/>
  <c r="N29" i="66"/>
  <c r="N24" i="66"/>
  <c r="N46" i="66"/>
  <c r="N30" i="66"/>
  <c r="N18" i="66"/>
  <c r="N19" i="66"/>
  <c r="N17" i="66"/>
  <c r="N2" i="66" s="1"/>
  <c r="C28" i="63" s="1"/>
  <c r="AC11" i="39"/>
  <c r="W11" i="39"/>
  <c r="AB11" i="39"/>
  <c r="U11" i="39"/>
  <c r="C19" i="67"/>
  <c r="D20" i="67"/>
  <c r="S20" i="43"/>
  <c r="Q20" i="43"/>
  <c r="R20" i="43"/>
  <c r="P20" i="43"/>
  <c r="G9" i="59"/>
  <c r="C12" i="9" s="1"/>
  <c r="C23" i="64"/>
  <c r="B17" i="59" s="1"/>
  <c r="B18" i="59" s="1"/>
  <c r="G21" i="59"/>
  <c r="E7" i="67"/>
  <c r="B7" i="67"/>
  <c r="E58" i="39"/>
  <c r="F56" i="39"/>
  <c r="C21" i="43" l="1"/>
  <c r="C11" i="63"/>
  <c r="C18" i="63" s="1"/>
  <c r="G20" i="43"/>
  <c r="C21" i="63"/>
  <c r="E21" i="63" s="1"/>
  <c r="C20" i="63"/>
  <c r="C47" i="39"/>
  <c r="C48" i="39"/>
  <c r="B3" i="39" s="1"/>
  <c r="C19" i="63"/>
  <c r="E19" i="63" s="1"/>
  <c r="E52" i="39"/>
  <c r="F52" i="39" s="1"/>
  <c r="I52" i="39"/>
  <c r="J52" i="39" s="1"/>
  <c r="E51" i="39"/>
  <c r="F51" i="39" s="1"/>
  <c r="G12" i="9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43" i="66"/>
  <c r="P55" i="66"/>
  <c r="P23" i="66"/>
  <c r="P32" i="66"/>
  <c r="P48" i="66"/>
  <c r="P39" i="66"/>
  <c r="P28" i="66"/>
  <c r="P44" i="66"/>
  <c r="P22" i="66"/>
  <c r="P41" i="66"/>
  <c r="P57" i="66"/>
  <c r="P30" i="66"/>
  <c r="P46" i="66"/>
  <c r="P56" i="66"/>
  <c r="P35" i="66"/>
  <c r="P59" i="66"/>
  <c r="P40" i="66"/>
  <c r="P33" i="66"/>
  <c r="P49" i="66"/>
  <c r="P25" i="66"/>
  <c r="P38" i="66"/>
  <c r="P20" i="66"/>
  <c r="P51" i="66"/>
  <c r="P54" i="66"/>
  <c r="P26" i="66"/>
  <c r="P19" i="66"/>
  <c r="P17" i="66"/>
  <c r="P2" i="66" s="1"/>
  <c r="C30" i="63" s="1"/>
  <c r="P18" i="66"/>
  <c r="C116" i="43"/>
  <c r="D114" i="43"/>
  <c r="J22" i="43" s="1"/>
  <c r="C18" i="67"/>
  <c r="D19" i="67"/>
  <c r="P62" i="66"/>
  <c r="P61" i="66"/>
  <c r="P63" i="66"/>
  <c r="P64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C22" i="63" l="1"/>
  <c r="B5" i="63" s="1"/>
  <c r="F7" i="59" s="1"/>
  <c r="E20" i="63"/>
  <c r="B4" i="63"/>
  <c r="C20" i="43"/>
  <c r="E41" i="43"/>
  <c r="C41" i="43" s="1"/>
  <c r="B3" i="63"/>
  <c r="E18" i="63"/>
  <c r="D18" i="67"/>
  <c r="T18" i="67"/>
  <c r="C17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16" i="67"/>
  <c r="D17" i="67"/>
  <c r="C27" i="64"/>
  <c r="E27" i="64" s="1"/>
  <c r="H58" i="39"/>
  <c r="I56" i="39"/>
  <c r="F10" i="59" l="1"/>
  <c r="B13" i="9" s="1"/>
  <c r="B5" i="9"/>
  <c r="F9" i="59"/>
  <c r="B12" i="9" s="1"/>
  <c r="C15" i="67"/>
  <c r="D16" i="67"/>
  <c r="I58" i="39"/>
  <c r="J56" i="39"/>
  <c r="B14" i="9" l="1"/>
  <c r="F4" i="59"/>
  <c r="D15" i="67"/>
  <c r="C14" i="67"/>
  <c r="K56" i="39"/>
  <c r="J58" i="39"/>
  <c r="T14" i="67" l="1"/>
  <c r="D14" i="67"/>
  <c r="C13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C9" i="67" l="1"/>
  <c r="D10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29" i="43" l="1"/>
  <c r="C35" i="43"/>
  <c r="C39" i="43"/>
  <c r="C37" i="43"/>
  <c r="C36" i="43"/>
  <c r="C38" i="43"/>
  <c r="C33" i="43"/>
  <c r="C34" i="43"/>
  <c r="E34" i="43" l="1"/>
  <c r="G34" i="43"/>
  <c r="I34" i="43" s="1"/>
  <c r="E38" i="43"/>
  <c r="G38" i="43"/>
  <c r="I38" i="43" s="1"/>
  <c r="E37" i="43"/>
  <c r="G37" i="43"/>
  <c r="I37" i="43" s="1"/>
  <c r="G35" i="43"/>
  <c r="I35" i="43" s="1"/>
  <c r="E35" i="43"/>
  <c r="E33" i="43"/>
  <c r="G33" i="43"/>
  <c r="I33" i="43" s="1"/>
  <c r="E36" i="43"/>
  <c r="G36" i="43"/>
  <c r="I36" i="43" s="1"/>
  <c r="E39" i="43"/>
  <c r="G39" i="43"/>
  <c r="I39" i="43" s="1"/>
  <c r="C30" i="43"/>
  <c r="E30" i="43" s="1"/>
  <c r="E29" i="43"/>
  <c r="C26" i="43" l="1"/>
  <c r="B2" i="43" s="1"/>
  <c r="C27" i="43"/>
  <c r="A9" i="70" l="1"/>
  <c r="F14" i="59" s="1"/>
  <c r="F6" i="9" l="1"/>
  <c r="F13" i="59"/>
  <c r="F16" i="59" l="1"/>
  <c r="F8" i="9" s="1"/>
  <c r="F19" i="59"/>
  <c r="F17" i="59" l="1"/>
  <c r="F12" i="59" s="1"/>
  <c r="F10" i="9"/>
  <c r="F5" i="9" s="1"/>
  <c r="F20" i="59" l="1"/>
  <c r="F11" i="9" s="1"/>
  <c r="F21" i="59" l="1"/>
  <c r="F12" i="9" s="1"/>
  <c r="F22" i="59"/>
  <c r="F13" i="9" s="1"/>
  <c r="F14" i="9" l="1"/>
  <c r="F11" i="59"/>
  <c r="F24" i="59" s="1"/>
  <c r="F25" i="59" l="1"/>
  <c r="F35" i="59"/>
  <c r="B18" i="9" s="1"/>
  <c r="C11" i="68" s="1"/>
  <c r="B15" i="9"/>
  <c r="B16" i="9" l="1"/>
  <c r="H16" i="9" s="1"/>
  <c r="F36" i="59"/>
  <c r="B19" i="9" s="1"/>
  <c r="H19" i="9" l="1"/>
  <c r="B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<sst xmlns="http://schemas.openxmlformats.org/spreadsheetml/2006/main" count="3960" uniqueCount="1805">
  <si>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</si>
  <si>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</si>
  <si>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</si>
  <si>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</si>
  <si>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</si>
  <si>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</si>
  <si>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</si>
  <si>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</si>
  <si>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</si>
  <si>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</si>
  <si>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</si>
  <si>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</si>
  <si>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</si>
  <si>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</si>
  <si>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</si>
  <si>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</si>
  <si>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</si>
  <si>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</si>
  <si>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</si>
  <si>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</si>
  <si>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</si>
  <si>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</si>
  <si>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</si>
  <si>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</si>
  <si>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</si>
  <si>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</si>
  <si>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</si>
  <si>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</si>
  <si>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</si>
  <si>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</si>
  <si>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</si>
  <si>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</si>
  <si>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</si>
  <si>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</si>
  <si>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</si>
  <si>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</si>
  <si>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</si>
  <si>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</si>
  <si>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</si>
  <si>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</si>
  <si>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</si>
  <si>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</si>
  <si>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</si>
  <si>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</si>
  <si>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</si>
  <si>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</si>
  <si>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</si>
  <si>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</si>
  <si>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</si>
  <si>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</si>
  <si>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</si>
  <si>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</si>
  <si>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</si>
  <si>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</si>
  <si>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</si>
  <si>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</si>
  <si>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</si>
  <si>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</si>
  <si>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</si>
  <si>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</si>
  <si>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</si>
  <si>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</si>
  <si>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</si>
  <si>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</si>
  <si>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</si>
  <si>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</si>
  <si>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</si>
  <si>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</si>
  <si>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</si>
  <si>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</si>
  <si>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</si>
  <si>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</si>
  <si>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</si>
  <si>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</si>
  <si>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</si>
  <si>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</si>
  <si>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</si>
  <si>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</si>
  <si>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</si>
  <si>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</si>
  <si>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</si>
  <si>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</si>
  <si>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</si>
  <si>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</si>
  <si>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</si>
  <si>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</si>
  <si>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</si>
  <si>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</si>
  <si>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</si>
  <si>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</si>
  <si>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</si>
  <si>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</si>
  <si>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</si>
  <si>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</si>
  <si>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</si>
  <si>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</si>
  <si>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</si>
  <si>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</si>
  <si>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</si>
  <si>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</si>
  <si>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</si>
  <si>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</si>
  <si>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</si>
  <si>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</si>
  <si>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</si>
  <si>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</si>
  <si>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</si>
  <si>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</si>
  <si>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</si>
  <si>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</si>
  <si>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</si>
  <si>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</si>
  <si>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</si>
  <si>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</si>
  <si>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</si>
  <si>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</si>
  <si>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</si>
  <si>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</si>
  <si>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</si>
  <si>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</si>
  <si>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</si>
  <si>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</si>
  <si>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</si>
  <si>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</si>
  <si>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</si>
  <si>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</si>
  <si>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</si>
  <si>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</si>
  <si>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</si>
  <si>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</si>
  <si>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</si>
  <si>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</si>
  <si>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</si>
  <si>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</si>
  <si>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</si>
  <si>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</si>
  <si>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</si>
  <si>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</si>
  <si>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</si>
  <si>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</si>
  <si>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</si>
  <si>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</si>
  <si>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</si>
  <si>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</si>
  <si>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</si>
  <si>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</si>
  <si>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</si>
  <si>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</si>
  <si>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</si>
  <si>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</si>
  <si>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</si>
  <si>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</si>
  <si>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</si>
  <si>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</si>
  <si>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</si>
  <si>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</si>
  <si>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</si>
  <si>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</si>
  <si>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</si>
  <si>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</si>
  <si>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</si>
  <si>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</si>
  <si>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</si>
  <si>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</si>
  <si>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</si>
  <si>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</si>
  <si>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</si>
  <si>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</si>
  <si>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</si>
  <si>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</si>
  <si>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</si>
  <si>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</si>
  <si>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</si>
  <si>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</si>
  <si>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</si>
  <si>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</si>
  <si>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</si>
  <si>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</si>
  <si>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</si>
  <si>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</si>
  <si>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</si>
  <si>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</si>
  <si>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</si>
  <si>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</si>
  <si>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</si>
  <si>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</si>
  <si>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</si>
  <si>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</si>
  <si>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</si>
  <si>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</si>
  <si>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</si>
  <si>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</si>
  <si>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</si>
  <si>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</si>
  <si>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</si>
  <si>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</si>
  <si>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</si>
  <si>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</si>
  <si>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</si>
  <si>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</si>
  <si>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</si>
  <si>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</si>
  <si>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</si>
  <si>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</si>
  <si>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</si>
  <si>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</si>
  <si>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</si>
  <si>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</si>
  <si>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</si>
  <si>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</si>
  <si>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</si>
  <si>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</si>
  <si>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</si>
  <si>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</si>
  <si>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</si>
  <si>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</si>
  <si>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</si>
  <si>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</si>
  <si>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</si>
  <si>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</si>
  <si>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</si>
  <si>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</si>
  <si>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</si>
  <si>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</si>
  <si>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</si>
  <si>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</si>
  <si>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</si>
  <si>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</si>
  <si>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</si>
  <si>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</si>
  <si>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</si>
  <si>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</si>
  <si>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</si>
  <si>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</si>
  <si>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</si>
  <si>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</si>
  <si>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</si>
  <si>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</si>
  <si>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</si>
  <si>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</si>
  <si>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</si>
  <si>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</si>
  <si>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</si>
  <si>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</si>
  <si>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</si>
  <si>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</si>
  <si>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</si>
  <si>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</si>
  <si>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</si>
  <si>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</si>
  <si>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</si>
  <si>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</si>
  <si>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</si>
  <si>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</si>
  <si>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</si>
  <si>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</si>
  <si>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</si>
  <si>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</si>
  <si>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</si>
  <si>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</si>
  <si>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</si>
  <si>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</si>
  <si>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</si>
  <si>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</si>
  <si>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</si>
  <si>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</si>
  <si>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</si>
  <si>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</si>
  <si>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</si>
  <si>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</si>
  <si>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</si>
  <si>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</si>
  <si>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</si>
  <si>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</si>
  <si>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</si>
  <si>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</si>
  <si>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</si>
  <si>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</si>
  <si>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</si>
  <si>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</si>
  <si>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</si>
  <si>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</si>
  <si>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</si>
  <si>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</si>
  <si>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</si>
  <si>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</si>
  <si>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</si>
  <si>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</si>
  <si>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</si>
  <si>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</si>
  <si>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</si>
  <si>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</si>
  <si>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</si>
  <si>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</si>
  <si>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</si>
  <si>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</si>
  <si>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</si>
  <si>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</si>
  <si>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</si>
  <si>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</si>
  <si>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</si>
  <si>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</si>
  <si>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</si>
  <si>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</si>
  <si>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</si>
  <si>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</si>
  <si>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</si>
  <si>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</si>
  <si>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</si>
  <si>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</si>
  <si>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</si>
  <si>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</si>
  <si>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</si>
  <si>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</si>
  <si>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</si>
  <si>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</si>
  <si>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</si>
  <si>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</si>
  <si>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</si>
  <si>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</si>
  <si>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</si>
  <si>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</si>
  <si>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</si>
  <si>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</si>
  <si>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</si>
  <si>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</si>
  <si>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</si>
  <si>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</si>
  <si>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</si>
  <si>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</si>
  <si>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</si>
  <si>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</si>
  <si>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</si>
  <si>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</si>
  <si>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</si>
  <si>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</si>
  <si>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</si>
  <si>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</si>
  <si>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</si>
  <si>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</si>
  <si>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</si>
  <si>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</si>
  <si>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</si>
  <si>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</si>
  <si>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</si>
  <si>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</si>
  <si>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</si>
  <si>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</si>
  <si>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</si>
  <si>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</si>
  <si>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</si>
  <si>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</si>
  <si>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</si>
  <si>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</si>
  <si>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</si>
  <si>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</si>
  <si>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</si>
  <si>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</si>
  <si>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</si>
  <si>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</si>
  <si>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</si>
  <si>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</si>
  <si>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</si>
  <si>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</si>
  <si>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</si>
  <si>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</si>
  <si>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</si>
  <si>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</si>
  <si>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</si>
  <si>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</si>
  <si>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</si>
  <si>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</si>
  <si>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</si>
  <si>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</si>
  <si>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</si>
  <si>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</si>
  <si>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</si>
  <si>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</si>
  <si>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</si>
  <si>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</si>
  <si>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</si>
  <si>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</si>
  <si>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</si>
  <si>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</si>
  <si>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</si>
  <si>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</si>
  <si>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</si>
  <si>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</si>
  <si>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</si>
  <si>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</si>
  <si>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</si>
  <si>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</si>
  <si>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</si>
  <si>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</si>
  <si>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</si>
  <si>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</si>
  <si>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</si>
  <si>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</si>
  <si>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</si>
  <si>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</si>
  <si>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</si>
  <si>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</si>
  <si>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</si>
  <si>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</si>
  <si>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</si>
  <si>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</si>
  <si>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</si>
  <si>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</si>
  <si>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</si>
  <si>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</si>
  <si>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</si>
  <si>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</si>
  <si>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</si>
  <si>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</si>
  <si>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</si>
  <si>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</si>
  <si>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</si>
  <si>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</si>
  <si>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</si>
  <si>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</si>
  <si>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</si>
  <si>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</si>
  <si>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</si>
  <si>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</si>
  <si>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</si>
  <si>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</si>
  <si>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</si>
  <si>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</si>
  <si>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</si>
  <si>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</si>
  <si>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</si>
  <si>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</si>
  <si>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</si>
  <si>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</si>
  <si>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</si>
  <si>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</si>
  <si>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</si>
  <si>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</si>
  <si>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</si>
  <si>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</si>
  <si>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</si>
  <si>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</si>
  <si>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</si>
  <si>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</si>
  <si>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</si>
  <si>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</si>
  <si>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</si>
  <si>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</si>
  <si>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</si>
  <si>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</si>
  <si>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</si>
  <si>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</si>
  <si>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</si>
  <si>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</si>
  <si>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</si>
  <si>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</si>
  <si>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</si>
  <si>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</si>
  <si>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</si>
  <si>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</si>
  <si>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</si>
  <si>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</si>
  <si>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</si>
  <si>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</si>
  <si>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</si>
  <si>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</si>
  <si>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</si>
  <si>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</si>
  <si>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</si>
  <si>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</si>
  <si>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</si>
  <si>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</si>
  <si>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</si>
  <si>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</si>
  <si>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</si>
  <si>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</si>
  <si>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</si>
  <si>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</si>
  <si>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</si>
  <si>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</si>
  <si>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</si>
  <si>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</si>
  <si>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</si>
  <si>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</si>
  <si>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</si>
  <si>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</si>
  <si>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</si>
  <si>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</si>
  <si>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</si>
  <si>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</si>
  <si>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</si>
  <si>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</si>
  <si>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</si>
  <si>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</si>
  <si>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</si>
  <si>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</si>
  <si>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</si>
  <si>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</si>
  <si>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</si>
  <si>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</si>
  <si>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</si>
  <si>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</si>
  <si>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</si>
  <si>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</si>
  <si>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</si>
  <si>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</si>
  <si>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</si>
  <si>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</si>
  <si>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</si>
  <si>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</si>
  <si>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</si>
  <si>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</si>
  <si>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</si>
  <si>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</si>
  <si>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</si>
  <si>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</si>
  <si>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</si>
  <si>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</si>
  <si>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</si>
  <si>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</si>
  <si>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</si>
  <si>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</si>
  <si>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</si>
  <si>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</si>
  <si>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</si>
  <si>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</si>
  <si>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</si>
  <si>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</si>
  <si>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</si>
  <si>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</si>
  <si>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</si>
  <si>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</si>
  <si>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</si>
  <si>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</si>
  <si>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</si>
  <si>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</si>
  <si>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</si>
  <si>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</si>
  <si>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</si>
  <si>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</si>
  <si>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</si>
  <si>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</si>
  <si>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</si>
  <si>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</si>
  <si>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</si>
  <si>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</si>
  <si>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</si>
  <si>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</si>
  <si>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</si>
  <si>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</si>
  <si>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</si>
  <si>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</si>
  <si>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</si>
  <si>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</si>
  <si>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</si>
  <si>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</si>
  <si>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</si>
  <si>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</si>
  <si>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</si>
  <si>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</si>
  <si>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</si>
  <si>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</si>
  <si>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</si>
  <si>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</si>
  <si>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</si>
  <si>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</si>
  <si>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</si>
  <si>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</si>
  <si>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</si>
  <si>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</si>
  <si>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</si>
  <si>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</si>
  <si>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</si>
  <si>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</si>
  <si>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</si>
  <si>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</si>
  <si>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</si>
  <si>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</si>
  <si>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</si>
  <si>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</si>
  <si>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</si>
  <si>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</si>
  <si>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</si>
  <si>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</si>
  <si>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</si>
  <si>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</si>
  <si>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</si>
  <si>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</si>
  <si>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</si>
  <si>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</si>
  <si>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</si>
  <si>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</si>
  <si>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</si>
  <si>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</si>
  <si>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</si>
  <si>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</si>
  <si>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</si>
  <si>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</si>
  <si>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</si>
  <si>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</si>
  <si>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</si>
  <si>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</si>
  <si>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</si>
  <si>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</si>
  <si>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</si>
  <si>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</si>
  <si>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</si>
  <si>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</si>
  <si>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</si>
  <si>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</si>
  <si>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</si>
  <si>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</si>
  <si>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</si>
  <si>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</si>
  <si>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</si>
  <si>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</si>
  <si>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</si>
  <si>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</si>
  <si>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</si>
  <si>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</si>
  <si>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</si>
  <si>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</si>
  <si>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</si>
  <si>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</si>
  <si>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</si>
  <si>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</si>
  <si>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</si>
  <si>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</si>
  <si>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</si>
  <si>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</si>
  <si>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</si>
  <si>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</si>
  <si>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</si>
  <si>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</si>
  <si>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</si>
  <si>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</si>
  <si>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</si>
  <si>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</si>
  <si>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</si>
  <si>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</si>
  <si>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</si>
  <si>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</si>
  <si>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</si>
  <si>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</si>
  <si>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</si>
  <si>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</si>
  <si>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</si>
  <si>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</si>
  <si>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</si>
  <si>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</si>
  <si>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</si>
  <si>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</si>
  <si>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</si>
  <si>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</si>
  <si>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</si>
  <si>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</si>
  <si>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</si>
  <si>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</si>
  <si>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</si>
  <si>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</si>
  <si>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</si>
  <si>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</si>
  <si>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</si>
  <si>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</si>
  <si>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</si>
  <si>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</si>
  <si>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</si>
  <si>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</si>
  <si>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</si>
  <si>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</si>
  <si>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</si>
  <si>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</si>
  <si>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</si>
  <si>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</si>
  <si>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</si>
  <si>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</si>
  <si>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</si>
  <si>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</si>
  <si>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</si>
  <si>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</si>
  <si>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</si>
  <si>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</si>
  <si>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</si>
  <si>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</si>
  <si>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</si>
  <si>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</si>
  <si>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</si>
  <si>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</si>
  <si>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</si>
  <si>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</si>
  <si>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</si>
  <si>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</si>
  <si>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</si>
  <si>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</si>
  <si>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</si>
  <si>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</si>
  <si>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</si>
  <si>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</si>
  <si>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</si>
  <si>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</si>
  <si>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</si>
  <si>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</si>
  <si>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</si>
  <si>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</si>
  <si>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</si>
  <si>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</si>
  <si>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</si>
  <si>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</si>
  <si>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</si>
  <si>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</si>
  <si>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</si>
  <si>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</si>
  <si>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</si>
  <si>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</si>
  <si>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</si>
  <si>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</si>
  <si>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</si>
  <si>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</si>
  <si>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</si>
  <si>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</si>
  <si>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</si>
  <si>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</si>
  <si>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</si>
  <si>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</si>
  <si>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</si>
  <si>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</si>
  <si>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</si>
  <si>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</si>
  <si>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</si>
  <si>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</si>
  <si>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</si>
  <si>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</si>
  <si>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</si>
  <si>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</si>
  <si>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</si>
  <si>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</si>
  <si>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</si>
  <si>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</si>
  <si>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</si>
  <si>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</si>
  <si>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</si>
  <si>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</si>
  <si>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</si>
  <si>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</si>
  <si>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</si>
  <si>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</si>
  <si>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</si>
  <si>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</si>
  <si>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</si>
  <si>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</si>
  <si>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</si>
  <si>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</si>
  <si>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</si>
  <si>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</si>
  <si>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</si>
  <si>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</si>
  <si>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</si>
  <si>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</si>
  <si>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</si>
  <si>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</si>
  <si>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</si>
  <si>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</si>
  <si>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</si>
  <si>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</si>
  <si>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</si>
  <si>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</si>
  <si>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</si>
  <si>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</si>
  <si>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</si>
  <si>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</si>
  <si>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</si>
  <si>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</si>
  <si>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</si>
  <si>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</si>
  <si>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</si>
  <si>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</si>
  <si>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</si>
  <si>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</si>
  <si>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</si>
  <si>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</si>
  <si>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</si>
  <si>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</si>
  <si>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</si>
  <si>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</si>
  <si>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</si>
  <si>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</si>
  <si>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</si>
  <si>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</si>
  <si>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</si>
  <si>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</si>
  <si>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</si>
  <si>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</si>
  <si>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</si>
  <si>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</si>
  <si>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</si>
  <si>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</si>
  <si>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</si>
  <si>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</si>
  <si>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</si>
  <si>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</si>
  <si>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</si>
  <si>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</si>
  <si>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</si>
  <si>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</si>
  <si>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</si>
  <si>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</si>
  <si>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</si>
  <si>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</si>
  <si>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</si>
  <si>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</si>
  <si>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</si>
  <si>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</si>
  <si>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</si>
  <si>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</si>
  <si>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</si>
  <si>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</si>
  <si>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</si>
  <si>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</si>
  <si>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</si>
  <si>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</si>
  <si>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</si>
  <si>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</si>
  <si>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</si>
  <si>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</si>
  <si>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</si>
  <si>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</si>
  <si>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</si>
  <si>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</si>
  <si>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</si>
  <si>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</si>
  <si>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</si>
  <si>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</si>
  <si>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</si>
  <si>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</si>
  <si>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</si>
  <si>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</si>
  <si>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</si>
  <si>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</si>
  <si>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</si>
  <si>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</si>
  <si>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</si>
  <si>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</si>
  <si>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</si>
  <si>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</si>
  <si>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</si>
  <si>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</si>
  <si>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</si>
  <si>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</si>
  <si>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</si>
  <si>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</si>
  <si>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</si>
  <si>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</si>
  <si>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</si>
  <si>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</si>
  <si>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</si>
  <si>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</si>
  <si>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</si>
  <si>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</si>
  <si>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</si>
  <si>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</si>
  <si>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</si>
  <si>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</si>
  <si>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</si>
  <si>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</si>
  <si>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</si>
  <si>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</si>
  <si>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</si>
  <si>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</si>
  <si>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</si>
  <si>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</si>
  <si>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</si>
  <si>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</si>
  <si>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</si>
  <si>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</si>
  <si>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</si>
  <si>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</si>
  <si>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</si>
  <si>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</si>
  <si>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</si>
  <si>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</si>
  <si>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</si>
  <si>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</si>
  <si>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</si>
  <si>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</si>
  <si>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</si>
  <si>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</si>
  <si>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</si>
  <si>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</si>
  <si>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</si>
  <si>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</si>
  <si>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</si>
  <si>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</si>
  <si>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</si>
  <si>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</si>
  <si>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</si>
  <si>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</si>
  <si>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</si>
  <si>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</si>
  <si>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</si>
  <si>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</si>
  <si>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</si>
  <si>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</si>
  <si>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</si>
  <si>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</si>
  <si>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</si>
  <si>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</si>
  <si>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</si>
  <si>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</si>
  <si>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</si>
  <si>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</si>
  <si>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</si>
  <si>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</si>
  <si>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</si>
  <si>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</si>
  <si>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</si>
  <si>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</si>
  <si>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</si>
  <si>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</si>
  <si>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</si>
  <si>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</si>
  <si>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</si>
  <si>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</si>
  <si>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</si>
  <si>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</si>
  <si>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</si>
  <si>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</si>
  <si>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</si>
  <si>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</si>
  <si>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</si>
  <si>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</si>
  <si>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</si>
  <si>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</si>
  <si>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</si>
  <si>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</si>
  <si>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</si>
  <si>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</si>
  <si>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</si>
  <si>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</si>
  <si>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</si>
  <si>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</si>
  <si>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</si>
  <si>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</si>
  <si>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</si>
  <si>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</si>
  <si>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</si>
  <si>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</si>
  <si>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</si>
  <si>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</si>
  <si>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</si>
  <si>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</si>
  <si>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</si>
  <si>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</si>
  <si>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</si>
  <si>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</si>
  <si>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</si>
  <si>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</si>
  <si>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</si>
  <si>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</si>
  <si>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</si>
  <si>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</si>
  <si>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</si>
  <si>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</si>
  <si>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</si>
  <si>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</si>
  <si>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</si>
  <si>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</si>
  <si>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</si>
  <si>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</si>
  <si>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</si>
  <si>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</si>
  <si>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</si>
  <si>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</si>
  <si>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</si>
  <si>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</si>
  <si>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</si>
  <si>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</si>
  <si>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</si>
  <si>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</si>
  <si>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</si>
  <si>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</si>
  <si>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</si>
  <si>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</si>
  <si>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</si>
  <si>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</si>
  <si>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</si>
  <si>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</si>
  <si>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</si>
  <si>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</si>
  <si>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</si>
  <si>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</si>
  <si>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</si>
  <si>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</si>
  <si>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</si>
  <si>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</si>
  <si>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</si>
  <si>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</si>
  <si>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</si>
  <si>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</si>
  <si>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</si>
  <si>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</si>
  <si>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</si>
  <si>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</si>
  <si>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</si>
  <si>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</si>
  <si>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</si>
  <si>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</si>
  <si>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</si>
  <si>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</si>
  <si>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</si>
  <si>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</si>
  <si>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</si>
  <si>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</si>
  <si>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</si>
  <si>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</si>
  <si>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</si>
  <si>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</si>
  <si>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</si>
  <si>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</si>
  <si>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</si>
  <si>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</si>
  <si>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</si>
  <si>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</si>
  <si>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</si>
  <si>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</si>
  <si>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</si>
  <si>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</si>
  <si>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</si>
  <si>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</si>
  <si>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</si>
  <si>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</si>
  <si>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</si>
  <si>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</si>
  <si>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</si>
  <si>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</si>
  <si>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</si>
  <si>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</si>
  <si>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</si>
  <si>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</si>
  <si>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</si>
  <si>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</si>
  <si>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</si>
  <si>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</si>
  <si>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</si>
  <si>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</si>
  <si>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</si>
  <si>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</si>
  <si>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</si>
  <si>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</si>
  <si>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</si>
  <si>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</si>
  <si>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</si>
  <si>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</si>
  <si>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</si>
  <si>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</si>
  <si>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</si>
  <si>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</si>
  <si>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</si>
  <si>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</si>
  <si>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</si>
  <si>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</si>
  <si>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</si>
  <si>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</si>
  <si>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</si>
  <si>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</si>
  <si>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</si>
  <si>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</si>
  <si>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</si>
  <si>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</si>
  <si>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</si>
  <si>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</si>
  <si>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</si>
  <si>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</si>
  <si>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</si>
  <si>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</si>
  <si>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</si>
  <si>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</si>
  <si>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</si>
  <si>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</si>
  <si>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</si>
  <si>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</si>
  <si>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</si>
  <si>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</si>
  <si>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</si>
  <si>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</si>
  <si>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</si>
  <si>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</si>
  <si>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</si>
  <si>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</si>
  <si>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</si>
  <si>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</si>
  <si>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</si>
  <si>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</si>
  <si>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</si>
  <si>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</si>
  <si>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</si>
  <si>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</si>
  <si>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</si>
  <si>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</si>
  <si>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</si>
  <si>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</si>
  <si>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</si>
  <si>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</si>
  <si>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</si>
  <si>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</si>
  <si>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</si>
  <si>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</si>
  <si>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</si>
  <si>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</si>
  <si>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</si>
  <si>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</si>
  <si>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</si>
  <si>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</si>
  <si>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</si>
  <si>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</si>
  <si>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</si>
  <si>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</si>
  <si>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</si>
  <si>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</si>
  <si>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</si>
  <si>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</si>
  <si>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</si>
  <si>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</si>
  <si>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</si>
  <si>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</si>
  <si>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</si>
  <si>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</si>
  <si>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</si>
  <si>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</si>
  <si>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</si>
  <si>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</si>
  <si>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</si>
  <si>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</si>
  <si>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</si>
  <si>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</si>
  <si>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</si>
  <si>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</si>
  <si>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</si>
  <si>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</si>
  <si>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</si>
  <si>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</si>
  <si>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</si>
  <si>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</si>
  <si>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</si>
  <si>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</si>
  <si>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</si>
  <si>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</si>
  <si>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</si>
  <si>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</si>
  <si>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</si>
  <si>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</si>
  <si>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</si>
  <si>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</si>
  <si>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</si>
  <si>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</si>
  <si>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</si>
  <si>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</si>
  <si>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</si>
  <si>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</si>
  <si>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</si>
  <si>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</si>
  <si>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</si>
  <si>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</si>
  <si>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</si>
  <si>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</si>
  <si>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</si>
  <si>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</si>
  <si>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</si>
  <si>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</si>
  <si>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</si>
  <si>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</si>
  <si>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</si>
  <si>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</si>
  <si>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</si>
  <si>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</si>
  <si>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</si>
  <si>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</si>
  <si>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</si>
  <si>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</si>
  <si>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</si>
  <si>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</si>
  <si>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</si>
  <si>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</si>
  <si>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</si>
  <si>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</si>
  <si>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</si>
  <si>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</si>
  <si>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</si>
  <si>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</si>
  <si>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</si>
  <si>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</si>
  <si>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</si>
  <si>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</si>
  <si>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</si>
  <si>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</si>
  <si>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</si>
  <si>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</si>
  <si>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</si>
  <si>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</si>
  <si>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</si>
  <si>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</si>
  <si>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</si>
  <si>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</si>
  <si>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</si>
  <si>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</si>
  <si>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</si>
  <si>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</si>
  <si>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</si>
  <si>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</si>
  <si>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</si>
  <si>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</si>
  <si>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</si>
  <si>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</si>
  <si>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</si>
  <si>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</si>
  <si>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</si>
  <si>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</si>
  <si>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</si>
  <si>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</si>
  <si>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</si>
  <si>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</si>
  <si>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</si>
  <si>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</si>
  <si>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</si>
  <si>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</si>
  <si>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</si>
  <si>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</si>
  <si>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</si>
  <si>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</si>
  <si>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</si>
  <si>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</si>
  <si>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</si>
  <si>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</si>
  <si>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</si>
  <si>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</si>
  <si>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</si>
  <si>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</si>
  <si>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</si>
  <si>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</si>
  <si>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</si>
  <si>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</si>
  <si>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</si>
  <si>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</si>
  <si>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</si>
  <si>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</si>
  <si>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</si>
  <si>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</si>
  <si>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</si>
  <si>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</si>
  <si>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</si>
  <si>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</si>
  <si>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</si>
  <si>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</si>
  <si>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</si>
  <si>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</si>
  <si>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</si>
  <si>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</si>
  <si>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</si>
  <si>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</si>
  <si>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</si>
  <si>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</si>
  <si>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</si>
  <si>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</si>
  <si>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</si>
  <si>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</si>
  <si>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</si>
  <si>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</si>
  <si>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</si>
  <si>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</si>
  <si>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</si>
  <si>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</si>
  <si>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</si>
  <si>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</si>
  <si>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</si>
  <si>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</si>
  <si>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</si>
  <si>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</si>
  <si>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</si>
  <si>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</si>
  <si>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</si>
  <si>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</si>
  <si>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</si>
  <si>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</si>
  <si>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</si>
  <si>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</si>
  <si>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</si>
  <si>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</si>
  <si>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</si>
  <si>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</si>
  <si>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</si>
  <si>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</si>
  <si>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</si>
  <si>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</si>
  <si>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</si>
  <si>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</si>
  <si>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</si>
  <si>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</si>
  <si>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</si>
  <si>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</si>
  <si>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</si>
  <si>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</si>
  <si>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</si>
  <si>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</si>
  <si>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</si>
  <si>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</si>
  <si>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</si>
  <si>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</si>
  <si>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</si>
  <si>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</si>
  <si>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</si>
  <si>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</si>
  <si>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</si>
  <si>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</si>
  <si>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</si>
  <si>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</si>
  <si>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</si>
  <si>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</si>
  <si>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</si>
  <si>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</si>
  <si>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</si>
  <si>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</si>
  <si>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</si>
  <si>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</si>
  <si>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</si>
  <si>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</si>
  <si>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</si>
  <si>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</si>
  <si>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</si>
  <si>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</si>
  <si>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</si>
  <si>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</si>
  <si>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</si>
  <si>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</si>
  <si>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</si>
  <si>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</si>
  <si>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</si>
  <si>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</si>
  <si>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</si>
  <si>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</si>
  <si>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</si>
  <si>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</si>
  <si>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</si>
  <si>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</si>
  <si>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</si>
  <si>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</si>
  <si>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</si>
  <si>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</si>
  <si>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</si>
  <si>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</si>
  <si>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</si>
  <si>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</si>
  <si>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</si>
  <si>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</si>
  <si>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</si>
  <si>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</si>
  <si>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</si>
  <si>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</si>
  <si>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</si>
  <si>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</si>
  <si>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</si>
  <si>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</si>
  <si>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</si>
  <si>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</si>
  <si>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</si>
  <si>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</si>
  <si>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</si>
  <si>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</si>
  <si>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</si>
  <si>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</si>
  <si>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</si>
  <si>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</si>
  <si>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</si>
  <si>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</si>
  <si>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</si>
  <si>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</si>
  <si>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</si>
  <si>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</si>
  <si>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</si>
  <si>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</si>
  <si>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</si>
  <si>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</si>
  <si>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</si>
  <si>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</si>
  <si>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</si>
  <si>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</si>
  <si>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</si>
  <si>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</si>
  <si>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</si>
  <si>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</si>
  <si>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</si>
  <si>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</si>
  <si>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</si>
  <si>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</si>
  <si>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</si>
  <si>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</si>
  <si>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</si>
  <si>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</si>
  <si>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</si>
  <si>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</si>
  <si>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</si>
  <si>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</si>
  <si>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</si>
  <si>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</si>
  <si>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</si>
  <si>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</si>
  <si>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</si>
  <si>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</si>
  <si>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</si>
  <si>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</si>
  <si>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</si>
  <si>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</si>
  <si>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</si>
  <si>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</si>
  <si>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</si>
  <si>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</si>
  <si>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</si>
  <si>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</si>
  <si>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</si>
  <si>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</si>
  <si>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</si>
  <si>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</si>
  <si>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</si>
  <si>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</si>
  <si>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</si>
  <si>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</si>
  <si>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</si>
  <si>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</si>
  <si>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</si>
  <si>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</si>
  <si>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</si>
  <si>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</si>
  <si>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</si>
  <si>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</si>
  <si>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</si>
  <si>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</si>
  <si>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</si>
  <si>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</si>
  <si>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</si>
  <si>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</si>
  <si>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</si>
  <si>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</si>
  <si>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</si>
  <si>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</si>
  <si>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</si>
  <si>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</si>
  <si>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</si>
  <si>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</si>
  <si>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</si>
  <si>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</si>
  <si>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</si>
  <si>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</si>
  <si>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</si>
  <si>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</si>
  <si>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</si>
  <si>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</si>
  <si>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</si>
  <si>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</si>
  <si>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</si>
  <si>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</si>
  <si>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</si>
  <si>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</si>
  <si>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</si>
  <si>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</si>
  <si>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</si>
  <si>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</si>
  <si>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</si>
  <si>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</si>
  <si>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</si>
  <si>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</si>
  <si>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</si>
  <si>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</si>
  <si>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</si>
  <si>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</si>
  <si>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</si>
  <si>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</si>
  <si>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</si>
  <si>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</si>
  <si>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</si>
  <si>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</si>
  <si>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</si>
  <si>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</si>
  <si>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</si>
  <si>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</si>
  <si>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</si>
  <si>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</si>
  <si>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</si>
  <si>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</si>
  <si>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</si>
  <si>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</si>
  <si>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</si>
  <si>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</si>
  <si>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</si>
  <si>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</si>
  <si>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</si>
  <si>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</si>
  <si>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</si>
  <si>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</si>
  <si>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</si>
  <si>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</si>
  <si>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</si>
  <si>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</si>
  <si>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</si>
  <si>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</si>
  <si>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</si>
  <si>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</si>
  <si>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</si>
  <si>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</si>
  <si>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</si>
  <si>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</si>
  <si>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</si>
  <si>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</si>
  <si>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</si>
  <si>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</si>
  <si>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</si>
  <si>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</si>
  <si>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</si>
  <si>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</si>
  <si>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</si>
  <si>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</si>
  <si>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</si>
  <si>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</si>
  <si>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</si>
  <si>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</si>
  <si>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</si>
  <si>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</si>
  <si>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</si>
  <si>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</si>
  <si>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</si>
  <si>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</si>
  <si>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</si>
  <si>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</si>
  <si>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</si>
  <si>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</si>
  <si>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</si>
  <si>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</si>
  <si>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</si>
  <si>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</si>
  <si>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</si>
  <si>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</si>
  <si>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</si>
  <si>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</si>
  <si>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</si>
  <si>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</si>
  <si>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</si>
  <si>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</si>
  <si>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</si>
  <si>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</si>
  <si>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</si>
  <si>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</si>
  <si>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</si>
  <si>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</si>
  <si>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</si>
  <si>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</si>
  <si>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</si>
  <si>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</si>
  <si>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</si>
  <si>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</si>
  <si>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</si>
  <si>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</si>
  <si>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</si>
  <si>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</si>
  <si>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</si>
  <si>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</si>
  <si>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</si>
  <si>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</si>
  <si>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</si>
  <si>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</si>
  <si>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</si>
  <si>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</si>
  <si>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</si>
  <si>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</si>
  <si>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</si>
  <si>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</si>
  <si>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</si>
  <si>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</si>
  <si>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</si>
  <si>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</si>
  <si>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</si>
  <si>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</si>
  <si>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</si>
  <si>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</si>
  <si>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</si>
  <si>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</si>
  <si>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</si>
  <si>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</si>
  <si>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</si>
  <si>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</si>
  <si>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</si>
  <si>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</si>
  <si>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</si>
  <si>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</si>
  <si>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</si>
  <si>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</si>
  <si>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</si>
  <si>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</si>
  <si>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</si>
  <si>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</si>
  <si>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</si>
  <si>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</si>
  <si>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</si>
  <si>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</si>
  <si>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</si>
  <si>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</si>
  <si>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</si>
  <si>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</si>
  <si>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</si>
  <si>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</si>
  <si>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</si>
  <si>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</si>
  <si>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</si>
  <si>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</si>
  <si>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</si>
  <si>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</si>
  <si>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</si>
  <si>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</si>
  <si>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</si>
  <si>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</si>
  <si>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</si>
  <si>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</si>
  <si>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</si>
  <si>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</si>
  <si>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</si>
  <si>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</si>
  <si>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</si>
  <si>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</si>
  <si>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</si>
  <si>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</si>
  <si>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</si>
  <si>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</si>
  <si>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</si>
  <si>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</si>
  <si>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</si>
  <si>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</si>
  <si>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</si>
  <si>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</si>
  <si>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</si>
  <si>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</si>
  <si>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</si>
  <si>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</si>
  <si>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</si>
  <si>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</si>
  <si>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</si>
  <si>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</si>
  <si>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</si>
  <si>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</si>
  <si>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</si>
  <si>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</si>
  <si>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</si>
  <si>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</si>
  <si>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</si>
  <si>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</si>
  <si>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</si>
  <si>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</si>
  <si>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</si>
  <si>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</si>
  <si>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</si>
  <si>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</si>
  <si>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</si>
  <si>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</si>
  <si>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</si>
  <si>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</si>
  <si>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</si>
  <si>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</si>
  <si>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</si>
  <si>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</si>
  <si>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</si>
  <si>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</si>
  <si>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</si>
  <si>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</si>
  <si>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</si>
  <si>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</si>
  <si>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</si>
  <si>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</si>
  <si>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</si>
  <si>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</si>
  <si>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</si>
  <si>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</si>
  <si>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</si>
  <si>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</si>
  <si>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</si>
  <si>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</si>
  <si>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</si>
  <si>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</si>
  <si>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</si>
  <si>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</si>
  <si>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</si>
  <si>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</si>
  <si>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</si>
  <si>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</si>
  <si>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</si>
  <si>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</si>
  <si>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</si>
  <si>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</si>
  <si>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</si>
  <si>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</si>
  <si>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</si>
  <si>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</si>
  <si>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</si>
  <si>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</si>
  <si>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</si>
  <si>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</si>
  <si>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</si>
  <si>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</si>
  <si>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</si>
  <si>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</si>
  <si>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</si>
  <si>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</si>
  <si>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</si>
  <si>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</si>
  <si>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</si>
  <si>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</si>
  <si>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</si>
  <si>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</si>
  <si>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</si>
  <si>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</si>
  <si>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</si>
  <si>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</si>
  <si>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</si>
  <si>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</si>
  <si>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</si>
  <si>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</si>
  <si>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</si>
  <si>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</si>
  <si>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</si>
  <si>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</si>
  <si>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</si>
  <si>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</si>
  <si>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</si>
  <si>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</si>
  <si>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</si>
  <si>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</si>
  <si>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</si>
  <si>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</si>
  <si>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</si>
  <si>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</si>
  <si>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</si>
  <si>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</si>
  <si>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</si>
  <si>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</si>
  <si>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</si>
  <si>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</si>
  <si>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</si>
  <si>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</si>
  <si>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</si>
  <si>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</si>
  <si>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</si>
  <si>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</si>
  <si>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</si>
  <si>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</si>
  <si>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</si>
  <si>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</si>
  <si>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</si>
  <si>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</si>
  <si>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</si>
  <si>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</si>
  <si>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</si>
  <si>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</si>
  <si>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</si>
  <si>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</si>
  <si>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</si>
  <si>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</si>
  <si>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</si>
  <si>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</si>
  <si>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</si>
  <si>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</si>
  <si>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</si>
  <si>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</si>
  <si>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</si>
  <si>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</si>
  <si>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</si>
  <si>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</si>
  <si>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</si>
  <si>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</si>
  <si>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</si>
  <si>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</si>
  <si>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</si>
  <si>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</si>
  <si>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</si>
  <si>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</si>
  <si>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</si>
  <si>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</si>
  <si>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</si>
  <si>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</si>
  <si>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</si>
  <si>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</si>
  <si>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</si>
  <si>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</si>
  <si>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</si>
  <si>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</si>
  <si>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</si>
  <si>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</si>
  <si>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</si>
  <si>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</si>
  <si>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</si>
  <si>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地上</t>
  </si>
  <si>
    <t>四环路外</t>
  </si>
  <si>
    <t>电梯</t>
    <phoneticPr fontId="107" type="noConversion"/>
  </si>
  <si>
    <t>消防</t>
    <phoneticPr fontId="107" type="noConversion"/>
  </si>
  <si>
    <t>中央空调</t>
    <phoneticPr fontId="107" type="noConversion"/>
  </si>
  <si>
    <t>市区</t>
  </si>
  <si>
    <t>商业</t>
  </si>
  <si>
    <t>扣毛地价</t>
  </si>
  <si>
    <t>七通一平</t>
  </si>
  <si>
    <t>砖混</t>
  </si>
  <si>
    <t>层高</t>
    <phoneticPr fontId="107" type="noConversion"/>
  </si>
  <si>
    <t>地下室</t>
    <phoneticPr fontId="10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</si>
</sst>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5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0" fontId="109" fillId="6" borderId="1" xfId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83" fillId="9" borderId="17" xfId="1" applyFont="1" applyFill="1" applyBorder="1" applyAlignment="1" applyProtection="1">
      <alignment horizontal="center" vertical="center" wrapText="1"/>
      <protection locked="0"/>
    </xf>
    <xf numFmtId="0" fontId="83" fillId="9" borderId="1" xfId="1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  <xf numFmtId="0" fontId="7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>
      <alignment vertical="center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4" t="s">
        <v>250</v>
      </c>
    </row>
    <row r="16" spans="1:7" ht="13.5">
      <c r="A16" s="1659"/>
      <c r="B16" s="605" t="s">
        <v>169</v>
      </c>
    </row>
    <row r="17" spans="1:2" ht="13.5">
      <c r="A17" s="173" t="s">
        <v>170</v>
      </c>
      <c r="B17" s="606"/>
    </row>
    <row r="18" spans="1:2" ht="13.5">
      <c r="A18" s="1657" t="s">
        <v>171</v>
      </c>
      <c r="B18" s="604" t="s">
        <v>1387</v>
      </c>
    </row>
    <row r="19" spans="1:2" ht="13.5">
      <c r="A19" s="1657"/>
      <c r="B19" s="604" t="s">
        <v>1388</v>
      </c>
    </row>
    <row r="20" spans="1:2" ht="13.5">
      <c r="A20" s="1657"/>
      <c r="B20" s="604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4" t="s">
        <v>289</v>
      </c>
      <c r="B1" s="1714"/>
      <c r="C1" s="1714"/>
      <c r="D1" s="1714"/>
      <c r="E1" s="1714"/>
      <c r="F1" s="1714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5" t="s">
        <v>302</v>
      </c>
      <c r="B2" s="1715"/>
      <c r="C2" s="1715"/>
      <c r="D2" s="1715"/>
      <c r="E2" s="1715"/>
      <c r="F2" s="1715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6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7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3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3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6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6"/>
      <c r="B19" s="1696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6"/>
      <c r="B20" s="1696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6"/>
      <c r="B21" s="1696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6"/>
      <c r="B22" s="1696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6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6"/>
      <c r="B24" s="1696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6"/>
      <c r="B25" s="1696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6"/>
      <c r="B26" s="1696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6"/>
      <c r="B27" s="1696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6"/>
      <c r="B28" s="1696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6"/>
      <c r="B29" s="1696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6"/>
      <c r="B30" s="1696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6"/>
      <c r="B31" s="1696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6"/>
      <c r="B32" s="1696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6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6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6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6"/>
      <c r="B36" s="1696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6"/>
      <c r="B37" s="1696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6"/>
      <c r="B38" s="1696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6"/>
      <c r="B39" s="1696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6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6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6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6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6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6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6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6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6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6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6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6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6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6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6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6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6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6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6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6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6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6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6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6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6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6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6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6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6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6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6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6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6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6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6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6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6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6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6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6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6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6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6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6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6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6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6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6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6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6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>
        <f>SUMPRODUCT((A105:A204=ROUNDDOWN('2014基准地价'!G3,1))*(B104:M104='2014基准地价'!G2)*(B105:M204))</f>
        <v>1.0571999999999999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E10" sqref="E10"/>
    </sheetView>
  </sheetViews>
  <sheetFormatPr defaultColWidth="9" defaultRowHeight="12"/>
  <cols>
    <col min="1" max="1" width="13.375" style="665" customWidth="1"/>
    <col min="2" max="2" width="19.25" style="731" customWidth="1"/>
    <col min="3" max="4" width="12" style="664" customWidth="1"/>
    <col min="5" max="5" width="14.625" style="664" customWidth="1"/>
    <col min="6" max="6" width="16.875" style="664" customWidth="1"/>
    <col min="7" max="8" width="12" style="664" customWidth="1"/>
    <col min="9" max="9" width="12.25" style="664" bestFit="1" customWidth="1"/>
    <col min="10" max="10" width="12" style="664" customWidth="1"/>
    <col min="11" max="11" width="9.5" style="663" customWidth="1"/>
    <col min="12" max="12" width="12" style="664" customWidth="1"/>
    <col min="13" max="13" width="8.5" style="664" customWidth="1"/>
    <col min="14" max="14" width="9.75" style="664" customWidth="1"/>
    <col min="15" max="25" width="12" style="664" customWidth="1"/>
    <col min="26" max="26" width="9.375" style="665" customWidth="1"/>
    <col min="27" max="32" width="9.375" style="666" customWidth="1"/>
    <col min="33" max="36" width="9.375" style="665" customWidth="1"/>
    <col min="37" max="38" width="9.375" style="664" customWidth="1"/>
    <col min="39" max="16384" width="9" style="664"/>
  </cols>
  <sheetData>
    <row r="1" spans="1:36" ht="20.25">
      <c r="A1" s="659" t="s">
        <v>1388</v>
      </c>
      <c r="B1" s="660"/>
      <c r="C1" s="661"/>
      <c r="D1" s="661"/>
      <c r="E1" s="661"/>
      <c r="F1" s="661"/>
      <c r="G1" s="662" t="s">
        <v>1178</v>
      </c>
      <c r="H1" s="471">
        <f>主表!B7</f>
        <v>1406.23</v>
      </c>
      <c r="I1" s="662" t="s">
        <v>1341</v>
      </c>
      <c r="J1" s="471">
        <f>主表!B6</f>
        <v>644.47</v>
      </c>
      <c r="AE1" s="667"/>
      <c r="AF1" s="667"/>
    </row>
    <row r="2" spans="1:36" ht="24">
      <c r="A2" s="623" t="s">
        <v>910</v>
      </c>
      <c r="B2" s="573" t="s">
        <v>1556</v>
      </c>
      <c r="C2" s="668" t="s">
        <v>981</v>
      </c>
      <c r="D2" s="669" t="s">
        <v>984</v>
      </c>
      <c r="E2" s="670" t="str">
        <f>主表!B12</f>
        <v>商业</v>
      </c>
      <c r="F2" s="669" t="s">
        <v>686</v>
      </c>
      <c r="G2" s="671" t="str">
        <f>主表!B10</f>
        <v>六级</v>
      </c>
      <c r="H2" s="670" t="s">
        <v>1351</v>
      </c>
      <c r="I2" s="1231" t="s">
        <v>1793</v>
      </c>
      <c r="J2" s="661"/>
      <c r="AE2" s="667"/>
      <c r="AF2" s="667"/>
    </row>
    <row r="3" spans="1:36" ht="15.75">
      <c r="A3" s="624" t="s">
        <v>913</v>
      </c>
      <c r="B3" s="1316">
        <f>C18</f>
        <v>4563</v>
      </c>
      <c r="C3" s="668" t="s">
        <v>914</v>
      </c>
      <c r="D3" s="669" t="s">
        <v>253</v>
      </c>
      <c r="E3" s="672" t="s">
        <v>1792</v>
      </c>
      <c r="F3" s="1375" t="s">
        <v>1219</v>
      </c>
      <c r="G3" s="197">
        <f>IF(F3="容积率",主表!B8,主表!B9)</f>
        <v>2.1800000000000002</v>
      </c>
      <c r="H3" s="673" t="s">
        <v>927</v>
      </c>
      <c r="I3" s="25">
        <f>SUMPRODUCT((A89:A92=E2)*(B88:K88=G2)*(B89:K92))</f>
        <v>2</v>
      </c>
      <c r="J3" s="661"/>
      <c r="AE3" s="667"/>
      <c r="AF3" s="667"/>
    </row>
    <row r="4" spans="1:36" ht="15.75">
      <c r="A4" s="623" t="s">
        <v>1565</v>
      </c>
      <c r="B4" s="573">
        <f>C20</f>
        <v>1756</v>
      </c>
      <c r="C4" s="1315" t="s">
        <v>1567</v>
      </c>
      <c r="D4" s="1208"/>
      <c r="E4" s="1209"/>
      <c r="F4" s="1209"/>
      <c r="G4" s="1016"/>
      <c r="H4" s="1210"/>
      <c r="I4" s="615"/>
      <c r="J4" s="661"/>
      <c r="AE4" s="667"/>
      <c r="AF4" s="667"/>
    </row>
    <row r="5" spans="1:36" ht="16.5" thickBot="1">
      <c r="A5" s="662" t="s">
        <v>1566</v>
      </c>
      <c r="B5" s="1314">
        <f>C22</f>
        <v>1054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7"/>
      <c r="AF5" s="667"/>
    </row>
    <row r="6" spans="1:36" s="680" customFormat="1" ht="14.25">
      <c r="A6" s="674" t="s">
        <v>915</v>
      </c>
      <c r="B6" s="675" t="s">
        <v>1334</v>
      </c>
      <c r="C6" s="574"/>
      <c r="D6" s="676"/>
      <c r="E6" s="676"/>
      <c r="F6" s="676"/>
      <c r="G6" s="677"/>
      <c r="H6" s="677"/>
      <c r="I6" s="677"/>
      <c r="J6" s="678"/>
      <c r="K6" s="679"/>
      <c r="AE6" s="681"/>
      <c r="AF6" s="681"/>
      <c r="AG6" s="682"/>
      <c r="AH6" s="682"/>
      <c r="AI6" s="682"/>
      <c r="AJ6" s="682"/>
    </row>
    <row r="7" spans="1:36" ht="15.75">
      <c r="A7" s="683">
        <v>1</v>
      </c>
      <c r="B7" s="684" t="s">
        <v>1335</v>
      </c>
      <c r="C7" s="963">
        <f>IF(I2="地上",'2002地价表'!M1,ROUND('2002地价表'!M1/3,0))</f>
        <v>2435</v>
      </c>
      <c r="D7" s="685" t="s">
        <v>1531</v>
      </c>
      <c r="E7" s="686"/>
      <c r="F7" s="686"/>
      <c r="G7" s="687"/>
      <c r="H7" s="687"/>
      <c r="I7" s="687"/>
      <c r="J7" s="688"/>
      <c r="K7" s="689"/>
      <c r="AE7" s="667"/>
      <c r="AF7" s="667"/>
    </row>
    <row r="8" spans="1:36" ht="16.5" thickBot="1">
      <c r="A8" s="690">
        <v>2</v>
      </c>
      <c r="B8" s="691" t="s">
        <v>1336</v>
      </c>
      <c r="C8" s="975">
        <v>905</v>
      </c>
      <c r="D8" s="974" t="str">
        <f>"取值范围:"&amp;SUMPRODUCT(('2002地价表'!K15:K24=G2)*('2002地价表'!L14:O14=E2)*('2002地价表'!L15:O24))&amp;"—"&amp;SUMPRODUCT(('2002地价表'!K15:K24=G2)*('2002地价表'!P14:S14=E2)*('2002地价表'!P15:S24))</f>
        <v>取值范围:720—1090</v>
      </c>
      <c r="E8" s="973"/>
      <c r="F8" s="692" t="s">
        <v>1342</v>
      </c>
      <c r="G8" s="693"/>
      <c r="H8" s="693"/>
      <c r="I8" s="693"/>
      <c r="J8" s="694"/>
      <c r="K8" s="689"/>
      <c r="AE8" s="667"/>
      <c r="AF8" s="667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1.9903999999999999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40427</v>
      </c>
      <c r="I9" s="1431">
        <f>ROUND(SUMPRODUCT((地价!A36:A86=YEAR(H9)&amp;"-"&amp;ROUNDUP(MONTH(H9)/3,0))*(地价!B3:F3=E2)*(地价!B36:F86)),0)</f>
        <v>207</v>
      </c>
      <c r="J9" s="723"/>
      <c r="AE9" s="667"/>
      <c r="AF9" s="667"/>
    </row>
    <row r="10" spans="1:36" ht="16.5" thickBot="1">
      <c r="A10" s="1432" t="s">
        <v>931</v>
      </c>
      <c r="B10" s="1433" t="s">
        <v>199</v>
      </c>
      <c r="C10" s="1434">
        <f>ROUND(POWER(1+E10,H10-G10)*(POWER(1+E10,G10)-1)/(POWER(1+E10,H10)-1),4)</f>
        <v>0.97509999999999997</v>
      </c>
      <c r="D10" s="1395" t="s">
        <v>936</v>
      </c>
      <c r="E10" s="1396">
        <v>0.04</v>
      </c>
      <c r="F10" s="1435" t="s">
        <v>1634</v>
      </c>
      <c r="G10" s="1436">
        <f>IF(F10="剩余土地使用年限",主表!B15,主表!B16)</f>
        <v>37.69</v>
      </c>
      <c r="H10" s="1436">
        <f>IF(E2="住宅/居住",70,IF(E2="商业",40,50))</f>
        <v>40</v>
      </c>
      <c r="I10" s="1423"/>
      <c r="J10" s="1437"/>
      <c r="AE10" s="667"/>
      <c r="AF10" s="667"/>
    </row>
    <row r="11" spans="1:36" ht="15">
      <c r="A11" s="699" t="s">
        <v>933</v>
      </c>
      <c r="B11" s="700" t="s">
        <v>938</v>
      </c>
      <c r="C11" s="1232">
        <f>IF(E2="工业",1,IF(G3&gt;10,D14,IF(D11="郊区",D13,D12)))</f>
        <v>0.96560000000000001</v>
      </c>
      <c r="D11" s="1402" t="s">
        <v>1798</v>
      </c>
      <c r="E11" s="677"/>
      <c r="F11" s="677"/>
      <c r="G11" s="677"/>
      <c r="H11" s="677"/>
      <c r="I11" s="677"/>
      <c r="J11" s="701"/>
      <c r="AE11" s="667"/>
      <c r="AF11" s="667"/>
    </row>
    <row r="12" spans="1:36" ht="15">
      <c r="A12" s="642"/>
      <c r="B12" s="702" t="s">
        <v>1349</v>
      </c>
      <c r="C12" s="578" t="s">
        <v>1489</v>
      </c>
      <c r="D12" s="1391">
        <f>IF(E12=G12,F12,IF(G3&lt;=10,ROUND(F12+(H12-F12)*(G3-E12)/(G12-E12),4),"——"))</f>
        <v>0.96560000000000001</v>
      </c>
      <c r="E12" s="1393">
        <f>ROUNDDOWN(G3,1)</f>
        <v>2.1</v>
      </c>
      <c r="F12" s="1394">
        <f>IF(G3&lt;=10,SUMPRODUCT(('2002容积率修正'!A3:A102=E12)*('2002容积率修正'!B2:D2=E2)*('2002容积率修正'!B3:D102)),"——")</f>
        <v>0.98</v>
      </c>
      <c r="G12" s="1392">
        <f>ROUNDUP(G3,1)</f>
        <v>2.2000000000000002</v>
      </c>
      <c r="H12" s="578">
        <f>IF(G3&lt;=10,SUMPRODUCT(('2002容积率修正'!A3:A102=G12)*('2002容积率修正'!B2:D2=E2)*('2002容积率修正'!B3:D102)),"——")</f>
        <v>0.96199999999999997</v>
      </c>
      <c r="I12" s="625"/>
      <c r="J12" s="703"/>
      <c r="AE12" s="667"/>
      <c r="AF12" s="667"/>
    </row>
    <row r="13" spans="1:36" ht="15">
      <c r="A13" s="642"/>
      <c r="B13" s="702" t="s">
        <v>1350</v>
      </c>
      <c r="C13" s="578" t="s">
        <v>1489</v>
      </c>
      <c r="D13" s="1391">
        <f>IF(E12=G12,F12,IF(G3&lt;=10,ROUND(F12+(H12-F12)*(G3-E12)/(G12-E12),4),"——"))</f>
        <v>0.96560000000000001</v>
      </c>
      <c r="E13" s="1393">
        <f>ROUNDDOWN(G3,1)</f>
        <v>2.1</v>
      </c>
      <c r="F13" s="1394">
        <f>IF(G3&lt;=10,SUMPRODUCT(('2002容积率修正'!A3:A102=E13)*('2002容积率修正'!E2:G2=E2)*('2002容积率修正'!E3:G102)),"——")</f>
        <v>0.79500000000000004</v>
      </c>
      <c r="G13" s="1392">
        <f>ROUNDUP(G3,1)</f>
        <v>2.2000000000000002</v>
      </c>
      <c r="H13" s="578">
        <f>IF(G3&lt;=10,SUMPRODUCT(('2002容积率修正'!A3:A102=G13)*('2002容积率修正'!E2:G2=E2)*('2002容积率修正'!E3:G102)),"——")</f>
        <v>0.78100000000000003</v>
      </c>
      <c r="I13" s="618"/>
      <c r="J13" s="704"/>
      <c r="AE13" s="667"/>
      <c r="AF13" s="667"/>
    </row>
    <row r="14" spans="1:36" ht="15.75" thickBot="1">
      <c r="A14" s="705"/>
      <c r="B14" s="706"/>
      <c r="C14" s="582" t="s">
        <v>281</v>
      </c>
      <c r="D14" s="583" t="str">
        <f>IF(G3&gt;10,B81,"——")</f>
        <v>——</v>
      </c>
      <c r="E14" s="584"/>
      <c r="F14" s="582"/>
      <c r="G14" s="585"/>
      <c r="H14" s="582"/>
      <c r="I14" s="697"/>
      <c r="J14" s="707"/>
      <c r="AE14" s="667"/>
      <c r="AF14" s="667"/>
    </row>
    <row r="15" spans="1:36" ht="16.5" thickBot="1">
      <c r="A15" s="695" t="s">
        <v>937</v>
      </c>
      <c r="B15" s="696" t="s">
        <v>941</v>
      </c>
      <c r="C15" s="577">
        <f>SUMIF(A40:A76,E2,B40:B76)</f>
        <v>1</v>
      </c>
      <c r="D15" s="708"/>
      <c r="E15" s="709"/>
      <c r="F15" s="709"/>
      <c r="G15" s="709"/>
      <c r="H15" s="709"/>
      <c r="I15" s="709"/>
      <c r="J15" s="710"/>
      <c r="AE15" s="667"/>
      <c r="AF15" s="667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1801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七通一平</v>
      </c>
      <c r="I16" s="711"/>
      <c r="J16" s="1442"/>
      <c r="L16" s="663"/>
      <c r="M16" s="663"/>
      <c r="N16" s="663"/>
      <c r="O16" s="663"/>
      <c r="P16" s="663"/>
      <c r="Q16" s="663"/>
      <c r="R16" s="663"/>
      <c r="S16" s="663"/>
      <c r="T16" s="663"/>
      <c r="U16" s="663"/>
      <c r="V16" s="663"/>
      <c r="W16" s="663"/>
      <c r="X16" s="663"/>
      <c r="Y16" s="663"/>
      <c r="Z16" s="663"/>
      <c r="AA16" s="663"/>
      <c r="AB16" s="663"/>
      <c r="AC16" s="663"/>
      <c r="AD16" s="663"/>
      <c r="AE16" s="667"/>
      <c r="AF16" s="667"/>
    </row>
    <row r="17" spans="1:37" ht="12" customHeight="1">
      <c r="A17" s="674" t="s">
        <v>942</v>
      </c>
      <c r="B17" s="712" t="s">
        <v>943</v>
      </c>
      <c r="C17" s="892" t="s">
        <v>1490</v>
      </c>
      <c r="D17" s="713" t="s">
        <v>1340</v>
      </c>
      <c r="E17" s="714" t="s">
        <v>956</v>
      </c>
      <c r="F17" s="676"/>
      <c r="G17" s="677"/>
      <c r="H17" s="677"/>
      <c r="I17" s="677"/>
      <c r="J17" s="678"/>
      <c r="L17" s="663"/>
      <c r="M17" s="663"/>
      <c r="N17" s="663"/>
      <c r="O17" s="663"/>
      <c r="P17" s="663"/>
      <c r="Q17" s="663"/>
      <c r="R17" s="663"/>
      <c r="S17" s="663"/>
      <c r="T17" s="663"/>
      <c r="U17" s="663"/>
      <c r="V17" s="663"/>
      <c r="W17" s="663"/>
      <c r="X17" s="663"/>
      <c r="Y17" s="663"/>
      <c r="Z17" s="663"/>
      <c r="AA17" s="663"/>
      <c r="AB17" s="663"/>
      <c r="AC17" s="663"/>
      <c r="AD17" s="663"/>
      <c r="AE17" s="667"/>
      <c r="AF17" s="667"/>
    </row>
    <row r="18" spans="1:37" s="680" customFormat="1" ht="15.75">
      <c r="A18" s="1718" t="s">
        <v>1338</v>
      </c>
      <c r="B18" s="715" t="s">
        <v>1325</v>
      </c>
      <c r="C18" s="586">
        <f>ROUND(C7*C9*C10*C11*C15*C16,0)</f>
        <v>4563</v>
      </c>
      <c r="D18" s="587">
        <f>H1</f>
        <v>1406.23</v>
      </c>
      <c r="E18" s="588">
        <f>ROUND(C18*D18,0)</f>
        <v>6416627</v>
      </c>
      <c r="F18" s="716" t="s">
        <v>1329</v>
      </c>
      <c r="G18" s="717"/>
      <c r="H18" s="717"/>
      <c r="I18" s="717"/>
      <c r="J18" s="718"/>
      <c r="K18" s="719"/>
      <c r="L18" s="663"/>
      <c r="M18" s="663"/>
      <c r="N18" s="663"/>
      <c r="O18" s="663"/>
      <c r="P18" s="663"/>
      <c r="Q18" s="663"/>
      <c r="R18" s="663"/>
      <c r="S18" s="663"/>
      <c r="T18" s="663"/>
      <c r="U18" s="663"/>
      <c r="V18" s="663"/>
      <c r="W18" s="663"/>
      <c r="X18" s="663"/>
      <c r="Y18" s="663"/>
      <c r="Z18" s="667"/>
      <c r="AA18" s="667"/>
      <c r="AB18" s="667"/>
      <c r="AC18" s="667"/>
      <c r="AD18" s="667"/>
      <c r="AE18" s="667"/>
      <c r="AF18" s="667"/>
      <c r="AG18" s="665"/>
      <c r="AH18" s="665"/>
      <c r="AI18" s="665"/>
    </row>
    <row r="19" spans="1:37" s="680" customFormat="1" ht="15">
      <c r="A19" s="1719"/>
      <c r="B19" s="720" t="s">
        <v>1328</v>
      </c>
      <c r="C19" s="578">
        <f>ROUND(C7*C9*C10*C11*C15*C16*G3,0)</f>
        <v>9948</v>
      </c>
      <c r="D19" s="587">
        <f>J1</f>
        <v>644.47</v>
      </c>
      <c r="E19" s="588">
        <f>ROUND(C19*D19,0)</f>
        <v>6411188</v>
      </c>
      <c r="F19" s="721" t="s">
        <v>1330</v>
      </c>
      <c r="G19" s="687"/>
      <c r="H19" s="687"/>
      <c r="I19" s="687"/>
      <c r="J19" s="688"/>
      <c r="K19" s="719"/>
      <c r="L19" s="663"/>
      <c r="M19" s="663"/>
      <c r="N19" s="663"/>
      <c r="O19" s="663"/>
      <c r="P19" s="663"/>
      <c r="Q19" s="663"/>
      <c r="R19" s="663"/>
      <c r="S19" s="663"/>
      <c r="T19" s="663"/>
      <c r="U19" s="663"/>
      <c r="V19" s="663"/>
      <c r="W19" s="663"/>
      <c r="X19" s="663"/>
      <c r="Y19" s="663"/>
      <c r="Z19" s="667"/>
      <c r="AA19" s="667"/>
      <c r="AB19" s="667"/>
      <c r="AC19" s="667"/>
      <c r="AD19" s="667"/>
      <c r="AE19" s="667"/>
      <c r="AF19" s="667"/>
      <c r="AG19" s="665"/>
      <c r="AH19" s="665"/>
      <c r="AI19" s="665"/>
    </row>
    <row r="20" spans="1:37" s="680" customFormat="1" ht="15">
      <c r="A20" s="1720" t="s">
        <v>1339</v>
      </c>
      <c r="B20" s="702" t="s">
        <v>1326</v>
      </c>
      <c r="C20" s="592">
        <f>ROUND(IF(G3&gt;=I3,C8*C9*C10*C15,C8*C9*C10*C15*G3),0)</f>
        <v>1756</v>
      </c>
      <c r="D20" s="593">
        <f>H1</f>
        <v>1406.23</v>
      </c>
      <c r="E20" s="594">
        <f>ROUND(C20*D20,0)</f>
        <v>2469340</v>
      </c>
      <c r="F20" s="722" t="s">
        <v>1331</v>
      </c>
      <c r="G20" s="698"/>
      <c r="H20" s="698"/>
      <c r="I20" s="698"/>
      <c r="J20" s="723"/>
      <c r="K20" s="719"/>
      <c r="L20" s="663"/>
      <c r="M20" s="663"/>
      <c r="N20" s="663"/>
      <c r="O20" s="663"/>
      <c r="P20" s="663"/>
      <c r="Q20" s="663"/>
      <c r="R20" s="663"/>
      <c r="S20" s="663"/>
      <c r="T20" s="663"/>
      <c r="U20" s="663"/>
      <c r="V20" s="663"/>
      <c r="W20" s="663"/>
      <c r="X20" s="663"/>
      <c r="Y20" s="663"/>
      <c r="Z20" s="667"/>
      <c r="AA20" s="667"/>
      <c r="AB20" s="667"/>
      <c r="AC20" s="667"/>
      <c r="AD20" s="667"/>
      <c r="AE20" s="667"/>
      <c r="AF20" s="667"/>
      <c r="AG20" s="665"/>
      <c r="AH20" s="665"/>
      <c r="AI20" s="665"/>
    </row>
    <row r="21" spans="1:37" s="680" customFormat="1" ht="15">
      <c r="A21" s="1720"/>
      <c r="B21" s="724" t="s">
        <v>1327</v>
      </c>
      <c r="C21" s="595">
        <f>ROUND(IF(G3&lt;I3,C8*C9*C10*C15,C8*C9*C10*C15*G3),0)</f>
        <v>3829</v>
      </c>
      <c r="D21" s="596">
        <f>J1</f>
        <v>644.47</v>
      </c>
      <c r="E21" s="597">
        <f t="shared" ref="E21" si="0">ROUND(C21*D21,0)</f>
        <v>2467676</v>
      </c>
      <c r="F21" s="725" t="s">
        <v>1332</v>
      </c>
      <c r="G21" s="698"/>
      <c r="H21" s="698"/>
      <c r="I21" s="698"/>
      <c r="J21" s="723"/>
      <c r="K21" s="719"/>
      <c r="L21" s="663"/>
      <c r="M21" s="663"/>
      <c r="N21" s="663"/>
      <c r="O21" s="663"/>
      <c r="P21" s="663"/>
      <c r="Q21" s="663"/>
      <c r="R21" s="663"/>
      <c r="S21" s="663"/>
      <c r="T21" s="663"/>
      <c r="U21" s="663"/>
      <c r="V21" s="663"/>
      <c r="W21" s="663"/>
      <c r="X21" s="663"/>
      <c r="Y21" s="663"/>
      <c r="Z21" s="667"/>
      <c r="AA21" s="667"/>
      <c r="AB21" s="667"/>
      <c r="AC21" s="667"/>
      <c r="AD21" s="667"/>
      <c r="AE21" s="719"/>
      <c r="AF21" s="726"/>
      <c r="AG21" s="727"/>
      <c r="AH21" s="665"/>
      <c r="AI21" s="682"/>
      <c r="AJ21" s="682"/>
      <c r="AK21" s="682"/>
    </row>
    <row r="22" spans="1:37" s="680" customFormat="1" ht="15.75" thickBot="1">
      <c r="A22" s="1443" t="s">
        <v>1348</v>
      </c>
      <c r="B22" s="728"/>
      <c r="C22" s="1478">
        <f>ROUND(IF(D22="四环路内",C20*0.4,C20*0.6),0)</f>
        <v>1054</v>
      </c>
      <c r="D22" s="729" t="s">
        <v>1794</v>
      </c>
      <c r="E22" s="730"/>
      <c r="F22" s="730"/>
      <c r="G22" s="730"/>
      <c r="H22" s="730"/>
      <c r="I22" s="730"/>
      <c r="J22" s="1444"/>
      <c r="K22" s="719"/>
      <c r="L22" s="663"/>
      <c r="M22" s="663"/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7"/>
      <c r="AA22" s="667"/>
      <c r="AB22" s="667"/>
      <c r="AC22" s="667"/>
      <c r="AD22" s="667"/>
      <c r="AE22" s="719"/>
      <c r="AF22" s="719"/>
    </row>
    <row r="23" spans="1:37" s="680" customFormat="1" ht="14.25" thickBot="1">
      <c r="A23" s="665"/>
      <c r="B23" s="731"/>
      <c r="C23" s="567"/>
      <c r="D23" s="664"/>
      <c r="E23" s="664"/>
      <c r="F23" s="664"/>
      <c r="G23" s="664"/>
      <c r="H23" s="664"/>
      <c r="I23" s="664"/>
      <c r="J23" s="664"/>
      <c r="K23" s="719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7"/>
      <c r="AA23" s="667"/>
      <c r="AB23" s="667"/>
      <c r="AC23" s="667"/>
      <c r="AD23" s="667"/>
      <c r="AE23" s="719"/>
      <c r="AF23" s="719"/>
    </row>
    <row r="24" spans="1:37" s="680" customFormat="1" ht="14.25" thickBot="1">
      <c r="A24" s="732" t="s">
        <v>969</v>
      </c>
      <c r="B24" s="356">
        <f>ROUNDDOWN(1+DATEDIF(E9,H9,"M")/3,0)</f>
        <v>35</v>
      </c>
      <c r="C24" s="667"/>
      <c r="D24" s="726"/>
      <c r="E24" s="726"/>
      <c r="F24" s="726"/>
      <c r="G24" s="726"/>
      <c r="H24" s="726"/>
      <c r="I24" s="667"/>
      <c r="J24" s="667"/>
      <c r="K24" s="667"/>
      <c r="L24" s="667"/>
      <c r="M24" s="663"/>
      <c r="N24" s="663"/>
      <c r="O24" s="719"/>
      <c r="P24" s="719"/>
      <c r="Q24" s="719"/>
      <c r="R24" s="719"/>
      <c r="S24" s="719"/>
      <c r="T24" s="663"/>
      <c r="U24" s="663"/>
      <c r="V24" s="663"/>
      <c r="W24" s="663"/>
      <c r="X24" s="663"/>
      <c r="Y24" s="663"/>
      <c r="Z24" s="667"/>
      <c r="AA24" s="667"/>
      <c r="AB24" s="667"/>
      <c r="AC24" s="667"/>
      <c r="AD24" s="667"/>
      <c r="AE24" s="719"/>
      <c r="AF24" s="719"/>
    </row>
    <row r="25" spans="1:37" s="680" customFormat="1" ht="13.5">
      <c r="A25" s="733" t="s">
        <v>264</v>
      </c>
      <c r="B25" s="1303" t="s">
        <v>1491</v>
      </c>
      <c r="C25" s="1374" t="s">
        <v>269</v>
      </c>
      <c r="D25" s="726"/>
      <c r="E25" s="726"/>
      <c r="F25" s="726"/>
      <c r="G25" s="726"/>
      <c r="H25" s="726"/>
      <c r="I25" s="667"/>
      <c r="J25" s="667"/>
      <c r="K25" s="667"/>
      <c r="L25" s="667"/>
      <c r="M25" s="663"/>
      <c r="N25" s="663"/>
      <c r="O25" s="719"/>
      <c r="P25" s="719"/>
      <c r="Q25" s="719"/>
      <c r="R25" s="719"/>
      <c r="S25" s="719"/>
      <c r="T25" s="663"/>
      <c r="U25" s="663"/>
      <c r="V25" s="663"/>
      <c r="W25" s="663"/>
      <c r="X25" s="663"/>
      <c r="Y25" s="663"/>
      <c r="Z25" s="667"/>
      <c r="AA25" s="667"/>
      <c r="AB25" s="667"/>
      <c r="AC25" s="667"/>
      <c r="AD25" s="667"/>
      <c r="AE25" s="719"/>
      <c r="AF25" s="719"/>
    </row>
    <row r="26" spans="1:37" s="680" customFormat="1" ht="14.25">
      <c r="A26" s="737" t="s">
        <v>278</v>
      </c>
      <c r="B26" s="610"/>
      <c r="C26" s="1326">
        <f>'地价（废）'!L2</f>
        <v>1.9300000000000001E-2</v>
      </c>
      <c r="D26" s="726"/>
      <c r="E26" s="726"/>
      <c r="F26" s="726"/>
      <c r="G26" s="726"/>
      <c r="H26" s="726"/>
      <c r="I26" s="667"/>
      <c r="J26" s="667"/>
      <c r="K26" s="667"/>
      <c r="L26" s="667"/>
      <c r="M26" s="663"/>
      <c r="N26" s="663"/>
      <c r="O26" s="719"/>
      <c r="P26" s="719"/>
      <c r="Q26" s="719"/>
      <c r="R26" s="719"/>
      <c r="S26" s="719"/>
      <c r="T26" s="663"/>
      <c r="U26" s="663"/>
      <c r="V26" s="663"/>
      <c r="W26" s="663"/>
      <c r="X26" s="663"/>
      <c r="Y26" s="663"/>
      <c r="Z26" s="667"/>
      <c r="AA26" s="667"/>
      <c r="AB26" s="667"/>
      <c r="AC26" s="667"/>
      <c r="AD26" s="667"/>
      <c r="AE26" s="719"/>
      <c r="AF26" s="719"/>
    </row>
    <row r="27" spans="1:37" s="680" customFormat="1" ht="14.25">
      <c r="A27" s="737" t="s">
        <v>0</v>
      </c>
      <c r="B27" s="570">
        <v>0.02</v>
      </c>
      <c r="C27" s="1326">
        <f>'地价（废）'!M2</f>
        <v>1.78E-2</v>
      </c>
      <c r="D27" s="726"/>
      <c r="E27" s="726"/>
      <c r="F27" s="726"/>
      <c r="G27" s="726"/>
      <c r="H27" s="726"/>
      <c r="I27" s="667"/>
      <c r="J27" s="667"/>
      <c r="K27" s="667"/>
      <c r="L27" s="667"/>
      <c r="M27" s="663"/>
      <c r="N27" s="663"/>
      <c r="O27" s="719"/>
      <c r="P27" s="719"/>
      <c r="Q27" s="719"/>
      <c r="R27" s="719"/>
      <c r="S27" s="719"/>
      <c r="T27" s="663"/>
      <c r="U27" s="663"/>
      <c r="V27" s="663"/>
      <c r="W27" s="663"/>
      <c r="X27" s="663"/>
      <c r="Y27" s="663"/>
      <c r="Z27" s="667"/>
      <c r="AA27" s="667"/>
      <c r="AB27" s="667"/>
      <c r="AC27" s="667"/>
      <c r="AD27" s="667"/>
      <c r="AE27" s="719"/>
      <c r="AF27" s="719"/>
    </row>
    <row r="28" spans="1:37" s="680" customFormat="1" ht="14.25">
      <c r="A28" s="737" t="s">
        <v>1343</v>
      </c>
      <c r="B28" s="570">
        <v>0.02</v>
      </c>
      <c r="C28" s="1326">
        <f>'地价（废）'!N2</f>
        <v>1.78E-2</v>
      </c>
      <c r="D28" s="726"/>
      <c r="E28" s="726"/>
      <c r="F28" s="726"/>
      <c r="G28" s="726"/>
      <c r="H28" s="726"/>
      <c r="I28" s="667"/>
      <c r="J28" s="667"/>
      <c r="K28" s="667"/>
      <c r="L28" s="667"/>
      <c r="M28" s="663"/>
      <c r="N28" s="663"/>
      <c r="O28" s="719"/>
      <c r="P28" s="719"/>
      <c r="Q28" s="719"/>
      <c r="R28" s="719"/>
      <c r="S28" s="719"/>
      <c r="T28" s="663"/>
      <c r="U28" s="663"/>
      <c r="V28" s="663"/>
      <c r="W28" s="663"/>
      <c r="X28" s="663"/>
      <c r="Y28" s="663"/>
      <c r="Z28" s="667"/>
      <c r="AA28" s="667"/>
      <c r="AB28" s="667"/>
      <c r="AC28" s="667"/>
      <c r="AD28" s="667"/>
      <c r="AE28" s="719"/>
      <c r="AF28" s="719"/>
    </row>
    <row r="29" spans="1:37" s="680" customFormat="1" ht="14.25">
      <c r="A29" s="737" t="s">
        <v>1344</v>
      </c>
      <c r="B29" s="570">
        <v>2.5899999999999999E-2</v>
      </c>
      <c r="C29" s="1326">
        <f>'地价（废）'!O2</f>
        <v>1.9900000000000001E-2</v>
      </c>
      <c r="D29" s="726"/>
      <c r="E29" s="726"/>
      <c r="F29" s="726"/>
      <c r="G29" s="726"/>
      <c r="H29" s="726"/>
      <c r="I29" s="667"/>
      <c r="J29" s="667"/>
      <c r="K29" s="667"/>
      <c r="L29" s="667"/>
      <c r="M29" s="663"/>
      <c r="N29" s="663"/>
      <c r="O29" s="719"/>
      <c r="P29" s="719"/>
      <c r="Q29" s="719"/>
      <c r="R29" s="719"/>
      <c r="S29" s="719"/>
      <c r="T29" s="663"/>
      <c r="U29" s="663"/>
      <c r="V29" s="663"/>
      <c r="W29" s="663"/>
      <c r="X29" s="663"/>
      <c r="Y29" s="663"/>
      <c r="Z29" s="667"/>
      <c r="AA29" s="667"/>
      <c r="AB29" s="667"/>
      <c r="AC29" s="667"/>
      <c r="AD29" s="667"/>
      <c r="AE29" s="719"/>
      <c r="AF29" s="719"/>
    </row>
    <row r="30" spans="1:37" s="680" customFormat="1" ht="15" thickBot="1">
      <c r="A30" s="738" t="s">
        <v>2</v>
      </c>
      <c r="B30" s="571">
        <v>0.02</v>
      </c>
      <c r="C30" s="880">
        <f>'地价（废）'!P2</f>
        <v>1.7899999999999999E-2</v>
      </c>
      <c r="D30" s="726"/>
      <c r="E30" s="726"/>
      <c r="F30" s="726"/>
      <c r="G30" s="726"/>
      <c r="H30" s="726"/>
      <c r="I30" s="667"/>
      <c r="J30" s="667"/>
      <c r="K30" s="667"/>
      <c r="L30" s="667"/>
      <c r="M30" s="663"/>
      <c r="N30" s="663"/>
      <c r="O30" s="719"/>
      <c r="P30" s="719"/>
      <c r="Q30" s="719"/>
      <c r="R30" s="719"/>
      <c r="S30" s="719"/>
      <c r="T30" s="663"/>
      <c r="U30" s="663"/>
      <c r="V30" s="663"/>
      <c r="W30" s="663"/>
      <c r="X30" s="663"/>
      <c r="Y30" s="663"/>
      <c r="Z30" s="667"/>
      <c r="AA30" s="667"/>
      <c r="AB30" s="667"/>
      <c r="AC30" s="667"/>
      <c r="AD30" s="667"/>
      <c r="AE30" s="719"/>
      <c r="AF30" s="719"/>
    </row>
    <row r="31" spans="1:37" s="680" customFormat="1" ht="13.5">
      <c r="A31" s="726"/>
      <c r="B31" s="726"/>
      <c r="C31" s="726"/>
      <c r="D31" s="726"/>
      <c r="E31" s="726"/>
      <c r="F31" s="726"/>
      <c r="G31" s="726"/>
      <c r="H31" s="726"/>
      <c r="I31" s="667"/>
      <c r="J31" s="667"/>
      <c r="K31" s="667"/>
      <c r="L31" s="667"/>
      <c r="M31" s="663"/>
      <c r="N31" s="663"/>
      <c r="O31" s="719"/>
      <c r="P31" s="719"/>
      <c r="Q31" s="719"/>
      <c r="R31" s="719"/>
      <c r="S31" s="719"/>
      <c r="T31" s="663"/>
      <c r="U31" s="663"/>
      <c r="V31" s="663"/>
      <c r="W31" s="663"/>
      <c r="X31" s="663"/>
      <c r="Y31" s="663"/>
      <c r="Z31" s="667"/>
      <c r="AA31" s="667"/>
      <c r="AB31" s="667"/>
      <c r="AC31" s="667"/>
      <c r="AD31" s="667"/>
      <c r="AE31" s="719"/>
      <c r="AF31" s="719"/>
    </row>
    <row r="32" spans="1:37" s="680" customFormat="1" ht="13.5">
      <c r="A32" s="726"/>
      <c r="B32" s="726"/>
      <c r="C32" s="726"/>
      <c r="D32" s="726"/>
      <c r="E32" s="726"/>
      <c r="F32" s="726"/>
      <c r="G32" s="726"/>
      <c r="H32" s="726"/>
      <c r="I32" s="667"/>
      <c r="J32" s="667"/>
      <c r="K32" s="667"/>
      <c r="L32" s="667"/>
      <c r="M32" s="663"/>
      <c r="N32" s="663"/>
      <c r="O32" s="719"/>
      <c r="P32" s="719"/>
      <c r="Q32" s="719"/>
      <c r="R32" s="719"/>
      <c r="S32" s="719"/>
      <c r="T32" s="663"/>
      <c r="U32" s="663"/>
      <c r="V32" s="663"/>
      <c r="W32" s="663"/>
      <c r="X32" s="663"/>
      <c r="Y32" s="663"/>
      <c r="Z32" s="667"/>
      <c r="AA32" s="667"/>
      <c r="AB32" s="667"/>
      <c r="AC32" s="667"/>
      <c r="AD32" s="667"/>
      <c r="AE32" s="719"/>
      <c r="AF32" s="719"/>
    </row>
    <row r="33" spans="1:37" s="680" customFormat="1" ht="13.5">
      <c r="A33" s="726"/>
      <c r="B33" s="726"/>
      <c r="C33" s="726"/>
      <c r="D33" s="726"/>
      <c r="E33" s="726"/>
      <c r="F33" s="726"/>
      <c r="G33" s="726"/>
      <c r="H33" s="726"/>
      <c r="I33" s="667"/>
      <c r="J33" s="667"/>
      <c r="K33" s="667"/>
      <c r="L33" s="667"/>
      <c r="M33" s="663"/>
      <c r="N33" s="663"/>
      <c r="O33" s="719"/>
      <c r="P33" s="719"/>
      <c r="Q33" s="719"/>
      <c r="R33" s="719"/>
      <c r="S33" s="719"/>
      <c r="T33" s="663"/>
      <c r="U33" s="663"/>
      <c r="V33" s="663"/>
      <c r="W33" s="663"/>
      <c r="X33" s="663"/>
      <c r="Y33" s="663"/>
      <c r="Z33" s="667"/>
      <c r="AA33" s="667"/>
      <c r="AB33" s="667"/>
      <c r="AC33" s="667"/>
      <c r="AD33" s="667"/>
      <c r="AE33" s="719"/>
      <c r="AF33" s="719"/>
    </row>
    <row r="34" spans="1:37" s="680" customFormat="1" ht="13.5">
      <c r="A34" s="726"/>
      <c r="B34" s="726"/>
      <c r="C34" s="726"/>
      <c r="D34" s="726"/>
      <c r="E34" s="726"/>
      <c r="F34" s="726"/>
      <c r="G34" s="726"/>
      <c r="H34" s="726"/>
      <c r="I34" s="667"/>
      <c r="J34" s="667"/>
      <c r="K34" s="667"/>
      <c r="L34" s="667"/>
      <c r="M34" s="663"/>
      <c r="N34" s="663"/>
      <c r="O34" s="719"/>
      <c r="P34" s="719"/>
      <c r="Q34" s="719"/>
      <c r="R34" s="719"/>
      <c r="S34" s="719"/>
      <c r="T34" s="663"/>
      <c r="U34" s="663"/>
      <c r="V34" s="663"/>
      <c r="W34" s="663"/>
      <c r="X34" s="663"/>
      <c r="Y34" s="663"/>
      <c r="Z34" s="667"/>
      <c r="AA34" s="667"/>
      <c r="AB34" s="667"/>
      <c r="AC34" s="667"/>
      <c r="AD34" s="667"/>
      <c r="AE34" s="719"/>
      <c r="AF34" s="719"/>
    </row>
    <row r="35" spans="1:37" s="680" customFormat="1" ht="13.5">
      <c r="A35" s="726"/>
      <c r="B35" s="726"/>
      <c r="C35" s="726"/>
      <c r="D35" s="726"/>
      <c r="E35" s="726"/>
      <c r="F35" s="726"/>
      <c r="G35" s="726"/>
      <c r="H35" s="726"/>
      <c r="I35" s="667"/>
      <c r="J35" s="667"/>
      <c r="K35" s="667"/>
      <c r="L35" s="667"/>
      <c r="M35" s="663"/>
      <c r="N35" s="663"/>
      <c r="O35" s="719"/>
      <c r="P35" s="719"/>
      <c r="Q35" s="719"/>
      <c r="R35" s="719"/>
      <c r="S35" s="719"/>
      <c r="T35" s="663"/>
      <c r="U35" s="663"/>
      <c r="V35" s="663"/>
      <c r="W35" s="663"/>
      <c r="X35" s="663"/>
      <c r="Y35" s="663"/>
      <c r="Z35" s="667"/>
      <c r="AA35" s="667"/>
      <c r="AB35" s="667"/>
      <c r="AC35" s="667"/>
      <c r="AD35" s="667"/>
      <c r="AE35" s="719"/>
      <c r="AF35" s="719"/>
    </row>
    <row r="36" spans="1:37" s="680" customFormat="1" ht="13.5">
      <c r="A36" s="665"/>
      <c r="B36" s="731"/>
      <c r="C36" s="664"/>
      <c r="D36" s="726"/>
      <c r="E36" s="726"/>
      <c r="F36" s="726"/>
      <c r="G36" s="726"/>
      <c r="H36" s="726"/>
      <c r="I36" s="667"/>
      <c r="J36" s="667"/>
      <c r="K36" s="667"/>
      <c r="L36" s="667"/>
      <c r="M36" s="663"/>
      <c r="N36" s="663"/>
      <c r="O36" s="719"/>
      <c r="P36" s="719"/>
      <c r="Q36" s="719"/>
      <c r="R36" s="719"/>
      <c r="S36" s="719"/>
      <c r="T36" s="663"/>
      <c r="U36" s="663"/>
      <c r="V36" s="663"/>
      <c r="W36" s="663"/>
      <c r="X36" s="663"/>
      <c r="Y36" s="663"/>
      <c r="Z36" s="667"/>
      <c r="AA36" s="667"/>
      <c r="AB36" s="667"/>
      <c r="AC36" s="667"/>
      <c r="AD36" s="667"/>
      <c r="AE36" s="719"/>
      <c r="AF36" s="719"/>
    </row>
    <row r="37" spans="1:37">
      <c r="A37" s="667"/>
      <c r="B37" s="739"/>
      <c r="C37" s="663"/>
      <c r="D37" s="663"/>
      <c r="E37" s="663"/>
      <c r="F37" s="663"/>
      <c r="G37" s="663"/>
      <c r="H37" s="663"/>
      <c r="I37" s="663"/>
      <c r="J37" s="663"/>
      <c r="L37" s="663"/>
      <c r="M37" s="663"/>
      <c r="N37" s="663"/>
      <c r="O37" s="663"/>
      <c r="P37" s="663"/>
      <c r="Q37" s="663"/>
      <c r="R37" s="663"/>
      <c r="S37" s="663"/>
      <c r="T37" s="663"/>
      <c r="U37" s="663"/>
      <c r="V37" s="663"/>
      <c r="W37" s="663"/>
      <c r="X37" s="663"/>
      <c r="Y37" s="663"/>
      <c r="Z37" s="667"/>
      <c r="AA37" s="667"/>
      <c r="AB37" s="667"/>
      <c r="AC37" s="667"/>
      <c r="AD37" s="667"/>
      <c r="AE37" s="667"/>
      <c r="AF37" s="667"/>
      <c r="AK37" s="665"/>
    </row>
    <row r="38" spans="1:37" s="680" customFormat="1" ht="13.5">
      <c r="A38" s="667"/>
      <c r="B38" s="739"/>
      <c r="C38" s="663"/>
      <c r="D38" s="663"/>
      <c r="E38" s="663"/>
      <c r="F38" s="663"/>
      <c r="G38" s="663"/>
      <c r="H38" s="663"/>
      <c r="I38" s="663"/>
      <c r="J38" s="663"/>
      <c r="K38" s="719"/>
      <c r="L38" s="663"/>
      <c r="M38" s="663"/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7"/>
      <c r="AA38" s="667"/>
      <c r="AB38" s="667"/>
      <c r="AC38" s="667"/>
      <c r="AD38" s="667"/>
      <c r="AE38" s="719"/>
      <c r="AF38" s="719"/>
    </row>
    <row r="39" spans="1:37" ht="14.25" thickBot="1">
      <c r="A39" s="225" t="s">
        <v>891</v>
      </c>
      <c r="B39" s="740"/>
      <c r="C39" s="741"/>
      <c r="D39" s="741"/>
      <c r="E39" s="741"/>
      <c r="F39" s="526"/>
      <c r="G39" s="741"/>
      <c r="H39" s="526"/>
      <c r="I39" s="741"/>
      <c r="J39" s="741"/>
      <c r="L39" s="663"/>
      <c r="M39" s="663"/>
      <c r="N39" s="663"/>
      <c r="O39" s="663"/>
      <c r="P39" s="663"/>
      <c r="Q39" s="663"/>
      <c r="R39" s="663"/>
      <c r="S39" s="663"/>
      <c r="T39" s="663"/>
      <c r="U39" s="663"/>
      <c r="V39" s="663"/>
      <c r="W39" s="663"/>
      <c r="X39" s="663"/>
      <c r="Y39" s="663"/>
      <c r="Z39" s="667"/>
      <c r="AA39" s="667"/>
      <c r="AB39" s="667"/>
      <c r="AC39" s="667"/>
      <c r="AD39" s="667"/>
      <c r="AE39" s="667"/>
      <c r="AF39" s="667"/>
    </row>
    <row r="40" spans="1:37" ht="13.5">
      <c r="A40" s="227" t="s">
        <v>0</v>
      </c>
      <c r="B40" s="228">
        <f>1+E42</f>
        <v>1</v>
      </c>
      <c r="C40" s="742"/>
      <c r="D40" s="743"/>
      <c r="E40" s="744"/>
      <c r="F40" s="225"/>
      <c r="G40" s="526"/>
      <c r="H40" s="741"/>
      <c r="I40" s="741"/>
      <c r="J40" s="741"/>
      <c r="L40" s="663"/>
      <c r="M40" s="663"/>
      <c r="N40" s="663"/>
      <c r="O40" s="663"/>
      <c r="P40" s="663"/>
      <c r="Q40" s="663"/>
      <c r="R40" s="663"/>
      <c r="S40" s="663"/>
      <c r="T40" s="663"/>
      <c r="U40" s="663"/>
      <c r="V40" s="663"/>
      <c r="W40" s="663"/>
      <c r="X40" s="663"/>
      <c r="Y40" s="663"/>
      <c r="Z40" s="667"/>
      <c r="AA40" s="667"/>
      <c r="AB40" s="667"/>
      <c r="AC40" s="667"/>
      <c r="AD40" s="667"/>
      <c r="AE40" s="667"/>
      <c r="AF40" s="667"/>
    </row>
    <row r="41" spans="1:37" ht="13.5">
      <c r="A41" s="231" t="s">
        <v>892</v>
      </c>
      <c r="B41" s="232" t="s">
        <v>893</v>
      </c>
      <c r="C41" s="232" t="s">
        <v>894</v>
      </c>
      <c r="D41" s="232" t="s">
        <v>1455</v>
      </c>
      <c r="E41" s="745" t="s">
        <v>1456</v>
      </c>
      <c r="F41" s="746" t="s">
        <v>1457</v>
      </c>
      <c r="G41" s="746" t="s">
        <v>1458</v>
      </c>
      <c r="H41" s="746" t="s">
        <v>1459</v>
      </c>
      <c r="I41" s="746" t="s">
        <v>1460</v>
      </c>
      <c r="J41" s="746" t="s">
        <v>1461</v>
      </c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7"/>
      <c r="AA41" s="667"/>
      <c r="AB41" s="667"/>
      <c r="AC41" s="667"/>
      <c r="AD41" s="667"/>
      <c r="AE41" s="667"/>
      <c r="AF41" s="667"/>
    </row>
    <row r="42" spans="1:37" ht="36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7"/>
      <c r="D42" s="456">
        <f t="shared" ref="D42:D48" si="1">SUMIF($F$41:$J$41,C42,F42:J42)</f>
        <v>0</v>
      </c>
      <c r="E42" s="237">
        <f>SUM(D42:D48)</f>
        <v>0</v>
      </c>
      <c r="F42" s="475">
        <f>SUMPRODUCT(('2002因素修正幅度'!$A$36:$A$42=A42)*('2002因素修正幅度'!$B$35:$K$35=$G$2)*('2002因素修正幅度'!$B$36:$K$42))</f>
        <v>5.3999999999999999E-2</v>
      </c>
      <c r="G42" s="475">
        <f>F42/2</f>
        <v>2.7E-2</v>
      </c>
      <c r="H42" s="476">
        <v>0</v>
      </c>
      <c r="I42" s="475">
        <f>J42/2</f>
        <v>-0.03</v>
      </c>
      <c r="J42" s="475">
        <f>SUMPRODUCT(('2002因素修正幅度'!$A$66:$A$72=A42)*('2002因素修正幅度'!$B$35:$K$35=$G$2)*('2002因素修正幅度'!$B$66:$K$72))</f>
        <v>-0.06</v>
      </c>
      <c r="L42" s="663"/>
      <c r="M42" s="663"/>
      <c r="N42" s="748"/>
      <c r="O42" s="663"/>
      <c r="P42" s="663"/>
      <c r="Q42" s="663"/>
      <c r="R42" s="663"/>
      <c r="S42" s="663"/>
      <c r="T42" s="663"/>
      <c r="U42" s="663"/>
      <c r="V42" s="663"/>
      <c r="W42" s="663"/>
      <c r="X42" s="663"/>
      <c r="Y42" s="663"/>
      <c r="Z42" s="667"/>
      <c r="AA42" s="667"/>
      <c r="AB42" s="667"/>
      <c r="AC42" s="667"/>
      <c r="AD42" s="667"/>
      <c r="AE42" s="667"/>
      <c r="AF42" s="667"/>
    </row>
    <row r="43" spans="1:37" ht="48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7"/>
      <c r="D43" s="456">
        <f t="shared" si="1"/>
        <v>0</v>
      </c>
      <c r="E43" s="238"/>
      <c r="F43" s="475">
        <f>SUMPRODUCT(('2002因素修正幅度'!$A$36:$A$42=A43)*('2002因素修正幅度'!$B$35:$K$35=$G$2)*('2002因素修正幅度'!$B$36:$K$42))</f>
        <v>2.7E-2</v>
      </c>
      <c r="G43" s="475">
        <f t="shared" ref="G43:G48" si="2">F43/2</f>
        <v>1.35E-2</v>
      </c>
      <c r="H43" s="476">
        <v>0</v>
      </c>
      <c r="I43" s="475">
        <f t="shared" ref="I43:I48" si="3">J43/2</f>
        <v>-1.4999999999999999E-2</v>
      </c>
      <c r="J43" s="475">
        <f>SUMPRODUCT(('2002因素修正幅度'!$A$66:$A$72=A43)*('2002因素修正幅度'!$B$35:$K$35=$G$2)*('2002因素修正幅度'!$B$66:$K$72))</f>
        <v>-0.03</v>
      </c>
      <c r="L43" s="663"/>
      <c r="M43" s="663"/>
      <c r="N43" s="663"/>
      <c r="O43" s="663"/>
      <c r="P43" s="663"/>
      <c r="Q43" s="663"/>
      <c r="R43" s="663"/>
      <c r="S43" s="663"/>
      <c r="T43" s="663"/>
      <c r="U43" s="663"/>
      <c r="V43" s="663"/>
      <c r="W43" s="663"/>
      <c r="X43" s="663"/>
      <c r="Y43" s="667"/>
      <c r="Z43" s="667"/>
      <c r="AA43" s="667"/>
      <c r="AB43" s="667"/>
      <c r="AC43" s="667"/>
      <c r="AD43" s="667"/>
      <c r="AE43" s="663"/>
      <c r="AF43" s="663"/>
      <c r="AG43" s="664"/>
      <c r="AH43" s="664"/>
      <c r="AI43" s="664"/>
      <c r="AJ43" s="664"/>
    </row>
    <row r="44" spans="1:37" ht="24">
      <c r="A44" s="231" t="s">
        <v>16</v>
      </c>
      <c r="B44" s="232" t="str">
        <f>估价对象房地状况!C7</f>
        <v>零星有其他用地，基本不影响本宗地</v>
      </c>
      <c r="C44" s="747"/>
      <c r="D44" s="456">
        <f t="shared" si="1"/>
        <v>0</v>
      </c>
      <c r="E44" s="238"/>
      <c r="F44" s="475">
        <f>SUMPRODUCT(('2002因素修正幅度'!$A$36:$A$42=A44)*('2002因素修正幅度'!$B$35:$K$35=$G$2)*('2002因素修正幅度'!$B$36:$K$42))</f>
        <v>1.7999999999999999E-2</v>
      </c>
      <c r="G44" s="475">
        <f t="shared" si="2"/>
        <v>8.9999999999999993E-3</v>
      </c>
      <c r="H44" s="476">
        <v>0</v>
      </c>
      <c r="I44" s="475">
        <f t="shared" si="3"/>
        <v>-0.01</v>
      </c>
      <c r="J44" s="475">
        <f>SUMPRODUCT(('2002因素修正幅度'!$A$66:$A$72=A44)*('2002因素修正幅度'!$B$35:$K$35=$G$2)*('2002因素修正幅度'!$B$66:$K$72))</f>
        <v>-0.02</v>
      </c>
      <c r="L44" s="663"/>
      <c r="M44" s="663"/>
      <c r="N44" s="663"/>
      <c r="O44" s="663"/>
      <c r="P44" s="663"/>
      <c r="Q44" s="663"/>
      <c r="R44" s="663"/>
      <c r="S44" s="663"/>
      <c r="T44" s="663"/>
      <c r="U44" s="663"/>
      <c r="V44" s="663"/>
      <c r="W44" s="667"/>
      <c r="X44" s="667"/>
      <c r="Y44" s="667"/>
      <c r="Z44" s="667"/>
      <c r="AA44" s="667"/>
      <c r="AB44" s="667"/>
      <c r="AC44" s="667"/>
      <c r="AE44" s="663"/>
      <c r="AF44" s="663"/>
      <c r="AG44" s="664"/>
      <c r="AH44" s="664"/>
      <c r="AI44" s="664"/>
      <c r="AJ44" s="664"/>
    </row>
    <row r="45" spans="1:37" ht="36">
      <c r="A45" s="231" t="s">
        <v>898</v>
      </c>
      <c r="B45" s="1450" t="s">
        <v>1736</v>
      </c>
      <c r="C45" s="747"/>
      <c r="D45" s="456">
        <f t="shared" si="1"/>
        <v>0</v>
      </c>
      <c r="E45" s="238"/>
      <c r="F45" s="475">
        <f>SUMPRODUCT(('2002因素修正幅度'!$A$36:$A$42=A45)*('2002因素修正幅度'!$B$35:$K$35=$G$2)*('2002因素修正幅度'!$B$36:$K$42))</f>
        <v>3.5999999999999997E-2</v>
      </c>
      <c r="G45" s="475">
        <f t="shared" si="2"/>
        <v>1.7999999999999999E-2</v>
      </c>
      <c r="H45" s="476">
        <v>0</v>
      </c>
      <c r="I45" s="475">
        <f t="shared" si="3"/>
        <v>-0.02</v>
      </c>
      <c r="J45" s="475">
        <f>SUMPRODUCT(('2002因素修正幅度'!$A$66:$A$72=A45)*('2002因素修正幅度'!$B$35:$K$35=$G$2)*('2002因素修正幅度'!$B$66:$K$72))</f>
        <v>-0.04</v>
      </c>
      <c r="L45" s="663"/>
      <c r="M45" s="663"/>
      <c r="N45" s="663"/>
      <c r="O45" s="663"/>
      <c r="P45" s="663"/>
      <c r="Q45" s="663"/>
      <c r="R45" s="663"/>
      <c r="S45" s="663"/>
      <c r="T45" s="663"/>
      <c r="U45" s="663"/>
      <c r="V45" s="663"/>
      <c r="W45" s="667"/>
      <c r="X45" s="667"/>
      <c r="Y45" s="667"/>
      <c r="Z45" s="667"/>
      <c r="AA45" s="667"/>
      <c r="AB45" s="667"/>
      <c r="AC45" s="667"/>
      <c r="AE45" s="663"/>
      <c r="AF45" s="663"/>
      <c r="AG45" s="664"/>
      <c r="AH45" s="664"/>
      <c r="AI45" s="664"/>
      <c r="AJ45" s="664"/>
    </row>
    <row r="46" spans="1:37" ht="14.25">
      <c r="A46" s="231" t="s">
        <v>899</v>
      </c>
      <c r="B46" s="232">
        <f>估价对象房地状况!C12</f>
        <v>0</v>
      </c>
      <c r="C46" s="747"/>
      <c r="D46" s="456">
        <f t="shared" si="1"/>
        <v>0</v>
      </c>
      <c r="E46" s="238"/>
      <c r="F46" s="475">
        <f>SUMPRODUCT(('2002因素修正幅度'!$A$36:$A$42=A46)*('2002因素修正幅度'!$B$35:$K$35=$G$2)*('2002因素修正幅度'!$B$36:$K$42))</f>
        <v>1.7999999999999999E-2</v>
      </c>
      <c r="G46" s="475">
        <f t="shared" si="2"/>
        <v>8.9999999999999993E-3</v>
      </c>
      <c r="H46" s="476">
        <v>0</v>
      </c>
      <c r="I46" s="475">
        <f t="shared" si="3"/>
        <v>-0.01</v>
      </c>
      <c r="J46" s="475">
        <f>SUMPRODUCT(('2002因素修正幅度'!$A$66:$A$72=A46)*('2002因素修正幅度'!$B$35:$K$35=$G$2)*('2002因素修正幅度'!$B$66:$K$72))</f>
        <v>-0.02</v>
      </c>
      <c r="L46" s="663"/>
      <c r="M46" s="663"/>
      <c r="N46" s="663"/>
      <c r="O46" s="663"/>
      <c r="P46" s="663"/>
      <c r="Q46" s="663"/>
      <c r="R46" s="663"/>
      <c r="S46" s="663"/>
      <c r="T46" s="663"/>
      <c r="U46" s="663"/>
      <c r="V46" s="663"/>
      <c r="W46" s="667"/>
      <c r="X46" s="667"/>
      <c r="Y46" s="667"/>
      <c r="Z46" s="667"/>
      <c r="AA46" s="667"/>
      <c r="AB46" s="667"/>
      <c r="AC46" s="667"/>
      <c r="AE46" s="663"/>
      <c r="AF46" s="663"/>
      <c r="AG46" s="664"/>
      <c r="AH46" s="664"/>
      <c r="AI46" s="664"/>
      <c r="AJ46" s="664"/>
    </row>
    <row r="47" spans="1:37" ht="24">
      <c r="A47" s="231" t="s">
        <v>900</v>
      </c>
      <c r="B47" s="1451" t="s">
        <v>1737</v>
      </c>
      <c r="C47" s="747"/>
      <c r="D47" s="456">
        <f t="shared" si="1"/>
        <v>0</v>
      </c>
      <c r="E47" s="238"/>
      <c r="F47" s="475">
        <f>SUMPRODUCT(('2002因素修正幅度'!$A$36:$A$42=A47)*('2002因素修正幅度'!$B$35:$K$35=$G$2)*('2002因素修正幅度'!$B$36:$K$42))</f>
        <v>1.44E-2</v>
      </c>
      <c r="G47" s="475">
        <f t="shared" si="2"/>
        <v>7.1999999999999998E-3</v>
      </c>
      <c r="H47" s="476">
        <v>0</v>
      </c>
      <c r="I47" s="475">
        <f t="shared" si="3"/>
        <v>-8.0000000000000002E-3</v>
      </c>
      <c r="J47" s="475">
        <f>SUMPRODUCT(('2002因素修正幅度'!$A$66:$A$72=A47)*('2002因素修正幅度'!$B$35:$K$35=$G$2)*('2002因素修正幅度'!$B$66:$K$72))</f>
        <v>-1.6E-2</v>
      </c>
      <c r="L47" s="663"/>
      <c r="M47" s="663"/>
      <c r="N47" s="663"/>
      <c r="O47" s="663"/>
      <c r="P47" s="663"/>
      <c r="Q47" s="663"/>
      <c r="R47" s="663"/>
      <c r="S47" s="663"/>
      <c r="T47" s="663"/>
      <c r="U47" s="663"/>
      <c r="V47" s="663"/>
      <c r="W47" s="667"/>
      <c r="X47" s="667"/>
      <c r="Y47" s="667"/>
      <c r="Z47" s="667"/>
      <c r="AA47" s="667"/>
      <c r="AB47" s="667"/>
      <c r="AC47" s="667"/>
      <c r="AE47" s="667"/>
      <c r="AF47" s="667"/>
    </row>
    <row r="48" spans="1:37" ht="24.75" thickBot="1">
      <c r="A48" s="239" t="s">
        <v>902</v>
      </c>
      <c r="B48" s="232" t="str">
        <f>估价对象房地状况!C10</f>
        <v>估价对象所在区域基础设施水平</v>
      </c>
      <c r="C48" s="747"/>
      <c r="D48" s="456">
        <f t="shared" si="1"/>
        <v>0</v>
      </c>
      <c r="E48" s="238"/>
      <c r="F48" s="475">
        <f>SUMPRODUCT(('2002因素修正幅度'!$A$36:$A$42=A48)*('2002因素修正幅度'!$B$35:$K$35=$G$2)*('2002因素修正幅度'!$B$36:$K$42))</f>
        <v>1.26E-2</v>
      </c>
      <c r="G48" s="475">
        <f t="shared" si="2"/>
        <v>6.3E-3</v>
      </c>
      <c r="H48" s="476">
        <v>0</v>
      </c>
      <c r="I48" s="475">
        <f t="shared" si="3"/>
        <v>-7.0000000000000001E-3</v>
      </c>
      <c r="J48" s="475">
        <f>SUMPRODUCT(('2002因素修正幅度'!$A$66:$A$72=A48)*('2002因素修正幅度'!$B$35:$K$35=$G$2)*('2002因素修正幅度'!$B$66:$K$72))</f>
        <v>-1.4E-2</v>
      </c>
      <c r="L48" s="663"/>
      <c r="M48" s="663"/>
      <c r="N48" s="663"/>
      <c r="O48" s="663"/>
      <c r="P48" s="663"/>
      <c r="Q48" s="663"/>
      <c r="R48" s="663"/>
      <c r="S48" s="663"/>
      <c r="T48" s="663"/>
      <c r="U48" s="663"/>
      <c r="V48" s="663"/>
      <c r="W48" s="667"/>
      <c r="X48" s="667"/>
      <c r="Y48" s="667"/>
      <c r="Z48" s="667"/>
      <c r="AA48" s="667"/>
      <c r="AB48" s="667"/>
      <c r="AC48" s="667"/>
      <c r="AE48" s="667"/>
      <c r="AF48" s="667"/>
    </row>
    <row r="49" spans="1:36" ht="15">
      <c r="A49" s="227" t="s">
        <v>1305</v>
      </c>
      <c r="B49" s="453">
        <f>1+E51</f>
        <v>1</v>
      </c>
      <c r="C49" s="743"/>
      <c r="D49" s="229"/>
      <c r="E49" s="230"/>
      <c r="F49" s="16"/>
      <c r="G49" s="16"/>
      <c r="H49" s="16"/>
      <c r="I49" s="16"/>
      <c r="J49" s="16"/>
      <c r="L49" s="663"/>
      <c r="M49" s="663"/>
      <c r="N49" s="663"/>
      <c r="O49" s="663"/>
      <c r="P49" s="663"/>
      <c r="Q49" s="663"/>
      <c r="R49" s="663"/>
      <c r="S49" s="663"/>
      <c r="T49" s="663"/>
      <c r="U49" s="663"/>
      <c r="V49" s="663"/>
      <c r="W49" s="667"/>
      <c r="X49" s="667"/>
      <c r="Y49" s="667"/>
      <c r="Z49" s="667"/>
      <c r="AA49" s="667"/>
      <c r="AB49" s="667"/>
      <c r="AC49" s="667"/>
      <c r="AE49" s="667"/>
      <c r="AF49" s="667"/>
    </row>
    <row r="50" spans="1:36" ht="13.5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3"/>
      <c r="M50" s="663"/>
      <c r="N50" s="663"/>
      <c r="O50" s="663"/>
      <c r="P50" s="663"/>
      <c r="Q50" s="663"/>
      <c r="R50" s="663"/>
      <c r="S50" s="663"/>
      <c r="T50" s="663"/>
      <c r="U50" s="663"/>
      <c r="V50" s="663"/>
      <c r="W50" s="667"/>
      <c r="X50" s="667"/>
      <c r="Y50" s="667"/>
      <c r="Z50" s="667"/>
      <c r="AA50" s="667"/>
      <c r="AB50" s="667"/>
      <c r="AC50" s="667"/>
      <c r="AE50" s="667"/>
      <c r="AF50" s="667"/>
    </row>
    <row r="51" spans="1:36" ht="36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7"/>
      <c r="D51" s="456">
        <f t="shared" ref="D51:D57" si="4">SUMIF($F$50:$J$50,C51,F51:J51)</f>
        <v>0</v>
      </c>
      <c r="E51" s="237">
        <f>SUM(D51:D57)</f>
        <v>0</v>
      </c>
      <c r="F51" s="475">
        <f>SUMPRODUCT(('2002因素修正幅度'!$A$43:$A$49=A51)*('2002因素修正幅度'!$B$35:$K$35=$G$2)*('2002因素修正幅度'!$B$43:$K$49))</f>
        <v>4.5999999999999999E-2</v>
      </c>
      <c r="G51" s="475">
        <f>F51/2</f>
        <v>2.3E-2</v>
      </c>
      <c r="H51" s="476">
        <v>0</v>
      </c>
      <c r="I51" s="475">
        <f>J51/2</f>
        <v>-2.4E-2</v>
      </c>
      <c r="J51" s="475">
        <f>SUMPRODUCT(('2002因素修正幅度'!$A$73:$A$79=A51)*('2002因素修正幅度'!$B$35:$K$35=$G$2)*('2002因素修正幅度'!$B$73:$K$79))</f>
        <v>-4.8000000000000001E-2</v>
      </c>
      <c r="L51" s="663"/>
      <c r="M51" s="663"/>
      <c r="N51" s="663"/>
      <c r="O51" s="663"/>
      <c r="P51" s="663"/>
      <c r="Q51" s="663"/>
      <c r="R51" s="663"/>
      <c r="S51" s="663"/>
      <c r="T51" s="663"/>
      <c r="U51" s="663"/>
      <c r="V51" s="663"/>
      <c r="W51" s="667"/>
      <c r="X51" s="667"/>
      <c r="Y51" s="667"/>
      <c r="Z51" s="667"/>
      <c r="AA51" s="667"/>
      <c r="AB51" s="667"/>
      <c r="AC51" s="667"/>
      <c r="AE51" s="667"/>
      <c r="AF51" s="667"/>
    </row>
    <row r="52" spans="1:36" ht="48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7"/>
      <c r="D52" s="456">
        <f t="shared" si="4"/>
        <v>0</v>
      </c>
      <c r="E52" s="238"/>
      <c r="F52" s="475">
        <f>SUMPRODUCT(('2002因素修正幅度'!$A$43:$A$49=A52)*('2002因素修正幅度'!$B$35:$K$35=$G$2)*('2002因素修正幅度'!$B$43:$K$49))</f>
        <v>5.7500000000000002E-2</v>
      </c>
      <c r="G52" s="475">
        <f t="shared" ref="G52:G57" si="5">F52/2</f>
        <v>2.8750000000000001E-2</v>
      </c>
      <c r="H52" s="476">
        <v>0</v>
      </c>
      <c r="I52" s="475">
        <f t="shared" ref="I52:I57" si="6">J52/2</f>
        <v>-0.03</v>
      </c>
      <c r="J52" s="475">
        <f>SUMPRODUCT(('2002因素修正幅度'!$A$73:$A$79=A52)*('2002因素修正幅度'!$B$35:$K$35=$G$2)*('2002因素修正幅度'!$B$73:$K$79))</f>
        <v>-0.06</v>
      </c>
      <c r="L52" s="663"/>
      <c r="M52" s="663"/>
      <c r="N52" s="663"/>
      <c r="O52" s="663"/>
      <c r="P52" s="663"/>
      <c r="Q52" s="663"/>
      <c r="R52" s="663"/>
      <c r="S52" s="663"/>
      <c r="T52" s="663"/>
      <c r="U52" s="663"/>
      <c r="V52" s="663"/>
      <c r="W52" s="667"/>
      <c r="X52" s="667"/>
      <c r="Y52" s="667"/>
      <c r="Z52" s="667"/>
      <c r="AA52" s="667"/>
      <c r="AB52" s="667"/>
      <c r="AC52" s="667"/>
      <c r="AE52" s="667"/>
      <c r="AF52" s="667"/>
    </row>
    <row r="53" spans="1:36" ht="24">
      <c r="A53" s="231" t="s">
        <v>16</v>
      </c>
      <c r="B53" s="232" t="str">
        <f>估价对象房地状况!C7</f>
        <v>零星有其他用地，基本不影响本宗地</v>
      </c>
      <c r="C53" s="747"/>
      <c r="D53" s="456">
        <f t="shared" si="4"/>
        <v>0</v>
      </c>
      <c r="E53" s="238"/>
      <c r="F53" s="475">
        <f>SUMPRODUCT(('2002因素修正幅度'!$A$43:$A$49=A53)*('2002因素修正幅度'!$B$35:$K$35=$G$2)*('2002因素修正幅度'!$B$43:$K$49))</f>
        <v>2.3E-2</v>
      </c>
      <c r="G53" s="475">
        <f t="shared" si="5"/>
        <v>1.15E-2</v>
      </c>
      <c r="H53" s="476">
        <v>0</v>
      </c>
      <c r="I53" s="475">
        <f t="shared" si="6"/>
        <v>-1.2E-2</v>
      </c>
      <c r="J53" s="475">
        <f>SUMPRODUCT(('2002因素修正幅度'!$A$73:$A$79=A53)*('2002因素修正幅度'!$B$35:$K$35=$G$2)*('2002因素修正幅度'!$B$73:$K$79))</f>
        <v>-2.4E-2</v>
      </c>
      <c r="L53" s="663"/>
      <c r="M53" s="663"/>
      <c r="N53" s="663"/>
      <c r="O53" s="663"/>
      <c r="P53" s="663"/>
      <c r="Q53" s="663"/>
      <c r="R53" s="663"/>
      <c r="S53" s="663"/>
      <c r="T53" s="663"/>
      <c r="U53" s="663"/>
      <c r="V53" s="663"/>
      <c r="W53" s="667"/>
      <c r="X53" s="667"/>
      <c r="Y53" s="667"/>
      <c r="Z53" s="667"/>
      <c r="AA53" s="667"/>
      <c r="AB53" s="667"/>
      <c r="AC53" s="667"/>
      <c r="AE53" s="667"/>
      <c r="AF53" s="667"/>
    </row>
    <row r="54" spans="1:36" s="748" customFormat="1" ht="36">
      <c r="A54" s="231" t="s">
        <v>898</v>
      </c>
      <c r="B54" s="1450" t="s">
        <v>1736</v>
      </c>
      <c r="C54" s="747"/>
      <c r="D54" s="456">
        <f t="shared" si="4"/>
        <v>0</v>
      </c>
      <c r="E54" s="238"/>
      <c r="F54" s="475">
        <f>SUMPRODUCT(('2002因素修正幅度'!$A$43:$A$49=A54)*('2002因素修正幅度'!$B$35:$K$35=$G$2)*('2002因素修正幅度'!$B$43:$K$49))</f>
        <v>2.3E-2</v>
      </c>
      <c r="G54" s="475">
        <f t="shared" si="5"/>
        <v>1.15E-2</v>
      </c>
      <c r="H54" s="476">
        <v>0</v>
      </c>
      <c r="I54" s="475">
        <f t="shared" si="6"/>
        <v>-1.2E-2</v>
      </c>
      <c r="J54" s="475">
        <f>SUMPRODUCT(('2002因素修正幅度'!$A$73:$A$79=A54)*('2002因素修正幅度'!$B$35:$K$35=$G$2)*('2002因素修正幅度'!$B$73:$K$79))</f>
        <v>-2.4E-2</v>
      </c>
      <c r="K54" s="663"/>
      <c r="L54" s="663"/>
      <c r="M54" s="663"/>
      <c r="N54" s="663"/>
      <c r="O54" s="663"/>
      <c r="P54" s="663"/>
      <c r="Q54" s="663"/>
      <c r="R54" s="663"/>
      <c r="S54" s="663"/>
      <c r="T54" s="663"/>
      <c r="U54" s="663"/>
      <c r="V54" s="663"/>
      <c r="W54" s="667"/>
      <c r="X54" s="667"/>
      <c r="Y54" s="667"/>
      <c r="Z54" s="667"/>
      <c r="AA54" s="667"/>
      <c r="AB54" s="667"/>
      <c r="AC54" s="667"/>
      <c r="AD54" s="666"/>
      <c r="AE54" s="667"/>
      <c r="AF54" s="667"/>
      <c r="AG54" s="666"/>
      <c r="AH54" s="666"/>
      <c r="AI54" s="666"/>
      <c r="AJ54" s="666"/>
    </row>
    <row r="55" spans="1:36" s="748" customFormat="1" ht="14.25">
      <c r="A55" s="231" t="s">
        <v>899</v>
      </c>
      <c r="B55" s="232">
        <f>估价对象房地状况!C12</f>
        <v>0</v>
      </c>
      <c r="C55" s="747"/>
      <c r="D55" s="456">
        <f t="shared" si="4"/>
        <v>0</v>
      </c>
      <c r="E55" s="238"/>
      <c r="F55" s="475">
        <f>SUMPRODUCT(('2002因素修正幅度'!$A$43:$A$49=A55)*('2002因素修正幅度'!$B$35:$K$35=$G$2)*('2002因素修正幅度'!$B$43:$K$49))</f>
        <v>3.4500000000000003E-2</v>
      </c>
      <c r="G55" s="475">
        <f t="shared" si="5"/>
        <v>1.7250000000000001E-2</v>
      </c>
      <c r="H55" s="476">
        <v>0</v>
      </c>
      <c r="I55" s="475">
        <f t="shared" si="6"/>
        <v>-1.7999999999999999E-2</v>
      </c>
      <c r="J55" s="475">
        <f>SUMPRODUCT(('2002因素修正幅度'!$A$73:$A$79=A55)*('2002因素修正幅度'!$B$35:$K$35=$G$2)*('2002因素修正幅度'!$B$73:$K$79))</f>
        <v>-3.5999999999999997E-2</v>
      </c>
      <c r="K55" s="663"/>
      <c r="L55" s="663"/>
      <c r="M55" s="663"/>
      <c r="N55" s="663"/>
      <c r="O55" s="663"/>
      <c r="P55" s="663"/>
      <c r="Q55" s="663"/>
      <c r="R55" s="663"/>
      <c r="S55" s="663"/>
      <c r="T55" s="663"/>
      <c r="U55" s="663"/>
      <c r="V55" s="663"/>
      <c r="W55" s="667"/>
      <c r="X55" s="667"/>
      <c r="Y55" s="667"/>
      <c r="Z55" s="667"/>
      <c r="AA55" s="667"/>
      <c r="AB55" s="667"/>
      <c r="AC55" s="667"/>
      <c r="AD55" s="666"/>
      <c r="AE55" s="667"/>
      <c r="AF55" s="667"/>
      <c r="AG55" s="666"/>
      <c r="AH55" s="666"/>
      <c r="AI55" s="666"/>
      <c r="AJ55" s="666"/>
    </row>
    <row r="56" spans="1:36" s="748" customFormat="1" ht="24">
      <c r="A56" s="231" t="s">
        <v>900</v>
      </c>
      <c r="B56" s="1451" t="s">
        <v>1737</v>
      </c>
      <c r="C56" s="747"/>
      <c r="D56" s="456">
        <f t="shared" si="4"/>
        <v>0</v>
      </c>
      <c r="E56" s="238"/>
      <c r="F56" s="475">
        <f>SUMPRODUCT(('2002因素修正幅度'!$A$43:$A$49=A56)*('2002因素修正幅度'!$B$35:$K$35=$G$2)*('2002因素修正幅度'!$B$43:$K$49))</f>
        <v>1.84E-2</v>
      </c>
      <c r="G56" s="475">
        <f t="shared" si="5"/>
        <v>9.1999999999999998E-3</v>
      </c>
      <c r="H56" s="476">
        <v>0</v>
      </c>
      <c r="I56" s="475">
        <f t="shared" si="6"/>
        <v>-9.5999999999999992E-3</v>
      </c>
      <c r="J56" s="475">
        <f>SUMPRODUCT(('2002因素修正幅度'!$A$73:$A$79=A56)*('2002因素修正幅度'!$B$35:$K$35=$G$2)*('2002因素修正幅度'!$B$73:$K$79))</f>
        <v>-1.9199999999999998E-2</v>
      </c>
      <c r="K56" s="663"/>
      <c r="L56" s="663"/>
      <c r="M56" s="663"/>
      <c r="N56" s="663"/>
      <c r="O56" s="663"/>
      <c r="P56" s="663"/>
      <c r="Q56" s="663"/>
      <c r="R56" s="663"/>
      <c r="S56" s="663"/>
      <c r="T56" s="663"/>
      <c r="U56" s="663"/>
      <c r="V56" s="663"/>
      <c r="W56" s="667"/>
      <c r="X56" s="667"/>
      <c r="Y56" s="667"/>
      <c r="Z56" s="667"/>
      <c r="AA56" s="667"/>
      <c r="AB56" s="667"/>
      <c r="AC56" s="667"/>
      <c r="AD56" s="666"/>
      <c r="AE56" s="667"/>
      <c r="AF56" s="667"/>
      <c r="AG56" s="666"/>
      <c r="AH56" s="666"/>
      <c r="AI56" s="666"/>
      <c r="AJ56" s="666"/>
    </row>
    <row r="57" spans="1:36" s="748" customFormat="1" ht="36.75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7"/>
      <c r="D57" s="456">
        <f t="shared" si="4"/>
        <v>0</v>
      </c>
      <c r="E57" s="238"/>
      <c r="F57" s="475">
        <f>SUMPRODUCT(('2002因素修正幅度'!$A$43:$A$49=A57)*('2002因素修正幅度'!$B$35:$K$35=$G$2)*('2002因素修正幅度'!$B$43:$K$49))</f>
        <v>2.76E-2</v>
      </c>
      <c r="G57" s="475">
        <f t="shared" si="5"/>
        <v>1.38E-2</v>
      </c>
      <c r="H57" s="476">
        <v>0</v>
      </c>
      <c r="I57" s="475">
        <f t="shared" si="6"/>
        <v>-1.44E-2</v>
      </c>
      <c r="J57" s="475">
        <f>SUMPRODUCT(('2002因素修正幅度'!$A$73:$A$79=A57)*('2002因素修正幅度'!$B$35:$K$35=$G$2)*('2002因素修正幅度'!$B$73:$K$79))</f>
        <v>-2.8799999999999999E-2</v>
      </c>
      <c r="K57" s="663"/>
      <c r="L57" s="663"/>
      <c r="M57" s="663"/>
      <c r="N57" s="663"/>
      <c r="O57" s="663"/>
      <c r="P57" s="663"/>
      <c r="Q57" s="663"/>
      <c r="R57" s="663"/>
      <c r="S57" s="663"/>
      <c r="T57" s="663"/>
      <c r="U57" s="663"/>
      <c r="V57" s="663"/>
      <c r="W57" s="667"/>
      <c r="X57" s="667"/>
      <c r="Y57" s="667"/>
      <c r="Z57" s="667"/>
      <c r="AA57" s="667"/>
      <c r="AB57" s="667"/>
      <c r="AC57" s="667"/>
      <c r="AD57" s="666"/>
      <c r="AE57" s="667"/>
      <c r="AF57" s="667"/>
      <c r="AG57" s="666"/>
      <c r="AH57" s="666"/>
      <c r="AI57" s="666"/>
      <c r="AJ57" s="666"/>
    </row>
    <row r="58" spans="1:36" s="748" customFormat="1" ht="15">
      <c r="A58" s="227" t="s">
        <v>1306</v>
      </c>
      <c r="B58" s="453">
        <f>1+E60</f>
        <v>1</v>
      </c>
      <c r="C58" s="743"/>
      <c r="D58" s="229"/>
      <c r="E58" s="230"/>
      <c r="F58" s="16"/>
      <c r="G58" s="16"/>
      <c r="H58" s="16"/>
      <c r="I58" s="16"/>
      <c r="J58" s="16"/>
      <c r="K58" s="663"/>
      <c r="L58" s="663"/>
      <c r="M58" s="663"/>
      <c r="N58" s="663"/>
      <c r="O58" s="663"/>
      <c r="P58" s="663"/>
      <c r="Q58" s="663"/>
      <c r="R58" s="663"/>
      <c r="S58" s="663"/>
      <c r="T58" s="663"/>
      <c r="U58" s="663"/>
      <c r="V58" s="663"/>
      <c r="W58" s="667"/>
      <c r="X58" s="667"/>
      <c r="Y58" s="667"/>
      <c r="Z58" s="667"/>
      <c r="AA58" s="667"/>
      <c r="AB58" s="667"/>
      <c r="AC58" s="667"/>
      <c r="AD58" s="666"/>
      <c r="AE58" s="667"/>
      <c r="AF58" s="667"/>
      <c r="AG58" s="666"/>
      <c r="AH58" s="666"/>
      <c r="AI58" s="666"/>
      <c r="AJ58" s="666"/>
    </row>
    <row r="59" spans="1:36" s="748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3"/>
      <c r="L59" s="663"/>
      <c r="M59" s="663"/>
      <c r="N59" s="663"/>
      <c r="O59" s="663"/>
      <c r="P59" s="663"/>
      <c r="Q59" s="663"/>
      <c r="R59" s="663"/>
      <c r="S59" s="663"/>
      <c r="T59" s="663"/>
      <c r="U59" s="663"/>
      <c r="V59" s="663"/>
      <c r="W59" s="667"/>
      <c r="X59" s="667"/>
      <c r="Y59" s="667"/>
      <c r="Z59" s="667"/>
      <c r="AA59" s="667"/>
      <c r="AB59" s="667"/>
      <c r="AC59" s="667"/>
      <c r="AD59" s="666"/>
      <c r="AE59" s="667"/>
      <c r="AF59" s="667"/>
      <c r="AG59" s="666"/>
      <c r="AH59" s="666"/>
      <c r="AI59" s="666"/>
      <c r="AJ59" s="666"/>
    </row>
    <row r="60" spans="1:36" s="748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7"/>
      <c r="D60" s="456">
        <f t="shared" ref="D60:D67" si="7">SUMIF($F$59:$J$59,C60,F60:J60)</f>
        <v>0</v>
      </c>
      <c r="E60" s="237">
        <f>SUM(D60:D67)</f>
        <v>0</v>
      </c>
      <c r="F60" s="475">
        <f>SUMPRODUCT(('2002因素修正幅度'!$A$50:$A$57=A60)*('2002因素修正幅度'!$B$35:$K$35=$G$2)*('2002因素修正幅度'!$B$50:$K$57))</f>
        <v>2.5999999999999999E-2</v>
      </c>
      <c r="G60" s="475">
        <f>F60/2</f>
        <v>1.2999999999999999E-2</v>
      </c>
      <c r="H60" s="476">
        <v>0</v>
      </c>
      <c r="I60" s="475">
        <f>J60/2</f>
        <v>-1.2999999999999999E-2</v>
      </c>
      <c r="J60" s="475">
        <f>SUMPRODUCT(('2002因素修正幅度'!$A$80:$A$87=A60)*('2002因素修正幅度'!$B$35:$K$35=$G$2)*('2002因素修正幅度'!$B$80:$K$87))</f>
        <v>-2.5999999999999999E-2</v>
      </c>
      <c r="K60" s="663"/>
      <c r="L60" s="663"/>
      <c r="M60" s="663"/>
      <c r="N60" s="663"/>
      <c r="O60" s="663"/>
      <c r="P60" s="663"/>
      <c r="Q60" s="663"/>
      <c r="R60" s="663"/>
      <c r="S60" s="663"/>
      <c r="T60" s="663"/>
      <c r="U60" s="663"/>
      <c r="V60" s="663"/>
      <c r="W60" s="667"/>
      <c r="X60" s="667"/>
      <c r="Y60" s="667"/>
      <c r="Z60" s="667"/>
      <c r="AA60" s="667"/>
      <c r="AB60" s="667"/>
      <c r="AC60" s="667"/>
      <c r="AD60" s="666"/>
      <c r="AE60" s="667"/>
      <c r="AF60" s="666"/>
      <c r="AG60" s="666"/>
      <c r="AH60" s="666"/>
      <c r="AI60" s="666"/>
    </row>
    <row r="61" spans="1:36" s="748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7"/>
      <c r="D61" s="456">
        <f t="shared" si="7"/>
        <v>0</v>
      </c>
      <c r="E61" s="246"/>
      <c r="F61" s="475">
        <f>SUMPRODUCT(('2002因素修正幅度'!$A$50:$A$57=A61)*('2002因素修正幅度'!$B$35:$K$35=$G$2)*('2002因素修正幅度'!$B$50:$K$57))</f>
        <v>5.1999999999999998E-2</v>
      </c>
      <c r="G61" s="475">
        <f t="shared" ref="G61:G67" si="8">F61/2</f>
        <v>2.5999999999999999E-2</v>
      </c>
      <c r="H61" s="476">
        <v>0</v>
      </c>
      <c r="I61" s="475">
        <f t="shared" ref="I61:I67" si="9">J61/2</f>
        <v>-2.5999999999999999E-2</v>
      </c>
      <c r="J61" s="475">
        <f>SUMPRODUCT(('2002因素修正幅度'!$A$80:$A$87=A61)*('2002因素修正幅度'!$B$35:$K$35=$G$2)*('2002因素修正幅度'!$B$80:$K$87))</f>
        <v>-5.1999999999999998E-2</v>
      </c>
      <c r="K61" s="663"/>
      <c r="L61" s="663"/>
      <c r="M61" s="663"/>
      <c r="N61" s="663"/>
      <c r="O61" s="663"/>
      <c r="P61" s="663"/>
      <c r="Q61" s="663"/>
      <c r="R61" s="663"/>
      <c r="S61" s="663"/>
      <c r="T61" s="663"/>
      <c r="U61" s="663"/>
      <c r="V61" s="663"/>
      <c r="W61" s="667"/>
      <c r="X61" s="667"/>
      <c r="Y61" s="667"/>
      <c r="Z61" s="667"/>
      <c r="AA61" s="667"/>
      <c r="AB61" s="667"/>
      <c r="AC61" s="667"/>
      <c r="AD61" s="666"/>
      <c r="AE61" s="666"/>
      <c r="AF61" s="666"/>
      <c r="AG61" s="666"/>
    </row>
    <row r="62" spans="1:36" s="748" customFormat="1" ht="24">
      <c r="A62" s="231" t="s">
        <v>16</v>
      </c>
      <c r="B62" s="232" t="str">
        <f>估价对象房地状况!C7</f>
        <v>零星有其他用地，基本不影响本宗地</v>
      </c>
      <c r="C62" s="747"/>
      <c r="D62" s="456">
        <f t="shared" si="7"/>
        <v>0</v>
      </c>
      <c r="E62" s="246"/>
      <c r="F62" s="475">
        <f>SUMPRODUCT(('2002因素修正幅度'!$A$50:$A$57=A62)*('2002因素修正幅度'!$B$35:$K$35=$G$2)*('2002因素修正幅度'!$B$50:$K$57))</f>
        <v>2.5999999999999999E-2</v>
      </c>
      <c r="G62" s="475">
        <f t="shared" si="8"/>
        <v>1.2999999999999999E-2</v>
      </c>
      <c r="H62" s="476">
        <v>0</v>
      </c>
      <c r="I62" s="475">
        <f t="shared" si="9"/>
        <v>-1.2999999999999999E-2</v>
      </c>
      <c r="J62" s="475">
        <f>SUMPRODUCT(('2002因素修正幅度'!$A$80:$A$87=A62)*('2002因素修正幅度'!$B$35:$K$35=$G$2)*('2002因素修正幅度'!$B$80:$K$87))</f>
        <v>-2.5999999999999999E-2</v>
      </c>
      <c r="K62" s="663"/>
      <c r="L62" s="663"/>
      <c r="M62" s="663"/>
      <c r="N62" s="663"/>
      <c r="O62" s="663"/>
      <c r="P62" s="663"/>
      <c r="Q62" s="663"/>
      <c r="R62" s="663"/>
      <c r="S62" s="663"/>
      <c r="T62" s="663"/>
      <c r="U62" s="663"/>
      <c r="V62" s="663"/>
      <c r="W62" s="667"/>
      <c r="X62" s="667"/>
      <c r="Y62" s="667"/>
      <c r="Z62" s="667"/>
      <c r="AA62" s="667"/>
      <c r="AB62" s="667"/>
      <c r="AC62" s="667"/>
      <c r="AD62" s="666"/>
      <c r="AE62" s="666"/>
      <c r="AF62" s="666"/>
      <c r="AG62" s="666"/>
    </row>
    <row r="63" spans="1:36" s="748" customFormat="1" ht="14.25">
      <c r="A63" s="231" t="s">
        <v>906</v>
      </c>
      <c r="B63" s="232">
        <f>估价对象房地状况!C12</f>
        <v>0</v>
      </c>
      <c r="C63" s="747"/>
      <c r="D63" s="456">
        <f t="shared" si="7"/>
        <v>0</v>
      </c>
      <c r="E63" s="246"/>
      <c r="F63" s="475">
        <f>SUMPRODUCT(('2002因素修正幅度'!$A$50:$A$57=A63)*('2002因素修正幅度'!$B$35:$K$35=$G$2)*('2002因素修正幅度'!$B$50:$K$57))</f>
        <v>2.5999999999999999E-2</v>
      </c>
      <c r="G63" s="475">
        <f t="shared" si="8"/>
        <v>1.2999999999999999E-2</v>
      </c>
      <c r="H63" s="476">
        <v>0</v>
      </c>
      <c r="I63" s="475">
        <f t="shared" si="9"/>
        <v>-1.2999999999999999E-2</v>
      </c>
      <c r="J63" s="475">
        <f>SUMPRODUCT(('2002因素修正幅度'!$A$80:$A$87=A63)*('2002因素修正幅度'!$B$35:$K$35=$G$2)*('2002因素修正幅度'!$B$80:$K$87))</f>
        <v>-2.5999999999999999E-2</v>
      </c>
      <c r="K63" s="663"/>
      <c r="L63" s="663"/>
      <c r="M63" s="663"/>
      <c r="N63" s="663"/>
      <c r="O63" s="663"/>
      <c r="P63" s="663"/>
      <c r="Q63" s="663"/>
      <c r="R63" s="663"/>
      <c r="S63" s="663"/>
      <c r="T63" s="663"/>
      <c r="U63" s="663"/>
      <c r="V63" s="663"/>
      <c r="W63" s="667"/>
      <c r="X63" s="667"/>
      <c r="Y63" s="667"/>
      <c r="Z63" s="667"/>
      <c r="AA63" s="667"/>
      <c r="AB63" s="667"/>
      <c r="AC63" s="667"/>
      <c r="AD63" s="666"/>
      <c r="AE63" s="666"/>
      <c r="AF63" s="666"/>
      <c r="AG63" s="666"/>
    </row>
    <row r="64" spans="1:36" s="748" customFormat="1" ht="24">
      <c r="A64" s="231" t="s">
        <v>900</v>
      </c>
      <c r="B64" s="1451" t="s">
        <v>1737</v>
      </c>
      <c r="C64" s="747"/>
      <c r="D64" s="456">
        <f t="shared" si="7"/>
        <v>0</v>
      </c>
      <c r="E64" s="246"/>
      <c r="F64" s="475">
        <f>SUMPRODUCT(('2002因素修正幅度'!$A$50:$A$57=A64)*('2002因素修正幅度'!$B$35:$K$35=$G$2)*('2002因素修正幅度'!$B$50:$K$57))</f>
        <v>2.0799999999999999E-2</v>
      </c>
      <c r="G64" s="475">
        <f t="shared" si="8"/>
        <v>1.04E-2</v>
      </c>
      <c r="H64" s="476">
        <v>0</v>
      </c>
      <c r="I64" s="475">
        <f t="shared" si="9"/>
        <v>-1.04E-2</v>
      </c>
      <c r="J64" s="475">
        <f>SUMPRODUCT(('2002因素修正幅度'!$A$80:$A$87=A64)*('2002因素修正幅度'!$B$35:$K$35=$G$2)*('2002因素修正幅度'!$B$80:$K$87))</f>
        <v>-2.0799999999999999E-2</v>
      </c>
      <c r="K64" s="663"/>
      <c r="L64" s="663"/>
      <c r="M64" s="663"/>
      <c r="N64" s="663"/>
      <c r="O64" s="663"/>
      <c r="P64" s="663"/>
      <c r="Q64" s="663"/>
      <c r="R64" s="663"/>
      <c r="S64" s="663"/>
      <c r="T64" s="663"/>
      <c r="U64" s="663"/>
      <c r="V64" s="663"/>
      <c r="W64" s="667"/>
      <c r="X64" s="667"/>
      <c r="Y64" s="667"/>
      <c r="Z64" s="667"/>
      <c r="AA64" s="667"/>
      <c r="AB64" s="667"/>
      <c r="AC64" s="667"/>
      <c r="AD64" s="666"/>
      <c r="AE64" s="666"/>
      <c r="AF64" s="666"/>
      <c r="AG64" s="666"/>
    </row>
    <row r="65" spans="1:33" s="748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7"/>
      <c r="D65" s="456">
        <f t="shared" si="7"/>
        <v>0</v>
      </c>
      <c r="E65" s="246"/>
      <c r="F65" s="475">
        <f>SUMPRODUCT(('2002因素修正幅度'!$A$50:$A$57=A65)*('2002因素修正幅度'!$B$35:$K$35=$G$2)*('2002因素修正幅度'!$B$50:$K$57))</f>
        <v>3.1199999999999999E-2</v>
      </c>
      <c r="G65" s="475">
        <f t="shared" si="8"/>
        <v>1.5599999999999999E-2</v>
      </c>
      <c r="H65" s="476">
        <v>0</v>
      </c>
      <c r="I65" s="475">
        <f t="shared" si="9"/>
        <v>-1.5599999999999999E-2</v>
      </c>
      <c r="J65" s="475">
        <f>SUMPRODUCT(('2002因素修正幅度'!$A$80:$A$87=A65)*('2002因素修正幅度'!$B$35:$K$35=$G$2)*('2002因素修正幅度'!$B$80:$K$87))</f>
        <v>-3.1199999999999999E-2</v>
      </c>
      <c r="K65" s="663"/>
      <c r="L65" s="663"/>
      <c r="M65" s="663"/>
      <c r="N65" s="663"/>
      <c r="O65" s="663"/>
      <c r="P65" s="663"/>
      <c r="Q65" s="663"/>
      <c r="R65" s="663"/>
      <c r="S65" s="663"/>
      <c r="T65" s="663"/>
      <c r="U65" s="663"/>
      <c r="V65" s="663"/>
      <c r="W65" s="667"/>
      <c r="X65" s="667"/>
      <c r="Y65" s="667"/>
      <c r="Z65" s="667"/>
      <c r="AA65" s="667"/>
      <c r="AB65" s="667"/>
      <c r="AC65" s="667"/>
      <c r="AD65" s="666"/>
      <c r="AE65" s="666"/>
      <c r="AF65" s="666"/>
      <c r="AG65" s="666"/>
    </row>
    <row r="66" spans="1:33" s="748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7"/>
      <c r="D66" s="456">
        <f t="shared" si="7"/>
        <v>0</v>
      </c>
      <c r="E66" s="246"/>
      <c r="F66" s="475">
        <f>SUMPRODUCT(('2002因素修正幅度'!$A$50:$A$57=A66)*('2002因素修正幅度'!$B$35:$K$35=$G$2)*('2002因素修正幅度'!$B$50:$K$57))</f>
        <v>5.1999999999999998E-2</v>
      </c>
      <c r="G66" s="475">
        <f t="shared" si="8"/>
        <v>2.5999999999999999E-2</v>
      </c>
      <c r="H66" s="476">
        <v>0</v>
      </c>
      <c r="I66" s="475">
        <f t="shared" si="9"/>
        <v>-2.5999999999999999E-2</v>
      </c>
      <c r="J66" s="475">
        <f>SUMPRODUCT(('2002因素修正幅度'!$A$80:$A$87=A66)*('2002因素修正幅度'!$B$35:$K$35=$G$2)*('2002因素修正幅度'!$B$80:$K$87))</f>
        <v>-5.1999999999999998E-2</v>
      </c>
      <c r="K66" s="663"/>
      <c r="L66" s="663"/>
      <c r="M66" s="663"/>
      <c r="N66" s="663"/>
      <c r="O66" s="663"/>
      <c r="P66" s="663"/>
      <c r="Q66" s="663"/>
      <c r="R66" s="663"/>
      <c r="S66" s="663"/>
      <c r="T66" s="663"/>
      <c r="U66" s="663"/>
      <c r="V66" s="663"/>
      <c r="W66" s="667"/>
      <c r="X66" s="667"/>
      <c r="Y66" s="667"/>
      <c r="Z66" s="667"/>
      <c r="AA66" s="667"/>
      <c r="AB66" s="667"/>
      <c r="AC66" s="667"/>
      <c r="AD66" s="666"/>
      <c r="AE66" s="666"/>
      <c r="AF66" s="666"/>
      <c r="AG66" s="666"/>
    </row>
    <row r="67" spans="1:33" s="748" customFormat="1" ht="24.75" thickBot="1">
      <c r="A67" s="241" t="s">
        <v>1316</v>
      </c>
      <c r="B67" s="455"/>
      <c r="C67" s="747"/>
      <c r="D67" s="456">
        <f t="shared" si="7"/>
        <v>0</v>
      </c>
      <c r="E67" s="247"/>
      <c r="F67" s="475">
        <f>SUMPRODUCT(('2002因素修正幅度'!$A$50:$A$57=A67)*('2002因素修正幅度'!$B$35:$K$35=$G$2)*('2002因素修正幅度'!$B$50:$K$57))</f>
        <v>2.5999999999999999E-2</v>
      </c>
      <c r="G67" s="475">
        <f t="shared" si="8"/>
        <v>1.2999999999999999E-2</v>
      </c>
      <c r="H67" s="476">
        <v>0</v>
      </c>
      <c r="I67" s="475">
        <f t="shared" si="9"/>
        <v>-1.2999999999999999E-2</v>
      </c>
      <c r="J67" s="475">
        <f>SUMPRODUCT(('2002因素修正幅度'!$A$80:$A$87=A67)*('2002因素修正幅度'!$B$35:$K$35=$G$2)*('2002因素修正幅度'!$B$80:$K$87))</f>
        <v>-2.5999999999999999E-2</v>
      </c>
      <c r="K67" s="663"/>
      <c r="L67" s="664"/>
      <c r="M67" s="664"/>
      <c r="N67" s="664"/>
      <c r="O67" s="664"/>
      <c r="P67" s="664"/>
      <c r="Q67" s="664"/>
      <c r="R67" s="664"/>
      <c r="S67" s="664"/>
      <c r="T67" s="664"/>
      <c r="U67" s="664"/>
      <c r="V67" s="664"/>
      <c r="W67" s="665"/>
      <c r="X67" s="666"/>
      <c r="Y67" s="666"/>
      <c r="Z67" s="666"/>
      <c r="AA67" s="666"/>
      <c r="AB67" s="666"/>
      <c r="AC67" s="666"/>
      <c r="AD67" s="665"/>
      <c r="AE67" s="666"/>
      <c r="AF67" s="666"/>
      <c r="AG67" s="666"/>
    </row>
    <row r="68" spans="1:33" s="748" customFormat="1" ht="15">
      <c r="A68" s="227" t="s">
        <v>226</v>
      </c>
      <c r="B68" s="453">
        <f>1+E70</f>
        <v>1</v>
      </c>
      <c r="C68" s="743"/>
      <c r="D68" s="229"/>
      <c r="E68" s="230"/>
      <c r="F68" s="16"/>
      <c r="G68" s="16"/>
      <c r="H68" s="16"/>
      <c r="I68" s="16"/>
      <c r="J68" s="16"/>
      <c r="K68" s="663"/>
      <c r="L68" s="663"/>
      <c r="M68" s="663"/>
      <c r="N68" s="663"/>
      <c r="O68" s="663"/>
      <c r="P68" s="663"/>
      <c r="Q68" s="663"/>
      <c r="R68" s="663"/>
      <c r="S68" s="663"/>
      <c r="T68" s="663"/>
      <c r="U68" s="663"/>
      <c r="V68" s="663"/>
      <c r="W68" s="667"/>
      <c r="X68" s="667"/>
      <c r="Y68" s="667"/>
      <c r="Z68" s="667"/>
      <c r="AA68" s="667"/>
      <c r="AB68" s="667"/>
      <c r="AC68" s="667"/>
      <c r="AD68" s="666"/>
      <c r="AE68" s="666"/>
      <c r="AF68" s="666"/>
      <c r="AG68" s="666"/>
    </row>
    <row r="69" spans="1:33" s="748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3"/>
      <c r="L69" s="664"/>
      <c r="M69" s="664"/>
      <c r="N69" s="664"/>
      <c r="O69" s="664"/>
      <c r="P69" s="664"/>
      <c r="Q69" s="664"/>
      <c r="R69" s="664"/>
      <c r="S69" s="664"/>
      <c r="T69" s="664"/>
      <c r="U69" s="664"/>
      <c r="V69" s="664"/>
      <c r="W69" s="665"/>
      <c r="X69" s="666"/>
      <c r="Y69" s="666"/>
      <c r="Z69" s="666"/>
      <c r="AA69" s="666"/>
      <c r="AB69" s="666"/>
      <c r="AC69" s="666"/>
      <c r="AD69" s="665"/>
      <c r="AE69" s="666"/>
      <c r="AF69" s="666"/>
      <c r="AG69" s="666"/>
    </row>
    <row r="70" spans="1:33" s="748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7"/>
      <c r="D70" s="456">
        <f t="shared" ref="D70:D76" si="10">SUMIF($F$69:$J$69,C70,F70:J70)</f>
        <v>0</v>
      </c>
      <c r="E70" s="237">
        <f>SUM(D70:D76)</f>
        <v>0</v>
      </c>
      <c r="F70" s="475">
        <f>SUMPRODUCT(('2002因素修正幅度'!$A$58:$A$64=A70)*('2002因素修正幅度'!$B$35:$K$35=$G$2)*('2002因素修正幅度'!$B$58:$K$64))</f>
        <v>0.04</v>
      </c>
      <c r="G70" s="475">
        <f t="shared" ref="G70:G76" si="11">F70/2</f>
        <v>0.02</v>
      </c>
      <c r="H70" s="476">
        <v>0</v>
      </c>
      <c r="I70" s="475">
        <f t="shared" ref="I70:I76" si="12">J70/2</f>
        <v>-0.02</v>
      </c>
      <c r="J70" s="475">
        <f>SUMPRODUCT(('2002因素修正幅度'!$A$88:$A$94=A70)*('2002因素修正幅度'!$B$35:$K$35=$G$2)*('2002因素修正幅度'!$B$88:$K$94))</f>
        <v>-0.04</v>
      </c>
      <c r="K70" s="663"/>
      <c r="L70" s="664"/>
      <c r="M70" s="664"/>
      <c r="N70" s="664"/>
      <c r="O70" s="664"/>
      <c r="P70" s="664"/>
      <c r="Q70" s="664"/>
      <c r="R70" s="664"/>
      <c r="S70" s="664"/>
      <c r="T70" s="664"/>
      <c r="U70" s="664"/>
      <c r="V70" s="664"/>
      <c r="W70" s="665"/>
      <c r="X70" s="666"/>
      <c r="Y70" s="666"/>
      <c r="Z70" s="666"/>
      <c r="AA70" s="666"/>
      <c r="AB70" s="666"/>
      <c r="AC70" s="666"/>
      <c r="AD70" s="665"/>
      <c r="AE70" s="666"/>
      <c r="AF70" s="666"/>
      <c r="AG70" s="666"/>
    </row>
    <row r="71" spans="1:33" s="748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7"/>
      <c r="D71" s="456">
        <f t="shared" si="10"/>
        <v>0</v>
      </c>
      <c r="E71" s="246"/>
      <c r="F71" s="475">
        <f>SUMPRODUCT(('2002因素修正幅度'!$A$58:$A$64=A71)*('2002因素修正幅度'!$B$35:$K$35=$G$2)*('2002因素修正幅度'!$B$58:$K$64))</f>
        <v>6.4000000000000001E-2</v>
      </c>
      <c r="G71" s="475">
        <f t="shared" si="11"/>
        <v>3.2000000000000001E-2</v>
      </c>
      <c r="H71" s="476">
        <v>0</v>
      </c>
      <c r="I71" s="475">
        <f t="shared" si="12"/>
        <v>-3.2000000000000001E-2</v>
      </c>
      <c r="J71" s="475">
        <f>SUMPRODUCT(('2002因素修正幅度'!$A$88:$A$94=A71)*('2002因素修正幅度'!$B$35:$K$35=$G$2)*('2002因素修正幅度'!$B$88:$K$94))</f>
        <v>-6.4000000000000001E-2</v>
      </c>
      <c r="K71" s="663"/>
      <c r="L71" s="664"/>
      <c r="M71" s="664"/>
      <c r="N71" s="664"/>
      <c r="O71" s="664"/>
      <c r="P71" s="664"/>
      <c r="Q71" s="664"/>
      <c r="R71" s="664"/>
      <c r="S71" s="664"/>
      <c r="T71" s="664"/>
      <c r="U71" s="664"/>
      <c r="V71" s="664"/>
      <c r="W71" s="665"/>
      <c r="X71" s="666"/>
      <c r="Y71" s="666"/>
      <c r="Z71" s="666"/>
      <c r="AA71" s="666"/>
      <c r="AB71" s="666"/>
      <c r="AC71" s="666"/>
      <c r="AD71" s="665"/>
      <c r="AE71" s="666"/>
      <c r="AF71" s="666"/>
      <c r="AG71" s="666"/>
    </row>
    <row r="72" spans="1:33" s="748" customFormat="1" ht="24">
      <c r="A72" s="231" t="s">
        <v>16</v>
      </c>
      <c r="B72" s="232" t="str">
        <f>估价对象房地状况!G5</f>
        <v>零星有其他用地，基本不影响本宗地</v>
      </c>
      <c r="C72" s="747"/>
      <c r="D72" s="456">
        <f t="shared" si="10"/>
        <v>0</v>
      </c>
      <c r="E72" s="246"/>
      <c r="F72" s="475">
        <f>SUMPRODUCT(('2002因素修正幅度'!$A$58:$A$64=A72)*('2002因素修正幅度'!$B$35:$K$35=$G$2)*('2002因素修正幅度'!$B$58:$K$64))</f>
        <v>0.02</v>
      </c>
      <c r="G72" s="475">
        <f t="shared" si="11"/>
        <v>0.01</v>
      </c>
      <c r="H72" s="476">
        <v>0</v>
      </c>
      <c r="I72" s="475">
        <f t="shared" si="12"/>
        <v>-0.01</v>
      </c>
      <c r="J72" s="475">
        <f>SUMPRODUCT(('2002因素修正幅度'!$A$88:$A$94=A72)*('2002因素修正幅度'!$B$35:$K$35=$G$2)*('2002因素修正幅度'!$B$88:$K$94))</f>
        <v>-0.02</v>
      </c>
      <c r="K72" s="663"/>
      <c r="L72" s="664"/>
      <c r="M72" s="664"/>
      <c r="N72" s="664"/>
      <c r="O72" s="664"/>
      <c r="P72" s="664"/>
      <c r="Q72" s="664"/>
      <c r="R72" s="664"/>
      <c r="S72" s="664"/>
      <c r="T72" s="664"/>
      <c r="U72" s="664"/>
      <c r="V72" s="664"/>
      <c r="W72" s="665"/>
      <c r="X72" s="666"/>
      <c r="Y72" s="666"/>
      <c r="Z72" s="666"/>
      <c r="AA72" s="666"/>
      <c r="AB72" s="666"/>
      <c r="AC72" s="666"/>
      <c r="AD72" s="665"/>
      <c r="AE72" s="666"/>
      <c r="AF72" s="666"/>
      <c r="AG72" s="666"/>
    </row>
    <row r="73" spans="1:33" s="748" customFormat="1" ht="14.25">
      <c r="A73" s="231" t="s">
        <v>906</v>
      </c>
      <c r="B73" s="232">
        <f>估价对象房地状况!G10</f>
        <v>0</v>
      </c>
      <c r="C73" s="747"/>
      <c r="D73" s="456">
        <f t="shared" si="10"/>
        <v>0</v>
      </c>
      <c r="E73" s="246"/>
      <c r="F73" s="475">
        <f>SUMPRODUCT(('2002因素修正幅度'!$A$58:$A$64=A73)*('2002因素修正幅度'!$B$35:$K$35=$G$2)*('2002因素修正幅度'!$B$58:$K$64))</f>
        <v>1.6E-2</v>
      </c>
      <c r="G73" s="475">
        <f t="shared" si="11"/>
        <v>8.0000000000000002E-3</v>
      </c>
      <c r="H73" s="476">
        <v>0</v>
      </c>
      <c r="I73" s="475">
        <f t="shared" si="12"/>
        <v>-8.0000000000000002E-3</v>
      </c>
      <c r="J73" s="475">
        <f>SUMPRODUCT(('2002因素修正幅度'!$A$88:$A$94=A73)*('2002因素修正幅度'!$B$35:$K$35=$G$2)*('2002因素修正幅度'!$B$88:$K$94))</f>
        <v>-1.6E-2</v>
      </c>
      <c r="K73" s="663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5"/>
      <c r="X73" s="666"/>
      <c r="Y73" s="666"/>
      <c r="Z73" s="666"/>
      <c r="AA73" s="666"/>
      <c r="AB73" s="666"/>
      <c r="AC73" s="666"/>
      <c r="AD73" s="665"/>
      <c r="AE73" s="666"/>
      <c r="AF73" s="666"/>
      <c r="AG73" s="666"/>
    </row>
    <row r="74" spans="1:33" s="748" customFormat="1" ht="24">
      <c r="A74" s="231" t="s">
        <v>900</v>
      </c>
      <c r="B74" s="1451" t="s">
        <v>1737</v>
      </c>
      <c r="C74" s="747"/>
      <c r="D74" s="456">
        <f t="shared" si="10"/>
        <v>0</v>
      </c>
      <c r="E74" s="246"/>
      <c r="F74" s="475">
        <f>SUMPRODUCT(('2002因素修正幅度'!$A$58:$A$64=A74)*('2002因素修正幅度'!$B$35:$K$35=$G$2)*('2002因素修正幅度'!$B$58:$K$64))</f>
        <v>2.4E-2</v>
      </c>
      <c r="G74" s="475">
        <f t="shared" si="11"/>
        <v>1.2E-2</v>
      </c>
      <c r="H74" s="476">
        <v>0</v>
      </c>
      <c r="I74" s="475">
        <f t="shared" si="12"/>
        <v>-1.2E-2</v>
      </c>
      <c r="J74" s="475">
        <f>SUMPRODUCT(('2002因素修正幅度'!$A$88:$A$94=A74)*('2002因素修正幅度'!$B$35:$K$35=$G$2)*('2002因素修正幅度'!$B$88:$K$94))</f>
        <v>-2.4E-2</v>
      </c>
      <c r="K74" s="663"/>
      <c r="L74" s="664"/>
      <c r="M74" s="664"/>
      <c r="N74" s="664"/>
      <c r="O74" s="664"/>
      <c r="P74" s="664"/>
      <c r="Q74" s="664"/>
      <c r="R74" s="664"/>
      <c r="S74" s="664"/>
      <c r="T74" s="664"/>
      <c r="U74" s="664"/>
      <c r="V74" s="664"/>
      <c r="W74" s="665"/>
      <c r="X74" s="666"/>
      <c r="Y74" s="666"/>
      <c r="Z74" s="666"/>
      <c r="AA74" s="666"/>
      <c r="AB74" s="666"/>
      <c r="AC74" s="666"/>
      <c r="AD74" s="665"/>
      <c r="AE74" s="666"/>
      <c r="AF74" s="666"/>
      <c r="AG74" s="666"/>
    </row>
    <row r="75" spans="1:33" s="748" customFormat="1" ht="24">
      <c r="A75" s="231" t="s">
        <v>902</v>
      </c>
      <c r="B75" s="240" t="str">
        <f>估价对象房地状况!G8</f>
        <v>估价对象所在区域基础设施水平</v>
      </c>
      <c r="C75" s="747"/>
      <c r="D75" s="456">
        <f t="shared" si="10"/>
        <v>0</v>
      </c>
      <c r="E75" s="246"/>
      <c r="F75" s="475">
        <f>SUMPRODUCT(('2002因素修正幅度'!$A$58:$A$64=A75)*('2002因素修正幅度'!$B$35:$K$35=$G$2)*('2002因素修正幅度'!$B$58:$K$64))</f>
        <v>0.02</v>
      </c>
      <c r="G75" s="475">
        <f t="shared" si="11"/>
        <v>0.01</v>
      </c>
      <c r="H75" s="476">
        <v>0</v>
      </c>
      <c r="I75" s="475">
        <f t="shared" si="12"/>
        <v>-0.01</v>
      </c>
      <c r="J75" s="475">
        <f>SUMPRODUCT(('2002因素修正幅度'!$A$88:$A$94=A75)*('2002因素修正幅度'!$B$35:$K$35=$G$2)*('2002因素修正幅度'!$B$88:$K$94))</f>
        <v>-0.02</v>
      </c>
      <c r="K75" s="663"/>
      <c r="L75" s="664"/>
      <c r="M75" s="664"/>
      <c r="N75" s="664"/>
      <c r="O75" s="664"/>
      <c r="P75" s="664"/>
      <c r="Q75" s="664"/>
      <c r="R75" s="664"/>
      <c r="S75" s="664"/>
      <c r="T75" s="664"/>
      <c r="U75" s="664"/>
      <c r="V75" s="664"/>
      <c r="W75" s="665"/>
      <c r="X75" s="666"/>
      <c r="Y75" s="666"/>
      <c r="Z75" s="666"/>
      <c r="AA75" s="666"/>
      <c r="AB75" s="666"/>
      <c r="AC75" s="666"/>
      <c r="AD75" s="665"/>
      <c r="AE75" s="666"/>
      <c r="AF75" s="666"/>
      <c r="AG75" s="666"/>
    </row>
    <row r="76" spans="1:33" s="748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7"/>
      <c r="D76" s="456">
        <f t="shared" si="10"/>
        <v>0</v>
      </c>
      <c r="E76" s="247"/>
      <c r="F76" s="475">
        <f>SUMPRODUCT(('2002因素修正幅度'!$A$58:$A$64=A76)*('2002因素修正幅度'!$B$35:$K$35=$G$2)*('2002因素修正幅度'!$B$58:$K$64))</f>
        <v>1.6E-2</v>
      </c>
      <c r="G76" s="475">
        <f t="shared" si="11"/>
        <v>8.0000000000000002E-3</v>
      </c>
      <c r="H76" s="476">
        <v>0</v>
      </c>
      <c r="I76" s="475">
        <f t="shared" si="12"/>
        <v>-8.0000000000000002E-3</v>
      </c>
      <c r="J76" s="475">
        <f>SUMPRODUCT(('2002因素修正幅度'!$A$88:$A$94=A76)*('2002因素修正幅度'!$B$35:$K$35=$G$2)*('2002因素修正幅度'!$B$88:$K$94))</f>
        <v>-1.6E-2</v>
      </c>
      <c r="K76" s="663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5"/>
      <c r="X76" s="666"/>
      <c r="Y76" s="666"/>
      <c r="Z76" s="666"/>
      <c r="AA76" s="666"/>
      <c r="AB76" s="666"/>
      <c r="AC76" s="666"/>
      <c r="AD76" s="665"/>
      <c r="AE76" s="666"/>
      <c r="AF76" s="666"/>
      <c r="AG76" s="666"/>
    </row>
    <row r="77" spans="1:33" s="748" customFormat="1">
      <c r="A77" s="665"/>
      <c r="B77" s="731"/>
      <c r="C77" s="664"/>
      <c r="D77" s="664"/>
      <c r="E77" s="664"/>
      <c r="F77" s="664"/>
      <c r="G77" s="664"/>
      <c r="H77" s="664"/>
      <c r="I77" s="664"/>
      <c r="J77" s="664"/>
      <c r="K77" s="663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5"/>
      <c r="X77" s="666"/>
      <c r="Y77" s="666"/>
      <c r="Z77" s="666"/>
      <c r="AA77" s="666"/>
      <c r="AB77" s="666"/>
      <c r="AC77" s="666"/>
      <c r="AD77" s="665"/>
      <c r="AE77" s="666"/>
      <c r="AF77" s="666"/>
      <c r="AG77" s="666"/>
    </row>
    <row r="78" spans="1:33" s="748" customFormat="1">
      <c r="A78" s="665"/>
      <c r="B78" s="731"/>
      <c r="C78" s="664"/>
      <c r="D78" s="664"/>
      <c r="E78" s="664"/>
      <c r="F78" s="664"/>
      <c r="G78" s="664"/>
      <c r="H78" s="664"/>
      <c r="I78" s="664"/>
      <c r="J78" s="664"/>
      <c r="K78" s="663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5"/>
      <c r="X78" s="666"/>
      <c r="Y78" s="666"/>
      <c r="Z78" s="666"/>
      <c r="AA78" s="666"/>
      <c r="AB78" s="666"/>
      <c r="AC78" s="666"/>
      <c r="AD78" s="665"/>
      <c r="AE78" s="666"/>
      <c r="AF78" s="666"/>
      <c r="AG78" s="666"/>
    </row>
    <row r="79" spans="1:33" s="748" customFormat="1">
      <c r="A79" s="665"/>
      <c r="B79" s="731"/>
      <c r="C79" s="664"/>
      <c r="D79" s="664"/>
      <c r="E79" s="664"/>
      <c r="F79" s="664"/>
      <c r="G79" s="664"/>
      <c r="H79" s="664"/>
      <c r="I79" s="664"/>
      <c r="J79" s="664"/>
      <c r="K79" s="663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5"/>
      <c r="X79" s="666"/>
      <c r="Y79" s="666"/>
      <c r="Z79" s="666"/>
      <c r="AA79" s="666"/>
      <c r="AB79" s="666"/>
      <c r="AC79" s="666"/>
      <c r="AD79" s="665"/>
      <c r="AE79" s="666"/>
      <c r="AF79" s="666"/>
      <c r="AG79" s="666"/>
    </row>
    <row r="80" spans="1:33" s="748" customFormat="1" ht="13.5">
      <c r="A80" s="671" t="s">
        <v>1466</v>
      </c>
      <c r="B80" s="541">
        <f>G3</f>
        <v>2.1800000000000002</v>
      </c>
      <c r="C80" s="664"/>
      <c r="D80" s="664"/>
      <c r="E80" s="664"/>
      <c r="F80" s="664"/>
      <c r="G80" s="749"/>
      <c r="H80" s="749"/>
      <c r="I80" s="749"/>
      <c r="J80" s="749"/>
      <c r="K80" s="663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5"/>
      <c r="AA80" s="666"/>
      <c r="AB80" s="666"/>
      <c r="AC80" s="666"/>
      <c r="AD80" s="666"/>
      <c r="AE80" s="666"/>
      <c r="AF80" s="666"/>
      <c r="AG80" s="666"/>
    </row>
    <row r="81" spans="1:36" s="748" customFormat="1" ht="12.75">
      <c r="A81" s="671" t="s">
        <v>1467</v>
      </c>
      <c r="B81" s="233">
        <f>SUMIF(A82:A85,E2,B82:B85)</f>
        <v>0.81069999999999998</v>
      </c>
      <c r="C81" s="664"/>
      <c r="D81" s="664"/>
      <c r="E81" s="664"/>
      <c r="F81" s="664"/>
      <c r="G81" s="664"/>
      <c r="H81" s="664"/>
      <c r="I81" s="664"/>
      <c r="J81" s="664"/>
      <c r="K81" s="663"/>
      <c r="L81" s="664"/>
      <c r="M81" s="664"/>
      <c r="N81" s="664"/>
      <c r="O81" s="664"/>
      <c r="P81" s="664"/>
      <c r="Q81" s="664"/>
      <c r="R81" s="664"/>
      <c r="S81" s="664"/>
      <c r="T81" s="664"/>
      <c r="U81" s="664"/>
      <c r="V81" s="664"/>
      <c r="W81" s="664"/>
      <c r="X81" s="664"/>
      <c r="Y81" s="664"/>
      <c r="Z81" s="665"/>
      <c r="AA81" s="666"/>
      <c r="AB81" s="666"/>
      <c r="AC81" s="666"/>
      <c r="AD81" s="666"/>
      <c r="AE81" s="666"/>
      <c r="AF81" s="666"/>
      <c r="AG81" s="666"/>
    </row>
    <row r="82" spans="1:36" s="748" customFormat="1" ht="12.75">
      <c r="A82" s="750" t="s">
        <v>0</v>
      </c>
      <c r="B82" s="233">
        <f>ROUND(0.892-0.0373*B80,4)</f>
        <v>0.81069999999999998</v>
      </c>
      <c r="C82" s="664"/>
      <c r="D82" s="664"/>
      <c r="E82" s="664"/>
      <c r="F82" s="664"/>
      <c r="G82" s="664"/>
      <c r="H82" s="664"/>
      <c r="I82" s="664"/>
      <c r="J82" s="664"/>
      <c r="K82" s="663"/>
      <c r="L82" s="664"/>
      <c r="M82" s="664"/>
      <c r="N82" s="664"/>
      <c r="O82" s="664"/>
      <c r="P82" s="664"/>
      <c r="Q82" s="664"/>
      <c r="R82" s="664"/>
      <c r="S82" s="664"/>
      <c r="T82" s="664"/>
      <c r="U82" s="664"/>
      <c r="V82" s="664"/>
      <c r="W82" s="664"/>
      <c r="X82" s="664"/>
      <c r="Y82" s="664"/>
      <c r="Z82" s="665"/>
      <c r="AA82" s="666"/>
      <c r="AB82" s="666"/>
      <c r="AC82" s="666"/>
      <c r="AD82" s="666"/>
      <c r="AE82" s="666"/>
      <c r="AF82" s="666"/>
      <c r="AG82" s="666"/>
    </row>
    <row r="83" spans="1:36" s="748" customFormat="1" ht="13.5">
      <c r="A83" s="750" t="s">
        <v>1305</v>
      </c>
      <c r="B83" s="233">
        <f>ROUND(1.007-0.0278*B80,4)</f>
        <v>0.94640000000000002</v>
      </c>
      <c r="C83" s="664"/>
      <c r="D83" s="664"/>
      <c r="E83" s="664"/>
      <c r="F83" s="664"/>
      <c r="G83" s="664"/>
      <c r="H83" s="664"/>
      <c r="I83" s="664"/>
      <c r="J83" s="664"/>
      <c r="K83" s="663"/>
      <c r="L83" s="749"/>
      <c r="M83" s="749"/>
      <c r="N83" s="664"/>
      <c r="O83" s="664"/>
      <c r="P83" s="664"/>
      <c r="Q83" s="664"/>
      <c r="R83" s="664"/>
      <c r="S83" s="664"/>
      <c r="T83" s="664"/>
      <c r="U83" s="664"/>
      <c r="V83" s="664"/>
      <c r="W83" s="664"/>
      <c r="X83" s="664"/>
      <c r="Y83" s="664"/>
      <c r="Z83" s="665"/>
      <c r="AA83" s="666"/>
      <c r="AB83" s="666"/>
      <c r="AC83" s="666"/>
      <c r="AD83" s="666"/>
      <c r="AE83" s="666"/>
      <c r="AF83" s="666"/>
      <c r="AG83" s="666"/>
    </row>
    <row r="84" spans="1:36" ht="12.75">
      <c r="A84" s="750" t="s">
        <v>1307</v>
      </c>
      <c r="B84" s="233">
        <f>ROUND(1.018-0.0219*B80,4)</f>
        <v>0.97030000000000005</v>
      </c>
      <c r="K84" s="664"/>
      <c r="AE84" s="665"/>
      <c r="AF84" s="665"/>
      <c r="AH84" s="664"/>
      <c r="AI84" s="664"/>
      <c r="AJ84" s="664"/>
    </row>
    <row r="85" spans="1:36" s="748" customFormat="1" ht="13.5" thickBot="1">
      <c r="A85" s="751" t="s">
        <v>1308</v>
      </c>
      <c r="B85" s="542">
        <f>ROUND(0.7275-0.01*B80,4)</f>
        <v>0.70569999999999999</v>
      </c>
      <c r="C85" s="664"/>
      <c r="D85" s="664"/>
      <c r="E85" s="664"/>
      <c r="F85" s="664"/>
      <c r="G85" s="664"/>
      <c r="H85" s="664"/>
      <c r="I85" s="664"/>
      <c r="J85" s="664"/>
      <c r="K85" s="663"/>
      <c r="L85" s="664"/>
      <c r="M85" s="664"/>
      <c r="N85" s="664"/>
      <c r="O85" s="664"/>
      <c r="P85" s="664"/>
      <c r="Q85" s="664"/>
      <c r="R85" s="664"/>
      <c r="S85" s="664"/>
      <c r="T85" s="664"/>
      <c r="U85" s="664"/>
      <c r="V85" s="664"/>
      <c r="W85" s="664"/>
      <c r="X85" s="664"/>
      <c r="Y85" s="664"/>
      <c r="Z85" s="665"/>
      <c r="AA85" s="666"/>
      <c r="AB85" s="666"/>
      <c r="AC85" s="666"/>
      <c r="AD85" s="666"/>
      <c r="AE85" s="666"/>
      <c r="AF85" s="666"/>
      <c r="AG85" s="666"/>
    </row>
    <row r="86" spans="1:36">
      <c r="K86" s="664"/>
      <c r="AE86" s="665"/>
      <c r="AF86" s="665"/>
      <c r="AH86" s="664"/>
      <c r="AI86" s="664"/>
      <c r="AJ86" s="664"/>
    </row>
    <row r="87" spans="1:36" ht="12.75" thickBot="1">
      <c r="K87" s="664"/>
      <c r="AE87" s="665"/>
      <c r="AF87" s="665"/>
      <c r="AH87" s="664"/>
      <c r="AI87" s="664"/>
      <c r="AJ87" s="664"/>
    </row>
    <row r="88" spans="1:36" ht="14.25" thickBot="1">
      <c r="A88" s="752" t="s">
        <v>686</v>
      </c>
      <c r="B88" s="753" t="s">
        <v>290</v>
      </c>
      <c r="C88" s="753" t="s">
        <v>33</v>
      </c>
      <c r="D88" s="753" t="s">
        <v>292</v>
      </c>
      <c r="E88" s="753" t="s">
        <v>30</v>
      </c>
      <c r="F88" s="753" t="s">
        <v>31</v>
      </c>
      <c r="G88" s="753" t="s">
        <v>32</v>
      </c>
      <c r="H88" s="753" t="s">
        <v>296</v>
      </c>
      <c r="I88" s="753" t="s">
        <v>297</v>
      </c>
      <c r="J88" s="753" t="s">
        <v>298</v>
      </c>
      <c r="K88" s="753" t="s">
        <v>299</v>
      </c>
      <c r="AE88" s="665"/>
      <c r="AF88" s="665"/>
      <c r="AH88" s="664"/>
      <c r="AI88" s="664"/>
      <c r="AJ88" s="664"/>
    </row>
    <row r="89" spans="1:36" ht="13.5">
      <c r="A89" s="754" t="s">
        <v>0</v>
      </c>
      <c r="B89" s="755">
        <v>2</v>
      </c>
      <c r="C89" s="755">
        <v>2</v>
      </c>
      <c r="D89" s="755">
        <v>2</v>
      </c>
      <c r="E89" s="755">
        <v>2</v>
      </c>
      <c r="F89" s="755">
        <v>2</v>
      </c>
      <c r="G89" s="755">
        <v>2</v>
      </c>
      <c r="H89" s="756">
        <v>1</v>
      </c>
      <c r="I89" s="756">
        <v>1</v>
      </c>
      <c r="J89" s="756">
        <v>1</v>
      </c>
      <c r="K89" s="756">
        <v>1</v>
      </c>
      <c r="AE89" s="665"/>
      <c r="AF89" s="665"/>
      <c r="AH89" s="664"/>
      <c r="AI89" s="664"/>
      <c r="AJ89" s="664"/>
    </row>
    <row r="90" spans="1:36" ht="13.5">
      <c r="A90" s="473" t="s">
        <v>1302</v>
      </c>
      <c r="B90" s="757">
        <v>2</v>
      </c>
      <c r="C90" s="757">
        <v>2</v>
      </c>
      <c r="D90" s="757">
        <v>2</v>
      </c>
      <c r="E90" s="757">
        <v>2</v>
      </c>
      <c r="F90" s="757">
        <v>2</v>
      </c>
      <c r="G90" s="757">
        <v>2</v>
      </c>
      <c r="H90" s="758">
        <v>1</v>
      </c>
      <c r="I90" s="758">
        <v>1</v>
      </c>
      <c r="J90" s="758">
        <v>1</v>
      </c>
      <c r="K90" s="758">
        <v>1</v>
      </c>
      <c r="AE90" s="665"/>
      <c r="AF90" s="665"/>
      <c r="AH90" s="664"/>
      <c r="AI90" s="664"/>
      <c r="AJ90" s="664"/>
    </row>
    <row r="91" spans="1:36" ht="13.5">
      <c r="A91" s="473" t="s">
        <v>1303</v>
      </c>
      <c r="B91" s="757">
        <v>2</v>
      </c>
      <c r="C91" s="757">
        <v>2</v>
      </c>
      <c r="D91" s="757">
        <v>2</v>
      </c>
      <c r="E91" s="757">
        <v>2</v>
      </c>
      <c r="F91" s="757">
        <v>2</v>
      </c>
      <c r="G91" s="757">
        <v>2</v>
      </c>
      <c r="H91" s="758">
        <v>1</v>
      </c>
      <c r="I91" s="758">
        <v>1</v>
      </c>
      <c r="J91" s="758">
        <v>1</v>
      </c>
      <c r="K91" s="758">
        <v>1</v>
      </c>
      <c r="AE91" s="665"/>
      <c r="AF91" s="665"/>
      <c r="AH91" s="664"/>
      <c r="AI91" s="664"/>
      <c r="AJ91" s="664"/>
    </row>
    <row r="92" spans="1:36" ht="14.25" thickBot="1">
      <c r="A92" s="759" t="s">
        <v>226</v>
      </c>
      <c r="B92" s="760">
        <v>1</v>
      </c>
      <c r="C92" s="760">
        <v>1</v>
      </c>
      <c r="D92" s="760">
        <v>1</v>
      </c>
      <c r="E92" s="760">
        <v>1</v>
      </c>
      <c r="F92" s="760">
        <v>1</v>
      </c>
      <c r="G92" s="760">
        <v>1</v>
      </c>
      <c r="H92" s="760">
        <v>1</v>
      </c>
      <c r="I92" s="760">
        <v>1</v>
      </c>
      <c r="J92" s="760">
        <v>1</v>
      </c>
      <c r="K92" s="760">
        <v>1</v>
      </c>
      <c r="AE92" s="665"/>
      <c r="AF92" s="665"/>
      <c r="AH92" s="664"/>
      <c r="AI92" s="664"/>
      <c r="AJ92" s="664"/>
    </row>
    <row r="93" spans="1:36">
      <c r="K93" s="664"/>
      <c r="AE93" s="665"/>
      <c r="AF93" s="665"/>
      <c r="AH93" s="664"/>
      <c r="AI93" s="664"/>
      <c r="AJ93" s="664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6" t="str">
        <f>'2002基准地价'!E2</f>
        <v>商业</v>
      </c>
      <c r="L1" s="526" t="str">
        <f>'2002基准地价'!G2</f>
        <v>六级</v>
      </c>
      <c r="M1" s="527">
        <f>SUMPRODUCT((K3:K12=L1)*(L2:O2=K1)*(L3:O12))</f>
        <v>2435</v>
      </c>
    </row>
    <row r="2" spans="1:19">
      <c r="A2" s="529" t="s">
        <v>1296</v>
      </c>
      <c r="B2" s="530" t="s">
        <v>1292</v>
      </c>
      <c r="C2" s="531"/>
      <c r="D2" s="532" t="s">
        <v>1293</v>
      </c>
      <c r="E2" s="532"/>
      <c r="F2" s="533" t="s">
        <v>1294</v>
      </c>
      <c r="G2" s="532"/>
      <c r="H2" s="533" t="s">
        <v>1295</v>
      </c>
      <c r="I2" s="532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4"/>
      <c r="B3" s="535" t="s">
        <v>1291</v>
      </c>
      <c r="C3" s="535" t="s">
        <v>1290</v>
      </c>
      <c r="D3" s="528" t="s">
        <v>1291</v>
      </c>
      <c r="E3" s="528" t="s">
        <v>1290</v>
      </c>
      <c r="F3" s="528" t="s">
        <v>1291</v>
      </c>
      <c r="G3" s="528" t="s">
        <v>1290</v>
      </c>
      <c r="H3" s="528" t="s">
        <v>1291</v>
      </c>
      <c r="I3" s="528" t="s">
        <v>1290</v>
      </c>
      <c r="K3" s="528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28" t="s">
        <v>343</v>
      </c>
      <c r="B4" s="536">
        <v>7210</v>
      </c>
      <c r="C4" s="536">
        <v>9750</v>
      </c>
      <c r="D4" s="536">
        <v>5540</v>
      </c>
      <c r="E4" s="536">
        <v>8250</v>
      </c>
      <c r="F4" s="536">
        <v>4740</v>
      </c>
      <c r="G4" s="536">
        <v>7000</v>
      </c>
      <c r="H4" s="536">
        <v>1200</v>
      </c>
      <c r="I4" s="536">
        <v>1800</v>
      </c>
      <c r="K4" s="528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28" t="s">
        <v>403</v>
      </c>
      <c r="B5" s="536">
        <v>5680</v>
      </c>
      <c r="C5" s="536">
        <v>7680</v>
      </c>
      <c r="D5" s="536">
        <v>4440</v>
      </c>
      <c r="E5" s="536">
        <v>6000</v>
      </c>
      <c r="F5" s="536">
        <v>3800</v>
      </c>
      <c r="G5" s="536">
        <v>5760</v>
      </c>
      <c r="H5" s="536">
        <v>1000</v>
      </c>
      <c r="I5" s="536">
        <v>1220</v>
      </c>
      <c r="K5" s="528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28" t="s">
        <v>581</v>
      </c>
      <c r="B6" s="536">
        <v>4530</v>
      </c>
      <c r="C6" s="536">
        <v>6130</v>
      </c>
      <c r="D6" s="536">
        <v>3620</v>
      </c>
      <c r="E6" s="536">
        <v>4940</v>
      </c>
      <c r="F6" s="536">
        <v>2730</v>
      </c>
      <c r="G6" s="536">
        <v>4590</v>
      </c>
      <c r="H6" s="536">
        <v>850</v>
      </c>
      <c r="I6" s="536">
        <v>1050</v>
      </c>
      <c r="K6" s="528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28" t="s">
        <v>251</v>
      </c>
      <c r="B7" s="536">
        <v>3720</v>
      </c>
      <c r="C7" s="536">
        <v>5090</v>
      </c>
      <c r="D7" s="536">
        <v>2650</v>
      </c>
      <c r="E7" s="536">
        <v>3900</v>
      </c>
      <c r="F7" s="536">
        <v>2090</v>
      </c>
      <c r="G7" s="536">
        <v>3600</v>
      </c>
      <c r="H7" s="536">
        <v>600</v>
      </c>
      <c r="I7" s="536">
        <v>900</v>
      </c>
      <c r="K7" s="528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28" t="s">
        <v>663</v>
      </c>
      <c r="B8" s="536">
        <v>2720</v>
      </c>
      <c r="C8" s="536">
        <v>4000</v>
      </c>
      <c r="D8" s="536">
        <v>1960</v>
      </c>
      <c r="E8" s="536">
        <v>2790</v>
      </c>
      <c r="F8" s="536">
        <v>1500</v>
      </c>
      <c r="G8" s="536">
        <v>2790</v>
      </c>
      <c r="H8" s="536">
        <v>420</v>
      </c>
      <c r="I8" s="536">
        <v>680</v>
      </c>
      <c r="K8" s="528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28" t="s">
        <v>34</v>
      </c>
      <c r="B9" s="536">
        <v>1970</v>
      </c>
      <c r="C9" s="536">
        <v>2900</v>
      </c>
      <c r="D9" s="536">
        <v>1290</v>
      </c>
      <c r="E9" s="536">
        <v>2080</v>
      </c>
      <c r="F9" s="536">
        <v>1060</v>
      </c>
      <c r="G9" s="536">
        <v>1820</v>
      </c>
      <c r="H9" s="536">
        <v>310</v>
      </c>
      <c r="I9" s="536">
        <v>510</v>
      </c>
      <c r="K9" s="528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28" t="s">
        <v>666</v>
      </c>
      <c r="B10" s="536">
        <v>1150</v>
      </c>
      <c r="C10" s="536">
        <v>1980</v>
      </c>
      <c r="D10" s="536">
        <v>880</v>
      </c>
      <c r="E10" s="536">
        <v>1320</v>
      </c>
      <c r="F10" s="536">
        <v>630</v>
      </c>
      <c r="G10" s="536">
        <v>1080</v>
      </c>
      <c r="H10" s="536">
        <v>220</v>
      </c>
      <c r="I10" s="536">
        <v>330</v>
      </c>
      <c r="K10" s="528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28" t="s">
        <v>668</v>
      </c>
      <c r="B11" s="536">
        <v>530</v>
      </c>
      <c r="C11" s="536">
        <v>1180</v>
      </c>
      <c r="D11" s="536">
        <v>430</v>
      </c>
      <c r="E11" s="536">
        <v>900</v>
      </c>
      <c r="F11" s="536">
        <v>330</v>
      </c>
      <c r="G11" s="536">
        <v>650</v>
      </c>
      <c r="H11" s="536">
        <v>150</v>
      </c>
      <c r="I11" s="536">
        <v>240</v>
      </c>
      <c r="K11" s="528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28" t="s">
        <v>670</v>
      </c>
      <c r="B12" s="536">
        <v>250</v>
      </c>
      <c r="C12" s="536">
        <v>540</v>
      </c>
      <c r="D12" s="536">
        <v>200</v>
      </c>
      <c r="E12" s="536">
        <v>450</v>
      </c>
      <c r="F12" s="536">
        <v>180</v>
      </c>
      <c r="G12" s="536">
        <v>370</v>
      </c>
      <c r="H12" s="536">
        <v>100</v>
      </c>
      <c r="I12" s="536">
        <v>170</v>
      </c>
      <c r="K12" s="528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28" t="s">
        <v>674</v>
      </c>
      <c r="B13" s="536">
        <v>140</v>
      </c>
      <c r="C13" s="536">
        <v>260</v>
      </c>
      <c r="D13" s="536">
        <v>140</v>
      </c>
      <c r="E13" s="536">
        <v>260</v>
      </c>
      <c r="F13" s="536">
        <v>140</v>
      </c>
      <c r="G13" s="536">
        <v>260</v>
      </c>
      <c r="H13" s="536"/>
      <c r="I13" s="536"/>
    </row>
    <row r="14" spans="1:19">
      <c r="A14" s="537" t="s">
        <v>1297</v>
      </c>
      <c r="B14" s="528" t="s">
        <v>1291</v>
      </c>
      <c r="C14" s="528" t="s">
        <v>1290</v>
      </c>
      <c r="D14" s="528" t="s">
        <v>1291</v>
      </c>
      <c r="E14" s="528" t="s">
        <v>1290</v>
      </c>
      <c r="F14" s="528" t="s">
        <v>1291</v>
      </c>
      <c r="G14" s="528" t="s">
        <v>1290</v>
      </c>
      <c r="H14" s="528" t="s">
        <v>1291</v>
      </c>
      <c r="I14" s="538" t="s">
        <v>1290</v>
      </c>
      <c r="L14" s="966" t="s">
        <v>0</v>
      </c>
      <c r="M14" s="256" t="s">
        <v>1302</v>
      </c>
      <c r="N14" s="256" t="s">
        <v>1303</v>
      </c>
      <c r="O14" s="967" t="s">
        <v>226</v>
      </c>
      <c r="P14" s="966" t="s">
        <v>0</v>
      </c>
      <c r="Q14" s="256" t="s">
        <v>1302</v>
      </c>
      <c r="R14" s="256" t="s">
        <v>1303</v>
      </c>
      <c r="S14" s="967" t="s">
        <v>226</v>
      </c>
    </row>
    <row r="15" spans="1:19" ht="14.25">
      <c r="A15" s="528" t="s">
        <v>343</v>
      </c>
      <c r="B15" s="536">
        <v>2660</v>
      </c>
      <c r="C15" s="536">
        <v>4900</v>
      </c>
      <c r="D15" s="536">
        <v>1640</v>
      </c>
      <c r="E15" s="536">
        <v>4500</v>
      </c>
      <c r="F15" s="536">
        <v>1710</v>
      </c>
      <c r="G15" s="536">
        <v>3000</v>
      </c>
      <c r="H15" s="539">
        <v>420</v>
      </c>
      <c r="I15" s="540">
        <v>850</v>
      </c>
      <c r="K15" s="965" t="s">
        <v>343</v>
      </c>
      <c r="L15" s="968">
        <v>2660</v>
      </c>
      <c r="M15" s="536">
        <v>1640</v>
      </c>
      <c r="N15" s="536">
        <v>1710</v>
      </c>
      <c r="O15" s="969">
        <v>420</v>
      </c>
      <c r="P15" s="968">
        <v>4900</v>
      </c>
      <c r="Q15" s="536">
        <v>4500</v>
      </c>
      <c r="R15" s="536">
        <v>3000</v>
      </c>
      <c r="S15" s="551">
        <v>850</v>
      </c>
    </row>
    <row r="16" spans="1:19" ht="14.25">
      <c r="A16" s="528" t="s">
        <v>403</v>
      </c>
      <c r="B16" s="536">
        <v>1680</v>
      </c>
      <c r="C16" s="536">
        <v>3120</v>
      </c>
      <c r="D16" s="536">
        <v>1460</v>
      </c>
      <c r="E16" s="536">
        <v>2200</v>
      </c>
      <c r="F16" s="536">
        <v>900</v>
      </c>
      <c r="G16" s="536">
        <v>2100</v>
      </c>
      <c r="H16" s="539">
        <v>430</v>
      </c>
      <c r="I16" s="540">
        <v>530</v>
      </c>
      <c r="K16" s="965" t="s">
        <v>403</v>
      </c>
      <c r="L16" s="968">
        <v>1680</v>
      </c>
      <c r="M16" s="536">
        <v>1460</v>
      </c>
      <c r="N16" s="536">
        <v>900</v>
      </c>
      <c r="O16" s="969">
        <v>430</v>
      </c>
      <c r="P16" s="968">
        <v>3120</v>
      </c>
      <c r="Q16" s="536">
        <v>2200</v>
      </c>
      <c r="R16" s="536">
        <v>2100</v>
      </c>
      <c r="S16" s="551">
        <v>530</v>
      </c>
    </row>
    <row r="17" spans="1:19" ht="14.25">
      <c r="A17" s="528" t="s">
        <v>581</v>
      </c>
      <c r="B17" s="536">
        <v>1500</v>
      </c>
      <c r="C17" s="536">
        <v>2420</v>
      </c>
      <c r="D17" s="536">
        <v>1130</v>
      </c>
      <c r="E17" s="536">
        <v>1690</v>
      </c>
      <c r="F17" s="536">
        <v>550</v>
      </c>
      <c r="G17" s="536">
        <v>1300</v>
      </c>
      <c r="H17" s="539">
        <v>340</v>
      </c>
      <c r="I17" s="540">
        <v>440</v>
      </c>
      <c r="K17" s="965" t="s">
        <v>581</v>
      </c>
      <c r="L17" s="968">
        <v>1500</v>
      </c>
      <c r="M17" s="536">
        <v>1130</v>
      </c>
      <c r="N17" s="536">
        <v>550</v>
      </c>
      <c r="O17" s="969">
        <v>340</v>
      </c>
      <c r="P17" s="968">
        <v>2420</v>
      </c>
      <c r="Q17" s="536">
        <v>1690</v>
      </c>
      <c r="R17" s="536">
        <v>1300</v>
      </c>
      <c r="S17" s="551">
        <v>440</v>
      </c>
    </row>
    <row r="18" spans="1:19" ht="14.25">
      <c r="A18" s="528" t="s">
        <v>251</v>
      </c>
      <c r="B18" s="536">
        <v>1240</v>
      </c>
      <c r="C18" s="536">
        <v>1860</v>
      </c>
      <c r="D18" s="536">
        <v>880</v>
      </c>
      <c r="E18" s="536">
        <v>1320</v>
      </c>
      <c r="F18" s="536">
        <v>400</v>
      </c>
      <c r="G18" s="536">
        <v>930</v>
      </c>
      <c r="H18" s="539">
        <v>270</v>
      </c>
      <c r="I18" s="540">
        <v>360</v>
      </c>
      <c r="K18" s="965" t="s">
        <v>251</v>
      </c>
      <c r="L18" s="968">
        <v>1240</v>
      </c>
      <c r="M18" s="536">
        <v>880</v>
      </c>
      <c r="N18" s="536">
        <v>400</v>
      </c>
      <c r="O18" s="969">
        <v>270</v>
      </c>
      <c r="P18" s="968">
        <v>1860</v>
      </c>
      <c r="Q18" s="536">
        <v>1320</v>
      </c>
      <c r="R18" s="536">
        <v>930</v>
      </c>
      <c r="S18" s="551">
        <v>360</v>
      </c>
    </row>
    <row r="19" spans="1:19" ht="14.25">
      <c r="A19" s="528" t="s">
        <v>663</v>
      </c>
      <c r="B19" s="536">
        <v>970</v>
      </c>
      <c r="C19" s="536">
        <v>1450</v>
      </c>
      <c r="D19" s="536">
        <v>660</v>
      </c>
      <c r="E19" s="536">
        <v>990</v>
      </c>
      <c r="F19" s="536">
        <v>300</v>
      </c>
      <c r="G19" s="536">
        <v>680</v>
      </c>
      <c r="H19" s="539">
        <v>195</v>
      </c>
      <c r="I19" s="540">
        <v>300</v>
      </c>
      <c r="K19" s="965" t="s">
        <v>663</v>
      </c>
      <c r="L19" s="968">
        <v>970</v>
      </c>
      <c r="M19" s="536">
        <v>660</v>
      </c>
      <c r="N19" s="536">
        <v>300</v>
      </c>
      <c r="O19" s="969">
        <v>195</v>
      </c>
      <c r="P19" s="968">
        <v>1450</v>
      </c>
      <c r="Q19" s="536">
        <v>990</v>
      </c>
      <c r="R19" s="536">
        <v>680</v>
      </c>
      <c r="S19" s="551">
        <v>300</v>
      </c>
    </row>
    <row r="20" spans="1:19" ht="14.25">
      <c r="A20" s="528" t="s">
        <v>34</v>
      </c>
      <c r="B20" s="536">
        <v>720</v>
      </c>
      <c r="C20" s="536">
        <v>1090</v>
      </c>
      <c r="D20" s="536">
        <v>500</v>
      </c>
      <c r="E20" s="536">
        <v>740</v>
      </c>
      <c r="F20" s="536">
        <v>190</v>
      </c>
      <c r="G20" s="536">
        <v>430</v>
      </c>
      <c r="H20" s="539">
        <v>135</v>
      </c>
      <c r="I20" s="540">
        <v>225</v>
      </c>
      <c r="K20" s="965" t="s">
        <v>34</v>
      </c>
      <c r="L20" s="968">
        <v>720</v>
      </c>
      <c r="M20" s="536">
        <v>500</v>
      </c>
      <c r="N20" s="536">
        <v>190</v>
      </c>
      <c r="O20" s="969">
        <v>135</v>
      </c>
      <c r="P20" s="968">
        <v>1090</v>
      </c>
      <c r="Q20" s="536">
        <v>740</v>
      </c>
      <c r="R20" s="536">
        <v>430</v>
      </c>
      <c r="S20" s="551">
        <v>225</v>
      </c>
    </row>
    <row r="21" spans="1:19" ht="14.25">
      <c r="A21" s="528" t="s">
        <v>666</v>
      </c>
      <c r="B21" s="536">
        <v>500</v>
      </c>
      <c r="C21" s="536">
        <v>740</v>
      </c>
      <c r="D21" s="536">
        <v>400</v>
      </c>
      <c r="E21" s="536">
        <v>600</v>
      </c>
      <c r="F21" s="536">
        <v>150</v>
      </c>
      <c r="G21" s="536">
        <v>350</v>
      </c>
      <c r="H21" s="539">
        <v>100</v>
      </c>
      <c r="I21" s="540">
        <v>160</v>
      </c>
      <c r="K21" s="965" t="s">
        <v>666</v>
      </c>
      <c r="L21" s="968">
        <v>500</v>
      </c>
      <c r="M21" s="536">
        <v>400</v>
      </c>
      <c r="N21" s="536">
        <v>150</v>
      </c>
      <c r="O21" s="969">
        <v>100</v>
      </c>
      <c r="P21" s="968">
        <v>740</v>
      </c>
      <c r="Q21" s="536">
        <v>600</v>
      </c>
      <c r="R21" s="536">
        <v>350</v>
      </c>
      <c r="S21" s="551">
        <v>160</v>
      </c>
    </row>
    <row r="22" spans="1:19" ht="14.25">
      <c r="A22" s="528" t="s">
        <v>668</v>
      </c>
      <c r="B22" s="536">
        <v>360</v>
      </c>
      <c r="C22" s="536">
        <v>540</v>
      </c>
      <c r="D22" s="536">
        <v>250</v>
      </c>
      <c r="E22" s="536">
        <v>470</v>
      </c>
      <c r="F22" s="536">
        <v>120</v>
      </c>
      <c r="G22" s="536">
        <v>280</v>
      </c>
      <c r="H22" s="539">
        <v>60</v>
      </c>
      <c r="I22" s="540">
        <v>100</v>
      </c>
      <c r="K22" s="965" t="s">
        <v>668</v>
      </c>
      <c r="L22" s="968">
        <v>360</v>
      </c>
      <c r="M22" s="536">
        <v>250</v>
      </c>
      <c r="N22" s="536">
        <v>120</v>
      </c>
      <c r="O22" s="969">
        <v>60</v>
      </c>
      <c r="P22" s="968">
        <v>540</v>
      </c>
      <c r="Q22" s="536">
        <v>470</v>
      </c>
      <c r="R22" s="536">
        <v>280</v>
      </c>
      <c r="S22" s="551">
        <v>100</v>
      </c>
    </row>
    <row r="23" spans="1:19" ht="14.25">
      <c r="A23" s="528" t="s">
        <v>670</v>
      </c>
      <c r="B23" s="536">
        <v>180</v>
      </c>
      <c r="C23" s="536">
        <v>380</v>
      </c>
      <c r="D23" s="536">
        <v>140</v>
      </c>
      <c r="E23" s="536">
        <v>260</v>
      </c>
      <c r="F23" s="536">
        <v>100</v>
      </c>
      <c r="G23" s="536">
        <v>220</v>
      </c>
      <c r="H23" s="539">
        <v>20</v>
      </c>
      <c r="I23" s="540">
        <v>60</v>
      </c>
      <c r="K23" s="965" t="s">
        <v>670</v>
      </c>
      <c r="L23" s="968">
        <v>180</v>
      </c>
      <c r="M23" s="536">
        <v>140</v>
      </c>
      <c r="N23" s="536">
        <v>100</v>
      </c>
      <c r="O23" s="969">
        <v>20</v>
      </c>
      <c r="P23" s="968">
        <v>380</v>
      </c>
      <c r="Q23" s="536">
        <v>260</v>
      </c>
      <c r="R23" s="536">
        <v>220</v>
      </c>
      <c r="S23" s="551">
        <v>60</v>
      </c>
    </row>
    <row r="24" spans="1:19" ht="15" thickBot="1">
      <c r="A24" s="528" t="s">
        <v>674</v>
      </c>
      <c r="B24" s="536">
        <v>90</v>
      </c>
      <c r="C24" s="536">
        <v>190</v>
      </c>
      <c r="D24" s="536">
        <v>90</v>
      </c>
      <c r="E24" s="536">
        <v>150</v>
      </c>
      <c r="F24" s="536">
        <v>90</v>
      </c>
      <c r="G24" s="536">
        <v>150</v>
      </c>
      <c r="H24" s="539"/>
      <c r="I24" s="540"/>
      <c r="K24" s="965" t="s">
        <v>674</v>
      </c>
      <c r="L24" s="970">
        <v>90</v>
      </c>
      <c r="M24" s="971">
        <v>90</v>
      </c>
      <c r="N24" s="971">
        <v>90</v>
      </c>
      <c r="O24" s="972"/>
      <c r="P24" s="970">
        <v>190</v>
      </c>
      <c r="Q24" s="971">
        <v>150</v>
      </c>
      <c r="R24" s="971">
        <v>150</v>
      </c>
      <c r="S24" s="562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4" t="s">
        <v>1309</v>
      </c>
      <c r="B1" s="1721" t="s">
        <v>1310</v>
      </c>
      <c r="C1" s="1722"/>
      <c r="D1" s="1723"/>
      <c r="E1" s="1721" t="s">
        <v>1311</v>
      </c>
      <c r="F1" s="1722"/>
      <c r="G1" s="1723"/>
    </row>
    <row r="2" spans="1:7">
      <c r="A2" s="1725"/>
      <c r="B2" s="543" t="s">
        <v>1312</v>
      </c>
      <c r="C2" s="544" t="s">
        <v>1313</v>
      </c>
      <c r="D2" s="545" t="s">
        <v>1314</v>
      </c>
      <c r="E2" s="543" t="s">
        <v>1312</v>
      </c>
      <c r="F2" s="544" t="s">
        <v>1313</v>
      </c>
      <c r="G2" s="545" t="s">
        <v>1314</v>
      </c>
    </row>
    <row r="3" spans="1:7" ht="14.25">
      <c r="A3" s="546">
        <v>0.1</v>
      </c>
      <c r="B3" s="547">
        <v>1.5</v>
      </c>
      <c r="C3" s="548">
        <v>1.4370000000000001</v>
      </c>
      <c r="D3" s="549">
        <v>1.4179999999999999</v>
      </c>
      <c r="E3" s="550">
        <f>ROUND(B3/1.232,3)</f>
        <v>1.218</v>
      </c>
      <c r="F3" s="540">
        <f>ROUND(C3/1.189,3)</f>
        <v>1.2090000000000001</v>
      </c>
      <c r="G3" s="551">
        <f>ROUND(D3/1.177,3)</f>
        <v>1.2050000000000001</v>
      </c>
    </row>
    <row r="4" spans="1:7" ht="14.25">
      <c r="A4" s="546">
        <v>0.2</v>
      </c>
      <c r="B4" s="547">
        <v>1.4670000000000001</v>
      </c>
      <c r="C4" s="548">
        <v>1.4059999999999999</v>
      </c>
      <c r="D4" s="549">
        <v>1.387</v>
      </c>
      <c r="E4" s="550">
        <f t="shared" ref="E4:E67" si="0">ROUND(B4/1.232,3)</f>
        <v>1.1910000000000001</v>
      </c>
      <c r="F4" s="540">
        <f t="shared" ref="F4:F67" si="1">ROUND(C4/1.189,3)</f>
        <v>1.1830000000000001</v>
      </c>
      <c r="G4" s="551">
        <f t="shared" ref="G4:G67" si="2">ROUND(D4/1.177,3)</f>
        <v>1.1779999999999999</v>
      </c>
    </row>
    <row r="5" spans="1:7" ht="14.25">
      <c r="A5" s="546">
        <v>0.3</v>
      </c>
      <c r="B5" s="547">
        <v>1.4350000000000001</v>
      </c>
      <c r="C5" s="548">
        <v>1.375</v>
      </c>
      <c r="D5" s="549">
        <v>1.3580000000000001</v>
      </c>
      <c r="E5" s="550">
        <f t="shared" si="0"/>
        <v>1.165</v>
      </c>
      <c r="F5" s="540">
        <f t="shared" si="1"/>
        <v>1.1559999999999999</v>
      </c>
      <c r="G5" s="551">
        <f t="shared" si="2"/>
        <v>1.1539999999999999</v>
      </c>
    </row>
    <row r="6" spans="1:7" ht="14.25">
      <c r="A6" s="546">
        <v>0.4</v>
      </c>
      <c r="B6" s="547">
        <v>1.4039999999999999</v>
      </c>
      <c r="C6" s="548">
        <v>1.3460000000000001</v>
      </c>
      <c r="D6" s="549">
        <v>1.329</v>
      </c>
      <c r="E6" s="550">
        <f t="shared" si="0"/>
        <v>1.1399999999999999</v>
      </c>
      <c r="F6" s="540">
        <f t="shared" si="1"/>
        <v>1.1319999999999999</v>
      </c>
      <c r="G6" s="551">
        <f t="shared" si="2"/>
        <v>1.129</v>
      </c>
    </row>
    <row r="7" spans="1:7" ht="14.25">
      <c r="A7" s="546">
        <v>0.5</v>
      </c>
      <c r="B7" s="547">
        <v>1.3740000000000001</v>
      </c>
      <c r="C7" s="548">
        <v>1.3180000000000001</v>
      </c>
      <c r="D7" s="549">
        <v>1.3009999999999999</v>
      </c>
      <c r="E7" s="550">
        <f t="shared" si="0"/>
        <v>1.115</v>
      </c>
      <c r="F7" s="540">
        <f t="shared" si="1"/>
        <v>1.1080000000000001</v>
      </c>
      <c r="G7" s="551">
        <f t="shared" si="2"/>
        <v>1.105</v>
      </c>
    </row>
    <row r="8" spans="1:7" ht="14.25">
      <c r="A8" s="546">
        <v>0.6</v>
      </c>
      <c r="B8" s="547">
        <v>1.3440000000000001</v>
      </c>
      <c r="C8" s="548">
        <v>1.29</v>
      </c>
      <c r="D8" s="549">
        <v>1.2749999999999999</v>
      </c>
      <c r="E8" s="550">
        <f t="shared" si="0"/>
        <v>1.091</v>
      </c>
      <c r="F8" s="540">
        <f t="shared" si="1"/>
        <v>1.085</v>
      </c>
      <c r="G8" s="551">
        <f t="shared" si="2"/>
        <v>1.083</v>
      </c>
    </row>
    <row r="9" spans="1:7" ht="14.25">
      <c r="A9" s="546">
        <v>0.7</v>
      </c>
      <c r="B9" s="547">
        <v>1.3149999999999999</v>
      </c>
      <c r="C9" s="548">
        <v>1.2629999999999999</v>
      </c>
      <c r="D9" s="549">
        <v>1.2490000000000001</v>
      </c>
      <c r="E9" s="550">
        <f t="shared" si="0"/>
        <v>1.0669999999999999</v>
      </c>
      <c r="F9" s="540">
        <f t="shared" si="1"/>
        <v>1.0620000000000001</v>
      </c>
      <c r="G9" s="551">
        <f t="shared" si="2"/>
        <v>1.0609999999999999</v>
      </c>
    </row>
    <row r="10" spans="1:7" ht="14.25">
      <c r="A10" s="546">
        <v>0.8</v>
      </c>
      <c r="B10" s="547">
        <v>1.2869999999999999</v>
      </c>
      <c r="C10" s="548">
        <v>1.238</v>
      </c>
      <c r="D10" s="549">
        <v>1.224</v>
      </c>
      <c r="E10" s="550">
        <f t="shared" si="0"/>
        <v>1.0449999999999999</v>
      </c>
      <c r="F10" s="540">
        <f t="shared" si="1"/>
        <v>1.0409999999999999</v>
      </c>
      <c r="G10" s="551">
        <f t="shared" si="2"/>
        <v>1.04</v>
      </c>
    </row>
    <row r="11" spans="1:7" ht="14.25">
      <c r="A11" s="546">
        <v>0.9</v>
      </c>
      <c r="B11" s="547">
        <v>1.2589999999999999</v>
      </c>
      <c r="C11" s="548">
        <v>1.2130000000000001</v>
      </c>
      <c r="D11" s="549">
        <v>1.2</v>
      </c>
      <c r="E11" s="550">
        <f t="shared" si="0"/>
        <v>1.022</v>
      </c>
      <c r="F11" s="540">
        <f t="shared" si="1"/>
        <v>1.02</v>
      </c>
      <c r="G11" s="551">
        <f t="shared" si="2"/>
        <v>1.02</v>
      </c>
    </row>
    <row r="12" spans="1:7" ht="14.25">
      <c r="A12" s="546">
        <v>1</v>
      </c>
      <c r="B12" s="547">
        <v>1.232</v>
      </c>
      <c r="C12" s="548">
        <v>1.1890000000000001</v>
      </c>
      <c r="D12" s="549">
        <v>1.177</v>
      </c>
      <c r="E12" s="550">
        <f t="shared" si="0"/>
        <v>1</v>
      </c>
      <c r="F12" s="540">
        <f t="shared" si="1"/>
        <v>1</v>
      </c>
      <c r="G12" s="551">
        <f t="shared" si="2"/>
        <v>1</v>
      </c>
    </row>
    <row r="13" spans="1:7" ht="14.25">
      <c r="A13" s="546">
        <v>1.1000000000000001</v>
      </c>
      <c r="B13" s="547">
        <v>1.2050000000000001</v>
      </c>
      <c r="C13" s="548">
        <v>1.1659999999999999</v>
      </c>
      <c r="D13" s="549">
        <v>1.155</v>
      </c>
      <c r="E13" s="550">
        <f t="shared" si="0"/>
        <v>0.97799999999999998</v>
      </c>
      <c r="F13" s="540">
        <f t="shared" si="1"/>
        <v>0.98099999999999998</v>
      </c>
      <c r="G13" s="551">
        <f t="shared" si="2"/>
        <v>0.98099999999999998</v>
      </c>
    </row>
    <row r="14" spans="1:7" ht="14.25">
      <c r="A14" s="546">
        <v>1.2</v>
      </c>
      <c r="B14" s="547">
        <v>1.18</v>
      </c>
      <c r="C14" s="548">
        <v>1.1439999999999999</v>
      </c>
      <c r="D14" s="549">
        <v>1.1339999999999999</v>
      </c>
      <c r="E14" s="550">
        <f t="shared" si="0"/>
        <v>0.95799999999999996</v>
      </c>
      <c r="F14" s="540">
        <f t="shared" si="1"/>
        <v>0.96199999999999997</v>
      </c>
      <c r="G14" s="551">
        <f t="shared" si="2"/>
        <v>0.96299999999999997</v>
      </c>
    </row>
    <row r="15" spans="1:7" ht="14.25">
      <c r="A15" s="546">
        <v>1.3</v>
      </c>
      <c r="B15" s="547">
        <v>1.155</v>
      </c>
      <c r="C15" s="548">
        <v>1.123</v>
      </c>
      <c r="D15" s="549">
        <v>1.1140000000000001</v>
      </c>
      <c r="E15" s="550">
        <f t="shared" si="0"/>
        <v>0.93799999999999994</v>
      </c>
      <c r="F15" s="540">
        <f t="shared" si="1"/>
        <v>0.94399999999999995</v>
      </c>
      <c r="G15" s="551">
        <f t="shared" si="2"/>
        <v>0.94599999999999995</v>
      </c>
    </row>
    <row r="16" spans="1:7" ht="14.25">
      <c r="A16" s="546">
        <v>1.4</v>
      </c>
      <c r="B16" s="547">
        <v>1.131</v>
      </c>
      <c r="C16" s="548">
        <v>1.103</v>
      </c>
      <c r="D16" s="549">
        <v>1.095</v>
      </c>
      <c r="E16" s="550">
        <f t="shared" si="0"/>
        <v>0.91800000000000004</v>
      </c>
      <c r="F16" s="540">
        <f t="shared" si="1"/>
        <v>0.92800000000000005</v>
      </c>
      <c r="G16" s="551">
        <f t="shared" si="2"/>
        <v>0.93</v>
      </c>
    </row>
    <row r="17" spans="1:20" ht="14.25">
      <c r="A17" s="546">
        <v>1.5</v>
      </c>
      <c r="B17" s="547">
        <v>1.107</v>
      </c>
      <c r="C17" s="548">
        <v>1.083</v>
      </c>
      <c r="D17" s="549">
        <v>1.077</v>
      </c>
      <c r="E17" s="550">
        <f t="shared" si="0"/>
        <v>0.89900000000000002</v>
      </c>
      <c r="F17" s="540">
        <f t="shared" si="1"/>
        <v>0.91100000000000003</v>
      </c>
      <c r="G17" s="551">
        <f t="shared" si="2"/>
        <v>0.91500000000000004</v>
      </c>
    </row>
    <row r="18" spans="1:20" ht="14.25">
      <c r="A18" s="546">
        <v>1.6</v>
      </c>
      <c r="B18" s="547">
        <v>1.0840000000000001</v>
      </c>
      <c r="C18" s="548">
        <v>1.0649999999999999</v>
      </c>
      <c r="D18" s="549">
        <v>1.06</v>
      </c>
      <c r="E18" s="550">
        <f t="shared" si="0"/>
        <v>0.88</v>
      </c>
      <c r="F18" s="540">
        <f t="shared" si="1"/>
        <v>0.89600000000000002</v>
      </c>
      <c r="G18" s="551">
        <f t="shared" si="2"/>
        <v>0.90100000000000002</v>
      </c>
    </row>
    <row r="19" spans="1:20" ht="14.25">
      <c r="A19" s="546">
        <v>1.7</v>
      </c>
      <c r="B19" s="547">
        <v>1.0620000000000001</v>
      </c>
      <c r="C19" s="548">
        <v>1.0469999999999999</v>
      </c>
      <c r="D19" s="549">
        <v>1.0429999999999999</v>
      </c>
      <c r="E19" s="550">
        <f t="shared" si="0"/>
        <v>0.86199999999999999</v>
      </c>
      <c r="F19" s="540">
        <f t="shared" si="1"/>
        <v>0.88100000000000001</v>
      </c>
      <c r="G19" s="551">
        <f t="shared" si="2"/>
        <v>0.88600000000000001</v>
      </c>
    </row>
    <row r="20" spans="1:20" ht="14.25">
      <c r="A20" s="546">
        <v>1.8</v>
      </c>
      <c r="B20" s="547">
        <v>1.0409999999999999</v>
      </c>
      <c r="C20" s="548">
        <v>1.0309999999999999</v>
      </c>
      <c r="D20" s="549">
        <v>1.028</v>
      </c>
      <c r="E20" s="550">
        <f t="shared" si="0"/>
        <v>0.84499999999999997</v>
      </c>
      <c r="F20" s="540">
        <f t="shared" si="1"/>
        <v>0.86699999999999999</v>
      </c>
      <c r="G20" s="551">
        <f t="shared" si="2"/>
        <v>0.873</v>
      </c>
    </row>
    <row r="21" spans="1:20" ht="14.25">
      <c r="A21" s="546">
        <v>1.9</v>
      </c>
      <c r="B21" s="547">
        <v>1.02</v>
      </c>
      <c r="C21" s="548">
        <v>1.0149999999999999</v>
      </c>
      <c r="D21" s="549">
        <v>1.014</v>
      </c>
      <c r="E21" s="550">
        <f t="shared" si="0"/>
        <v>0.82799999999999996</v>
      </c>
      <c r="F21" s="540">
        <f t="shared" si="1"/>
        <v>0.85399999999999998</v>
      </c>
      <c r="G21" s="551">
        <f t="shared" si="2"/>
        <v>0.86199999999999999</v>
      </c>
    </row>
    <row r="22" spans="1:20" ht="14.25">
      <c r="A22" s="546">
        <v>2</v>
      </c>
      <c r="B22" s="547">
        <v>1</v>
      </c>
      <c r="C22" s="548">
        <v>1</v>
      </c>
      <c r="D22" s="549">
        <v>1</v>
      </c>
      <c r="E22" s="550">
        <f t="shared" si="0"/>
        <v>0.81200000000000006</v>
      </c>
      <c r="F22" s="540">
        <f t="shared" si="1"/>
        <v>0.84099999999999997</v>
      </c>
      <c r="G22" s="551">
        <f t="shared" si="2"/>
        <v>0.85</v>
      </c>
    </row>
    <row r="23" spans="1:20" ht="14.25">
      <c r="A23" s="552">
        <v>2.1</v>
      </c>
      <c r="B23" s="553">
        <v>0.98</v>
      </c>
      <c r="C23" s="548">
        <v>0.98599999999999999</v>
      </c>
      <c r="D23" s="549">
        <v>0.98799999999999999</v>
      </c>
      <c r="E23" s="550">
        <f t="shared" si="0"/>
        <v>0.79500000000000004</v>
      </c>
      <c r="F23" s="540">
        <f t="shared" si="1"/>
        <v>0.82899999999999996</v>
      </c>
      <c r="G23" s="551">
        <f t="shared" si="2"/>
        <v>0.83899999999999997</v>
      </c>
      <c r="H23" s="554"/>
      <c r="I23" s="555"/>
      <c r="J23" s="555"/>
      <c r="K23" s="554"/>
      <c r="L23" s="554"/>
      <c r="M23" s="554"/>
      <c r="N23" s="554"/>
      <c r="O23" s="554"/>
      <c r="P23" s="554"/>
      <c r="Q23" s="555"/>
      <c r="R23" s="555"/>
      <c r="S23" s="554"/>
      <c r="T23" s="554"/>
    </row>
    <row r="24" spans="1:20" ht="14.25">
      <c r="A24" s="552">
        <v>2.2000000000000002</v>
      </c>
      <c r="B24" s="553">
        <v>0.96199999999999997</v>
      </c>
      <c r="C24" s="548">
        <v>0.97299999999999998</v>
      </c>
      <c r="D24" s="549">
        <v>0.97599999999999998</v>
      </c>
      <c r="E24" s="550">
        <f t="shared" si="0"/>
        <v>0.78100000000000003</v>
      </c>
      <c r="F24" s="540">
        <f t="shared" si="1"/>
        <v>0.81799999999999995</v>
      </c>
      <c r="G24" s="551">
        <f t="shared" si="2"/>
        <v>0.82899999999999996</v>
      </c>
      <c r="H24" s="554"/>
      <c r="I24" s="555"/>
      <c r="J24" s="555"/>
      <c r="K24" s="554"/>
      <c r="L24" s="554"/>
      <c r="M24" s="554"/>
      <c r="N24" s="554"/>
      <c r="O24" s="554"/>
      <c r="P24" s="554"/>
      <c r="Q24" s="555"/>
      <c r="R24" s="555"/>
      <c r="S24" s="554"/>
      <c r="T24" s="554"/>
    </row>
    <row r="25" spans="1:20" ht="14.25">
      <c r="A25" s="552">
        <v>2.2999999999999998</v>
      </c>
      <c r="B25" s="553">
        <v>0.94399999999999995</v>
      </c>
      <c r="C25" s="548">
        <v>0.96099999999999997</v>
      </c>
      <c r="D25" s="549">
        <v>0.96599999999999997</v>
      </c>
      <c r="E25" s="550">
        <f t="shared" si="0"/>
        <v>0.76600000000000001</v>
      </c>
      <c r="F25" s="540">
        <f t="shared" si="1"/>
        <v>0.80800000000000005</v>
      </c>
      <c r="G25" s="551">
        <f t="shared" si="2"/>
        <v>0.82099999999999995</v>
      </c>
      <c r="H25" s="554"/>
      <c r="I25" s="555"/>
      <c r="J25" s="555"/>
      <c r="K25" s="554"/>
      <c r="L25" s="554"/>
      <c r="M25" s="554"/>
      <c r="N25" s="554"/>
      <c r="O25" s="554"/>
      <c r="P25" s="554"/>
      <c r="Q25" s="555"/>
      <c r="R25" s="555"/>
      <c r="S25" s="554"/>
      <c r="T25" s="554"/>
    </row>
    <row r="26" spans="1:20" ht="14.25">
      <c r="A26" s="552">
        <v>2.4</v>
      </c>
      <c r="B26" s="553">
        <v>0.92600000000000005</v>
      </c>
      <c r="C26" s="548">
        <v>0.95</v>
      </c>
      <c r="D26" s="549">
        <v>0.95599999999999996</v>
      </c>
      <c r="E26" s="550">
        <f t="shared" si="0"/>
        <v>0.752</v>
      </c>
      <c r="F26" s="540">
        <f t="shared" si="1"/>
        <v>0.79900000000000004</v>
      </c>
      <c r="G26" s="551">
        <f t="shared" si="2"/>
        <v>0.81200000000000006</v>
      </c>
      <c r="H26" s="554"/>
      <c r="I26" s="555"/>
      <c r="J26" s="555"/>
      <c r="K26" s="554"/>
      <c r="L26" s="554"/>
      <c r="M26" s="554"/>
      <c r="N26" s="554"/>
      <c r="O26" s="554"/>
      <c r="P26" s="554"/>
      <c r="Q26" s="555"/>
      <c r="R26" s="555"/>
      <c r="S26" s="554"/>
      <c r="T26" s="554"/>
    </row>
    <row r="27" spans="1:20" ht="14.25">
      <c r="A27" s="552">
        <v>2.5</v>
      </c>
      <c r="B27" s="553">
        <v>0.91</v>
      </c>
      <c r="C27" s="548">
        <v>0.94</v>
      </c>
      <c r="D27" s="549">
        <v>0.94699999999999995</v>
      </c>
      <c r="E27" s="550">
        <f t="shared" si="0"/>
        <v>0.73899999999999999</v>
      </c>
      <c r="F27" s="540">
        <f t="shared" si="1"/>
        <v>0.79100000000000004</v>
      </c>
      <c r="G27" s="551">
        <f t="shared" si="2"/>
        <v>0.80500000000000005</v>
      </c>
      <c r="H27" s="554"/>
      <c r="I27" s="555"/>
      <c r="J27" s="555"/>
      <c r="K27" s="554"/>
      <c r="L27" s="554"/>
      <c r="M27" s="554"/>
      <c r="N27" s="554"/>
      <c r="O27" s="554"/>
      <c r="P27" s="554"/>
      <c r="Q27" s="555"/>
      <c r="R27" s="555"/>
      <c r="S27" s="554"/>
      <c r="T27" s="554"/>
    </row>
    <row r="28" spans="1:20" ht="14.25">
      <c r="A28" s="552">
        <v>2.6</v>
      </c>
      <c r="B28" s="553">
        <v>0.89400000000000002</v>
      </c>
      <c r="C28" s="548">
        <v>0.93100000000000005</v>
      </c>
      <c r="D28" s="549">
        <v>0.94</v>
      </c>
      <c r="E28" s="550">
        <f t="shared" si="0"/>
        <v>0.72599999999999998</v>
      </c>
      <c r="F28" s="540">
        <f t="shared" si="1"/>
        <v>0.78300000000000003</v>
      </c>
      <c r="G28" s="551">
        <f t="shared" si="2"/>
        <v>0.79900000000000004</v>
      </c>
      <c r="H28" s="554"/>
      <c r="I28" s="555"/>
      <c r="J28" s="555"/>
      <c r="K28" s="554"/>
      <c r="L28" s="554"/>
      <c r="M28" s="554"/>
      <c r="N28" s="554"/>
      <c r="O28" s="554"/>
      <c r="P28" s="554"/>
      <c r="Q28" s="555"/>
      <c r="R28" s="555"/>
      <c r="S28" s="554"/>
      <c r="T28" s="554"/>
    </row>
    <row r="29" spans="1:20" ht="14.25">
      <c r="A29" s="552">
        <v>2.7</v>
      </c>
      <c r="B29" s="553">
        <v>0.879</v>
      </c>
      <c r="C29" s="548">
        <v>0.92200000000000004</v>
      </c>
      <c r="D29" s="549">
        <v>0.93300000000000005</v>
      </c>
      <c r="E29" s="550">
        <f t="shared" si="0"/>
        <v>0.71299999999999997</v>
      </c>
      <c r="F29" s="540">
        <f t="shared" si="1"/>
        <v>0.77500000000000002</v>
      </c>
      <c r="G29" s="551">
        <f t="shared" si="2"/>
        <v>0.79300000000000004</v>
      </c>
      <c r="H29" s="554"/>
      <c r="I29" s="555"/>
      <c r="J29" s="555"/>
      <c r="K29" s="554"/>
      <c r="L29" s="554"/>
      <c r="M29" s="554"/>
      <c r="N29" s="554"/>
      <c r="O29" s="554"/>
      <c r="P29" s="554"/>
      <c r="Q29" s="555"/>
      <c r="R29" s="555"/>
      <c r="S29" s="554"/>
      <c r="T29" s="554"/>
    </row>
    <row r="30" spans="1:20" ht="14.25">
      <c r="A30" s="552">
        <v>2.8</v>
      </c>
      <c r="B30" s="553">
        <v>0.86399999999999999</v>
      </c>
      <c r="C30" s="548">
        <v>0.91500000000000004</v>
      </c>
      <c r="D30" s="549">
        <v>0.92700000000000005</v>
      </c>
      <c r="E30" s="550">
        <f t="shared" si="0"/>
        <v>0.70099999999999996</v>
      </c>
      <c r="F30" s="540">
        <f t="shared" si="1"/>
        <v>0.77</v>
      </c>
      <c r="G30" s="551">
        <f t="shared" si="2"/>
        <v>0.78800000000000003</v>
      </c>
      <c r="H30" s="554"/>
      <c r="I30" s="555"/>
      <c r="J30" s="555"/>
      <c r="K30" s="554"/>
      <c r="L30" s="554"/>
      <c r="M30" s="554"/>
      <c r="N30" s="554"/>
      <c r="O30" s="554"/>
      <c r="P30" s="554"/>
      <c r="Q30" s="555"/>
      <c r="R30" s="555"/>
      <c r="S30" s="554"/>
      <c r="T30" s="554"/>
    </row>
    <row r="31" spans="1:20" ht="14.25">
      <c r="A31" s="552">
        <v>2.9</v>
      </c>
      <c r="B31" s="553">
        <v>0.85</v>
      </c>
      <c r="C31" s="548">
        <v>0.90800000000000003</v>
      </c>
      <c r="D31" s="549">
        <v>0.92200000000000004</v>
      </c>
      <c r="E31" s="550">
        <f t="shared" si="0"/>
        <v>0.69</v>
      </c>
      <c r="F31" s="540">
        <f t="shared" si="1"/>
        <v>0.76400000000000001</v>
      </c>
      <c r="G31" s="551">
        <f t="shared" si="2"/>
        <v>0.78300000000000003</v>
      </c>
      <c r="H31" s="554"/>
      <c r="I31" s="555"/>
      <c r="J31" s="555"/>
      <c r="K31" s="554"/>
      <c r="L31" s="554"/>
      <c r="M31" s="554"/>
      <c r="N31" s="554"/>
      <c r="O31" s="554"/>
      <c r="P31" s="554"/>
      <c r="Q31" s="555"/>
      <c r="R31" s="555"/>
      <c r="S31" s="554"/>
      <c r="T31" s="554"/>
    </row>
    <row r="32" spans="1:20" ht="14.25">
      <c r="A32" s="552">
        <v>3</v>
      </c>
      <c r="B32" s="553">
        <v>0.83699999999999997</v>
      </c>
      <c r="C32" s="548">
        <v>0.90300000000000002</v>
      </c>
      <c r="D32" s="549">
        <v>0.91800000000000004</v>
      </c>
      <c r="E32" s="550">
        <f t="shared" si="0"/>
        <v>0.67900000000000005</v>
      </c>
      <c r="F32" s="540">
        <f t="shared" si="1"/>
        <v>0.75900000000000001</v>
      </c>
      <c r="G32" s="551">
        <f t="shared" si="2"/>
        <v>0.78</v>
      </c>
      <c r="H32" s="554"/>
      <c r="I32" s="555"/>
      <c r="J32" s="555"/>
      <c r="K32" s="554"/>
      <c r="L32" s="554"/>
      <c r="M32" s="554"/>
      <c r="N32" s="554"/>
      <c r="O32" s="554"/>
      <c r="P32" s="554"/>
      <c r="Q32" s="555"/>
      <c r="R32" s="555"/>
      <c r="S32" s="554"/>
      <c r="T32" s="554"/>
    </row>
    <row r="33" spans="1:20" ht="14.25">
      <c r="A33" s="552">
        <v>3.1</v>
      </c>
      <c r="B33" s="553">
        <v>0.82499999999999996</v>
      </c>
      <c r="C33" s="548">
        <v>0.89800000000000002</v>
      </c>
      <c r="D33" s="549">
        <v>0.91500000000000004</v>
      </c>
      <c r="E33" s="550">
        <f t="shared" si="0"/>
        <v>0.67</v>
      </c>
      <c r="F33" s="540">
        <f t="shared" si="1"/>
        <v>0.755</v>
      </c>
      <c r="G33" s="551">
        <f t="shared" si="2"/>
        <v>0.77700000000000002</v>
      </c>
      <c r="H33" s="554"/>
      <c r="I33" s="555"/>
      <c r="J33" s="555"/>
      <c r="K33" s="554"/>
      <c r="L33" s="554"/>
      <c r="M33" s="554"/>
      <c r="N33" s="554"/>
      <c r="O33" s="554"/>
      <c r="P33" s="554"/>
      <c r="Q33" s="555"/>
      <c r="R33" s="555"/>
      <c r="S33" s="554"/>
      <c r="T33" s="554"/>
    </row>
    <row r="34" spans="1:20" ht="14.25">
      <c r="A34" s="552">
        <v>3.2</v>
      </c>
      <c r="B34" s="553">
        <v>0.81299999999999994</v>
      </c>
      <c r="C34" s="548">
        <v>0.89400000000000002</v>
      </c>
      <c r="D34" s="549">
        <v>0.91300000000000003</v>
      </c>
      <c r="E34" s="550">
        <f t="shared" si="0"/>
        <v>0.66</v>
      </c>
      <c r="F34" s="540">
        <f t="shared" si="1"/>
        <v>0.752</v>
      </c>
      <c r="G34" s="551">
        <f t="shared" si="2"/>
        <v>0.77600000000000002</v>
      </c>
      <c r="H34" s="554"/>
      <c r="I34" s="555"/>
      <c r="J34" s="555"/>
      <c r="K34" s="554"/>
      <c r="L34" s="554"/>
      <c r="M34" s="554"/>
      <c r="N34" s="554"/>
      <c r="O34" s="554"/>
      <c r="P34" s="554"/>
      <c r="Q34" s="555"/>
      <c r="R34" s="555"/>
      <c r="S34" s="554"/>
      <c r="T34" s="554"/>
    </row>
    <row r="35" spans="1:20" ht="14.25">
      <c r="A35" s="552">
        <v>3.3</v>
      </c>
      <c r="B35" s="553">
        <v>0.80200000000000005</v>
      </c>
      <c r="C35" s="548">
        <v>0.89100000000000001</v>
      </c>
      <c r="D35" s="549">
        <v>0.91200000000000003</v>
      </c>
      <c r="E35" s="550">
        <f t="shared" si="0"/>
        <v>0.65100000000000002</v>
      </c>
      <c r="F35" s="540">
        <f t="shared" si="1"/>
        <v>0.749</v>
      </c>
      <c r="G35" s="551">
        <f t="shared" si="2"/>
        <v>0.77500000000000002</v>
      </c>
      <c r="H35" s="554"/>
      <c r="I35" s="555"/>
      <c r="J35" s="555"/>
      <c r="K35" s="554"/>
      <c r="L35" s="554"/>
      <c r="M35" s="554"/>
      <c r="N35" s="554"/>
      <c r="O35" s="554"/>
      <c r="P35" s="554"/>
      <c r="Q35" s="555"/>
      <c r="R35" s="555"/>
      <c r="S35" s="554"/>
      <c r="T35" s="554"/>
    </row>
    <row r="36" spans="1:20" ht="14.25">
      <c r="A36" s="552">
        <v>3.4</v>
      </c>
      <c r="B36" s="553">
        <v>0.79100000000000004</v>
      </c>
      <c r="C36" s="548">
        <v>0.88900000000000001</v>
      </c>
      <c r="D36" s="549">
        <v>0.91200000000000003</v>
      </c>
      <c r="E36" s="550">
        <f t="shared" si="0"/>
        <v>0.64200000000000002</v>
      </c>
      <c r="F36" s="540">
        <f t="shared" si="1"/>
        <v>0.748</v>
      </c>
      <c r="G36" s="551">
        <f t="shared" si="2"/>
        <v>0.77500000000000002</v>
      </c>
      <c r="H36" s="554"/>
      <c r="I36" s="555"/>
      <c r="J36" s="555"/>
      <c r="K36" s="554"/>
      <c r="L36" s="554"/>
      <c r="M36" s="554"/>
      <c r="N36" s="554"/>
      <c r="O36" s="554"/>
      <c r="P36" s="554"/>
      <c r="Q36" s="555"/>
      <c r="R36" s="555"/>
      <c r="S36" s="554"/>
      <c r="T36" s="554"/>
    </row>
    <row r="37" spans="1:20" ht="14.25">
      <c r="A37" s="552">
        <v>3.5</v>
      </c>
      <c r="B37" s="553">
        <v>0.78200000000000003</v>
      </c>
      <c r="C37" s="548">
        <v>0.88800000000000001</v>
      </c>
      <c r="D37" s="549">
        <v>0.91200000000000003</v>
      </c>
      <c r="E37" s="550">
        <f t="shared" si="0"/>
        <v>0.63500000000000001</v>
      </c>
      <c r="F37" s="540">
        <f t="shared" si="1"/>
        <v>0.747</v>
      </c>
      <c r="G37" s="551">
        <f t="shared" si="2"/>
        <v>0.77500000000000002</v>
      </c>
      <c r="H37" s="554"/>
      <c r="I37" s="555"/>
      <c r="J37" s="555"/>
      <c r="K37" s="554"/>
      <c r="L37" s="554"/>
      <c r="M37" s="554"/>
      <c r="N37" s="554"/>
      <c r="O37" s="554"/>
      <c r="P37" s="554"/>
      <c r="Q37" s="555"/>
      <c r="R37" s="555"/>
      <c r="S37" s="554"/>
      <c r="T37" s="554"/>
    </row>
    <row r="38" spans="1:20" ht="14.25">
      <c r="A38" s="552">
        <v>3.6</v>
      </c>
      <c r="B38" s="553">
        <v>0.77300000000000002</v>
      </c>
      <c r="C38" s="548">
        <v>0.88800000000000001</v>
      </c>
      <c r="D38" s="549">
        <v>0.91400000000000003</v>
      </c>
      <c r="E38" s="550">
        <f t="shared" si="0"/>
        <v>0.627</v>
      </c>
      <c r="F38" s="540">
        <f t="shared" si="1"/>
        <v>0.747</v>
      </c>
      <c r="G38" s="551">
        <f t="shared" si="2"/>
        <v>0.77700000000000002</v>
      </c>
      <c r="H38" s="554"/>
      <c r="I38" s="555"/>
      <c r="J38" s="555"/>
      <c r="K38" s="554"/>
      <c r="L38" s="554"/>
      <c r="M38" s="554"/>
      <c r="N38" s="554"/>
      <c r="O38" s="554"/>
      <c r="P38" s="554"/>
      <c r="Q38" s="555"/>
      <c r="R38" s="555"/>
      <c r="S38" s="554"/>
      <c r="T38" s="554"/>
    </row>
    <row r="39" spans="1:20" ht="14.25">
      <c r="A39" s="552">
        <v>3.7</v>
      </c>
      <c r="B39" s="553">
        <v>0.76400000000000001</v>
      </c>
      <c r="C39" s="548">
        <v>0.88900000000000001</v>
      </c>
      <c r="D39" s="549">
        <v>0.91700000000000004</v>
      </c>
      <c r="E39" s="550">
        <f t="shared" si="0"/>
        <v>0.62</v>
      </c>
      <c r="F39" s="540">
        <f t="shared" si="1"/>
        <v>0.748</v>
      </c>
      <c r="G39" s="551">
        <f t="shared" si="2"/>
        <v>0.77900000000000003</v>
      </c>
      <c r="H39" s="554"/>
      <c r="I39" s="555"/>
      <c r="J39" s="555"/>
      <c r="K39" s="554"/>
      <c r="L39" s="554"/>
      <c r="M39" s="554"/>
      <c r="N39" s="554"/>
      <c r="O39" s="554"/>
      <c r="P39" s="554"/>
      <c r="Q39" s="555"/>
      <c r="R39" s="555"/>
      <c r="S39" s="554"/>
      <c r="T39" s="554"/>
    </row>
    <row r="40" spans="1:20" ht="14.25">
      <c r="A40" s="552">
        <v>3.8</v>
      </c>
      <c r="B40" s="553">
        <v>0.75700000000000001</v>
      </c>
      <c r="C40" s="548">
        <v>0.89</v>
      </c>
      <c r="D40" s="549">
        <v>0.92</v>
      </c>
      <c r="E40" s="550">
        <f t="shared" si="0"/>
        <v>0.61399999999999999</v>
      </c>
      <c r="F40" s="540">
        <f t="shared" si="1"/>
        <v>0.749</v>
      </c>
      <c r="G40" s="551">
        <f t="shared" si="2"/>
        <v>0.78200000000000003</v>
      </c>
      <c r="H40" s="554"/>
      <c r="I40" s="555"/>
      <c r="J40" s="555"/>
      <c r="K40" s="554"/>
      <c r="L40" s="554"/>
      <c r="M40" s="554"/>
      <c r="N40" s="554"/>
      <c r="O40" s="554"/>
      <c r="P40" s="554"/>
      <c r="Q40" s="555"/>
      <c r="R40" s="555"/>
      <c r="S40" s="554"/>
      <c r="T40" s="554"/>
    </row>
    <row r="41" spans="1:20" ht="14.25">
      <c r="A41" s="552">
        <v>3.9</v>
      </c>
      <c r="B41" s="553">
        <v>0.75</v>
      </c>
      <c r="C41" s="548">
        <v>0.89300000000000002</v>
      </c>
      <c r="D41" s="549">
        <v>0.92500000000000004</v>
      </c>
      <c r="E41" s="550">
        <f t="shared" si="0"/>
        <v>0.60899999999999999</v>
      </c>
      <c r="F41" s="540">
        <f t="shared" si="1"/>
        <v>0.751</v>
      </c>
      <c r="G41" s="551">
        <f t="shared" si="2"/>
        <v>0.78600000000000003</v>
      </c>
      <c r="H41" s="554"/>
      <c r="I41" s="555"/>
      <c r="J41" s="555"/>
      <c r="K41" s="554"/>
      <c r="L41" s="554"/>
      <c r="M41" s="554"/>
      <c r="N41" s="554"/>
      <c r="O41" s="554"/>
      <c r="P41" s="554"/>
      <c r="Q41" s="555"/>
      <c r="R41" s="555"/>
      <c r="S41" s="554"/>
      <c r="T41" s="554"/>
    </row>
    <row r="42" spans="1:20" ht="14.25">
      <c r="A42" s="552">
        <v>4</v>
      </c>
      <c r="B42" s="553">
        <v>0.74299999999999999</v>
      </c>
      <c r="C42" s="548">
        <v>0.89600000000000002</v>
      </c>
      <c r="D42" s="549">
        <v>0.93100000000000005</v>
      </c>
      <c r="E42" s="550">
        <f t="shared" si="0"/>
        <v>0.60299999999999998</v>
      </c>
      <c r="F42" s="540">
        <f t="shared" si="1"/>
        <v>0.754</v>
      </c>
      <c r="G42" s="551">
        <f t="shared" si="2"/>
        <v>0.79100000000000004</v>
      </c>
      <c r="H42" s="554"/>
      <c r="I42" s="555"/>
      <c r="J42" s="555"/>
      <c r="K42" s="554"/>
      <c r="L42" s="554"/>
      <c r="M42" s="554"/>
      <c r="N42" s="554"/>
      <c r="O42" s="554"/>
      <c r="P42" s="554"/>
      <c r="Q42" s="555"/>
      <c r="R42" s="555"/>
      <c r="S42" s="554"/>
      <c r="T42" s="554"/>
    </row>
    <row r="43" spans="1:20" ht="14.25">
      <c r="A43" s="546">
        <v>4.0999999999999996</v>
      </c>
      <c r="B43" s="547">
        <v>0.73899999999999999</v>
      </c>
      <c r="C43" s="548">
        <v>0.89300000000000002</v>
      </c>
      <c r="D43" s="549">
        <v>0.92800000000000005</v>
      </c>
      <c r="E43" s="550">
        <f t="shared" si="0"/>
        <v>0.6</v>
      </c>
      <c r="F43" s="540">
        <f t="shared" si="1"/>
        <v>0.751</v>
      </c>
      <c r="G43" s="551">
        <f t="shared" si="2"/>
        <v>0.78800000000000003</v>
      </c>
      <c r="H43" s="554"/>
      <c r="I43" s="555"/>
      <c r="J43" s="555"/>
      <c r="K43" s="554"/>
      <c r="L43" s="554"/>
      <c r="M43" s="554"/>
      <c r="N43" s="554"/>
      <c r="O43" s="554"/>
      <c r="P43" s="554"/>
      <c r="Q43" s="555"/>
      <c r="R43" s="555"/>
      <c r="S43" s="554"/>
      <c r="T43" s="554"/>
    </row>
    <row r="44" spans="1:20" ht="14.25">
      <c r="A44" s="546">
        <v>4.2</v>
      </c>
      <c r="B44" s="547">
        <v>0.73499999999999999</v>
      </c>
      <c r="C44" s="548">
        <v>0.89</v>
      </c>
      <c r="D44" s="549">
        <v>0.92600000000000005</v>
      </c>
      <c r="E44" s="550">
        <f t="shared" si="0"/>
        <v>0.59699999999999998</v>
      </c>
      <c r="F44" s="540">
        <f t="shared" si="1"/>
        <v>0.749</v>
      </c>
      <c r="G44" s="551">
        <f t="shared" si="2"/>
        <v>0.78700000000000003</v>
      </c>
      <c r="H44" s="554"/>
      <c r="I44" s="555"/>
      <c r="J44" s="555"/>
      <c r="K44" s="554"/>
      <c r="L44" s="554"/>
      <c r="M44" s="554"/>
      <c r="N44" s="554"/>
      <c r="O44" s="554"/>
      <c r="P44" s="554"/>
      <c r="Q44" s="555"/>
      <c r="R44" s="555"/>
      <c r="S44" s="554"/>
      <c r="T44" s="554"/>
    </row>
    <row r="45" spans="1:20" ht="14.25">
      <c r="A45" s="546">
        <v>4.3</v>
      </c>
      <c r="B45" s="547">
        <v>0.73199999999999998</v>
      </c>
      <c r="C45" s="548">
        <v>0.88700000000000001</v>
      </c>
      <c r="D45" s="549">
        <v>0.92400000000000004</v>
      </c>
      <c r="E45" s="550">
        <f t="shared" si="0"/>
        <v>0.59399999999999997</v>
      </c>
      <c r="F45" s="540">
        <f t="shared" si="1"/>
        <v>0.746</v>
      </c>
      <c r="G45" s="551">
        <f t="shared" si="2"/>
        <v>0.78500000000000003</v>
      </c>
      <c r="H45" s="554"/>
      <c r="I45" s="555"/>
      <c r="J45" s="555"/>
      <c r="K45" s="554"/>
      <c r="L45" s="554"/>
      <c r="M45" s="554"/>
      <c r="N45" s="554"/>
      <c r="O45" s="554"/>
      <c r="P45" s="554"/>
      <c r="Q45" s="555"/>
      <c r="R45" s="555"/>
      <c r="S45" s="554"/>
      <c r="T45" s="554"/>
    </row>
    <row r="46" spans="1:20" ht="14.25">
      <c r="A46" s="546">
        <v>4.4000000000000004</v>
      </c>
      <c r="B46" s="547">
        <v>0.72799999999999998</v>
      </c>
      <c r="C46" s="548">
        <v>0.88500000000000001</v>
      </c>
      <c r="D46" s="549">
        <v>0.92200000000000004</v>
      </c>
      <c r="E46" s="550">
        <f t="shared" si="0"/>
        <v>0.59099999999999997</v>
      </c>
      <c r="F46" s="540">
        <f t="shared" si="1"/>
        <v>0.74399999999999999</v>
      </c>
      <c r="G46" s="551">
        <f t="shared" si="2"/>
        <v>0.78300000000000003</v>
      </c>
      <c r="H46" s="554"/>
      <c r="I46" s="555"/>
      <c r="J46" s="555"/>
      <c r="K46" s="554"/>
      <c r="L46" s="554"/>
      <c r="M46" s="554"/>
      <c r="N46" s="554"/>
      <c r="O46" s="554"/>
      <c r="P46" s="554"/>
      <c r="Q46" s="555"/>
      <c r="R46" s="555"/>
      <c r="S46" s="554"/>
      <c r="T46" s="554"/>
    </row>
    <row r="47" spans="1:20" ht="14.25">
      <c r="A47" s="546">
        <v>4.5</v>
      </c>
      <c r="B47" s="547">
        <v>0.72399999999999998</v>
      </c>
      <c r="C47" s="548">
        <v>0.88200000000000001</v>
      </c>
      <c r="D47" s="549">
        <v>0.91900000000000004</v>
      </c>
      <c r="E47" s="550">
        <f t="shared" si="0"/>
        <v>0.58799999999999997</v>
      </c>
      <c r="F47" s="540">
        <f t="shared" si="1"/>
        <v>0.74199999999999999</v>
      </c>
      <c r="G47" s="551">
        <f t="shared" si="2"/>
        <v>0.78100000000000003</v>
      </c>
      <c r="H47" s="554"/>
      <c r="I47" s="555"/>
      <c r="J47" s="555"/>
      <c r="K47" s="554"/>
      <c r="L47" s="554"/>
      <c r="M47" s="554"/>
      <c r="N47" s="554"/>
      <c r="O47" s="554"/>
      <c r="P47" s="554"/>
      <c r="Q47" s="555"/>
      <c r="R47" s="555"/>
      <c r="S47" s="554"/>
      <c r="T47" s="554"/>
    </row>
    <row r="48" spans="1:20" ht="14.25">
      <c r="A48" s="546">
        <v>4.5999999999999996</v>
      </c>
      <c r="B48" s="547">
        <v>0.72</v>
      </c>
      <c r="C48" s="548">
        <v>0.879</v>
      </c>
      <c r="D48" s="549">
        <v>0.91700000000000004</v>
      </c>
      <c r="E48" s="550">
        <f t="shared" si="0"/>
        <v>0.58399999999999996</v>
      </c>
      <c r="F48" s="540">
        <f t="shared" si="1"/>
        <v>0.73899999999999999</v>
      </c>
      <c r="G48" s="551">
        <f t="shared" si="2"/>
        <v>0.77900000000000003</v>
      </c>
      <c r="H48" s="554"/>
      <c r="I48" s="555"/>
      <c r="J48" s="555"/>
      <c r="K48" s="554"/>
      <c r="L48" s="554"/>
      <c r="M48" s="554"/>
      <c r="N48" s="554"/>
      <c r="O48" s="554"/>
      <c r="P48" s="554"/>
      <c r="Q48" s="555"/>
      <c r="R48" s="555"/>
      <c r="S48" s="554"/>
      <c r="T48" s="554"/>
    </row>
    <row r="49" spans="1:20" ht="14.25">
      <c r="A49" s="546">
        <v>4.7</v>
      </c>
      <c r="B49" s="547">
        <v>0.71699999999999997</v>
      </c>
      <c r="C49" s="548">
        <v>0.876</v>
      </c>
      <c r="D49" s="549">
        <v>0.91500000000000004</v>
      </c>
      <c r="E49" s="550">
        <f t="shared" si="0"/>
        <v>0.58199999999999996</v>
      </c>
      <c r="F49" s="540">
        <f t="shared" si="1"/>
        <v>0.73699999999999999</v>
      </c>
      <c r="G49" s="551">
        <f t="shared" si="2"/>
        <v>0.77700000000000002</v>
      </c>
      <c r="H49" s="554"/>
      <c r="I49" s="555"/>
      <c r="J49" s="555"/>
      <c r="K49" s="554"/>
      <c r="L49" s="554"/>
      <c r="M49" s="554"/>
      <c r="N49" s="554"/>
      <c r="O49" s="554"/>
      <c r="P49" s="554"/>
      <c r="Q49" s="555"/>
      <c r="R49" s="555"/>
      <c r="S49" s="554"/>
      <c r="T49" s="554"/>
    </row>
    <row r="50" spans="1:20" ht="14.25">
      <c r="A50" s="546">
        <v>4.8</v>
      </c>
      <c r="B50" s="547">
        <v>0.71299999999999997</v>
      </c>
      <c r="C50" s="548">
        <v>0.874</v>
      </c>
      <c r="D50" s="549">
        <v>0.91300000000000003</v>
      </c>
      <c r="E50" s="550">
        <f t="shared" si="0"/>
        <v>0.57899999999999996</v>
      </c>
      <c r="F50" s="540">
        <f t="shared" si="1"/>
        <v>0.73499999999999999</v>
      </c>
      <c r="G50" s="551">
        <f t="shared" si="2"/>
        <v>0.77600000000000002</v>
      </c>
      <c r="H50" s="554"/>
      <c r="I50" s="555"/>
      <c r="J50" s="555"/>
      <c r="K50" s="554"/>
      <c r="L50" s="554"/>
      <c r="M50" s="554"/>
      <c r="N50" s="554"/>
      <c r="O50" s="554"/>
      <c r="P50" s="554"/>
      <c r="Q50" s="555"/>
      <c r="R50" s="555"/>
      <c r="S50" s="554"/>
      <c r="T50" s="554"/>
    </row>
    <row r="51" spans="1:20" ht="14.25">
      <c r="A51" s="546">
        <v>4.9000000000000004</v>
      </c>
      <c r="B51" s="547">
        <v>0.70899999999999996</v>
      </c>
      <c r="C51" s="548">
        <v>0.871</v>
      </c>
      <c r="D51" s="549">
        <v>0.91100000000000003</v>
      </c>
      <c r="E51" s="550">
        <f t="shared" si="0"/>
        <v>0.57499999999999996</v>
      </c>
      <c r="F51" s="540">
        <f t="shared" si="1"/>
        <v>0.73299999999999998</v>
      </c>
      <c r="G51" s="551">
        <f t="shared" si="2"/>
        <v>0.77400000000000002</v>
      </c>
      <c r="H51" s="554"/>
      <c r="I51" s="555"/>
      <c r="J51" s="555"/>
      <c r="K51" s="554"/>
      <c r="L51" s="554"/>
      <c r="M51" s="554"/>
      <c r="N51" s="554"/>
      <c r="O51" s="554"/>
      <c r="P51" s="554"/>
      <c r="Q51" s="555"/>
      <c r="R51" s="555"/>
      <c r="S51" s="554"/>
      <c r="T51" s="554"/>
    </row>
    <row r="52" spans="1:20" ht="14.25">
      <c r="A52" s="546">
        <v>5</v>
      </c>
      <c r="B52" s="547">
        <v>0.70599999999999996</v>
      </c>
      <c r="C52" s="548">
        <v>0.86799999999999999</v>
      </c>
      <c r="D52" s="549">
        <v>0.90900000000000003</v>
      </c>
      <c r="E52" s="550">
        <f t="shared" si="0"/>
        <v>0.57299999999999995</v>
      </c>
      <c r="F52" s="540">
        <f t="shared" si="1"/>
        <v>0.73</v>
      </c>
      <c r="G52" s="551">
        <f t="shared" si="2"/>
        <v>0.77200000000000002</v>
      </c>
      <c r="H52" s="554"/>
      <c r="I52" s="555"/>
      <c r="J52" s="555"/>
      <c r="K52" s="554"/>
      <c r="L52" s="554"/>
      <c r="M52" s="554"/>
      <c r="N52" s="554"/>
      <c r="O52" s="554"/>
      <c r="P52" s="554"/>
      <c r="Q52" s="555"/>
      <c r="R52" s="555"/>
      <c r="S52" s="554"/>
      <c r="T52" s="554"/>
    </row>
    <row r="53" spans="1:20" ht="14.25">
      <c r="A53" s="546">
        <v>5.0999999999999996</v>
      </c>
      <c r="B53" s="547">
        <v>0.70199999999999996</v>
      </c>
      <c r="C53" s="548">
        <v>0.86499999999999999</v>
      </c>
      <c r="D53" s="549">
        <v>0.90600000000000003</v>
      </c>
      <c r="E53" s="550">
        <f t="shared" si="0"/>
        <v>0.56999999999999995</v>
      </c>
      <c r="F53" s="540">
        <f t="shared" si="1"/>
        <v>0.72799999999999998</v>
      </c>
      <c r="G53" s="551">
        <f t="shared" si="2"/>
        <v>0.77</v>
      </c>
      <c r="H53" s="554"/>
      <c r="I53" s="555"/>
      <c r="J53" s="555"/>
      <c r="K53" s="554"/>
      <c r="L53" s="554"/>
      <c r="M53" s="554"/>
      <c r="N53" s="554"/>
      <c r="O53" s="554"/>
      <c r="P53" s="554"/>
      <c r="Q53" s="555"/>
      <c r="R53" s="555"/>
      <c r="S53" s="554"/>
      <c r="T53" s="554"/>
    </row>
    <row r="54" spans="1:20" ht="14.25">
      <c r="A54" s="546">
        <v>5.2</v>
      </c>
      <c r="B54" s="547">
        <v>0.69799999999999995</v>
      </c>
      <c r="C54" s="548">
        <v>0.86199999999999999</v>
      </c>
      <c r="D54" s="549">
        <v>0.90400000000000003</v>
      </c>
      <c r="E54" s="550">
        <f t="shared" si="0"/>
        <v>0.56699999999999995</v>
      </c>
      <c r="F54" s="540">
        <f t="shared" si="1"/>
        <v>0.72499999999999998</v>
      </c>
      <c r="G54" s="551">
        <f t="shared" si="2"/>
        <v>0.76800000000000002</v>
      </c>
      <c r="H54" s="554"/>
      <c r="I54" s="555"/>
      <c r="J54" s="555"/>
      <c r="K54" s="554"/>
      <c r="L54" s="554"/>
      <c r="M54" s="554"/>
      <c r="N54" s="554"/>
      <c r="O54" s="554"/>
      <c r="P54" s="554"/>
      <c r="Q54" s="555"/>
      <c r="R54" s="555"/>
      <c r="S54" s="554"/>
      <c r="T54" s="554"/>
    </row>
    <row r="55" spans="1:20" ht="14.25">
      <c r="A55" s="546">
        <v>5.3</v>
      </c>
      <c r="B55" s="547">
        <v>0.69399999999999995</v>
      </c>
      <c r="C55" s="548">
        <v>0.86</v>
      </c>
      <c r="D55" s="549">
        <v>0.90200000000000002</v>
      </c>
      <c r="E55" s="550">
        <f t="shared" si="0"/>
        <v>0.56299999999999994</v>
      </c>
      <c r="F55" s="540">
        <f t="shared" si="1"/>
        <v>0.72299999999999998</v>
      </c>
      <c r="G55" s="551">
        <f t="shared" si="2"/>
        <v>0.76600000000000001</v>
      </c>
      <c r="H55" s="554"/>
      <c r="I55" s="555"/>
      <c r="J55" s="555"/>
      <c r="K55" s="554"/>
      <c r="L55" s="554"/>
      <c r="M55" s="554"/>
      <c r="N55" s="554"/>
      <c r="O55" s="554"/>
      <c r="P55" s="554"/>
      <c r="Q55" s="555"/>
      <c r="R55" s="555"/>
      <c r="S55" s="554"/>
      <c r="T55" s="554"/>
    </row>
    <row r="56" spans="1:20" ht="14.25">
      <c r="A56" s="546">
        <v>5.4</v>
      </c>
      <c r="B56" s="547">
        <v>0.69099999999999995</v>
      </c>
      <c r="C56" s="548">
        <v>0.85699999999999998</v>
      </c>
      <c r="D56" s="549">
        <v>0.9</v>
      </c>
      <c r="E56" s="550">
        <f t="shared" si="0"/>
        <v>0.56100000000000005</v>
      </c>
      <c r="F56" s="540">
        <f t="shared" si="1"/>
        <v>0.72099999999999997</v>
      </c>
      <c r="G56" s="551">
        <f t="shared" si="2"/>
        <v>0.76500000000000001</v>
      </c>
      <c r="H56" s="554"/>
      <c r="I56" s="555"/>
      <c r="J56" s="555"/>
      <c r="K56" s="554"/>
      <c r="L56" s="554"/>
      <c r="M56" s="554"/>
      <c r="N56" s="554"/>
      <c r="O56" s="554"/>
      <c r="P56" s="554"/>
      <c r="Q56" s="555"/>
      <c r="R56" s="555"/>
      <c r="S56" s="554"/>
      <c r="T56" s="554"/>
    </row>
    <row r="57" spans="1:20" ht="14.25">
      <c r="A57" s="546">
        <v>5.5</v>
      </c>
      <c r="B57" s="547">
        <v>0.68700000000000006</v>
      </c>
      <c r="C57" s="548">
        <v>0.85399999999999998</v>
      </c>
      <c r="D57" s="549">
        <v>0.89800000000000002</v>
      </c>
      <c r="E57" s="550">
        <f t="shared" si="0"/>
        <v>0.55800000000000005</v>
      </c>
      <c r="F57" s="540">
        <f t="shared" si="1"/>
        <v>0.71799999999999997</v>
      </c>
      <c r="G57" s="551">
        <f t="shared" si="2"/>
        <v>0.76300000000000001</v>
      </c>
      <c r="H57" s="554"/>
      <c r="I57" s="555"/>
      <c r="J57" s="555"/>
      <c r="K57" s="554"/>
      <c r="L57" s="554"/>
      <c r="M57" s="554"/>
      <c r="N57" s="554"/>
      <c r="O57" s="554"/>
      <c r="P57" s="554"/>
      <c r="Q57" s="555"/>
      <c r="R57" s="555"/>
      <c r="S57" s="554"/>
      <c r="T57" s="554"/>
    </row>
    <row r="58" spans="1:20" ht="14.25">
      <c r="A58" s="546">
        <v>5.6</v>
      </c>
      <c r="B58" s="547">
        <v>0.68300000000000005</v>
      </c>
      <c r="C58" s="548">
        <v>0.85099999999999998</v>
      </c>
      <c r="D58" s="549">
        <v>0.89500000000000002</v>
      </c>
      <c r="E58" s="550">
        <f t="shared" si="0"/>
        <v>0.55400000000000005</v>
      </c>
      <c r="F58" s="540">
        <f t="shared" si="1"/>
        <v>0.71599999999999997</v>
      </c>
      <c r="G58" s="551">
        <f t="shared" si="2"/>
        <v>0.76</v>
      </c>
      <c r="H58" s="554"/>
      <c r="I58" s="555"/>
      <c r="J58" s="555"/>
      <c r="K58" s="554"/>
      <c r="L58" s="554"/>
      <c r="M58" s="554"/>
      <c r="N58" s="554"/>
      <c r="O58" s="554"/>
      <c r="P58" s="554"/>
      <c r="Q58" s="555"/>
      <c r="R58" s="555"/>
      <c r="S58" s="554"/>
      <c r="T58" s="554"/>
    </row>
    <row r="59" spans="1:20" ht="14.25">
      <c r="A59" s="546">
        <v>5.7</v>
      </c>
      <c r="B59" s="547">
        <v>0.67900000000000005</v>
      </c>
      <c r="C59" s="548">
        <v>0.84899999999999998</v>
      </c>
      <c r="D59" s="549">
        <v>0.89300000000000002</v>
      </c>
      <c r="E59" s="550">
        <f t="shared" si="0"/>
        <v>0.55100000000000005</v>
      </c>
      <c r="F59" s="540">
        <f t="shared" si="1"/>
        <v>0.71399999999999997</v>
      </c>
      <c r="G59" s="551">
        <f t="shared" si="2"/>
        <v>0.75900000000000001</v>
      </c>
      <c r="H59" s="554"/>
      <c r="I59" s="555"/>
      <c r="J59" s="555"/>
      <c r="K59" s="554"/>
      <c r="L59" s="554"/>
      <c r="M59" s="554"/>
      <c r="N59" s="554"/>
      <c r="O59" s="554"/>
      <c r="P59" s="554"/>
      <c r="Q59" s="555"/>
      <c r="R59" s="555"/>
      <c r="S59" s="554"/>
      <c r="T59" s="554"/>
    </row>
    <row r="60" spans="1:20" ht="14.25">
      <c r="A60" s="546">
        <v>5.8</v>
      </c>
      <c r="B60" s="547">
        <v>0.67600000000000005</v>
      </c>
      <c r="C60" s="548">
        <v>0.84599999999999997</v>
      </c>
      <c r="D60" s="549">
        <v>0.89100000000000001</v>
      </c>
      <c r="E60" s="550">
        <f t="shared" si="0"/>
        <v>0.54900000000000004</v>
      </c>
      <c r="F60" s="540">
        <f t="shared" si="1"/>
        <v>0.71199999999999997</v>
      </c>
      <c r="G60" s="551">
        <f t="shared" si="2"/>
        <v>0.75700000000000001</v>
      </c>
      <c r="H60" s="554"/>
      <c r="I60" s="555"/>
      <c r="J60" s="555"/>
      <c r="K60" s="554"/>
      <c r="L60" s="554"/>
      <c r="M60" s="554"/>
      <c r="N60" s="554"/>
      <c r="O60" s="554"/>
      <c r="P60" s="554"/>
      <c r="Q60" s="555"/>
      <c r="R60" s="555"/>
      <c r="S60" s="554"/>
      <c r="T60" s="554"/>
    </row>
    <row r="61" spans="1:20" ht="14.25">
      <c r="A61" s="546">
        <v>5.9</v>
      </c>
      <c r="B61" s="547">
        <v>0.67200000000000004</v>
      </c>
      <c r="C61" s="548">
        <v>0.84299999999999997</v>
      </c>
      <c r="D61" s="549">
        <v>0.88900000000000001</v>
      </c>
      <c r="E61" s="550">
        <f t="shared" si="0"/>
        <v>0.54500000000000004</v>
      </c>
      <c r="F61" s="540">
        <f t="shared" si="1"/>
        <v>0.70899999999999996</v>
      </c>
      <c r="G61" s="551">
        <f t="shared" si="2"/>
        <v>0.755</v>
      </c>
      <c r="H61" s="554"/>
      <c r="I61" s="555"/>
      <c r="J61" s="555"/>
      <c r="K61" s="554"/>
      <c r="L61" s="554"/>
      <c r="M61" s="554"/>
      <c r="N61" s="554"/>
      <c r="O61" s="554"/>
      <c r="P61" s="554"/>
      <c r="Q61" s="555"/>
      <c r="R61" s="555"/>
      <c r="S61" s="554"/>
      <c r="T61" s="554"/>
    </row>
    <row r="62" spans="1:20" ht="14.25">
      <c r="A62" s="546">
        <v>6</v>
      </c>
      <c r="B62" s="547">
        <v>0.66800000000000004</v>
      </c>
      <c r="C62" s="548">
        <v>0.84</v>
      </c>
      <c r="D62" s="549">
        <v>0.88700000000000001</v>
      </c>
      <c r="E62" s="550">
        <f t="shared" si="0"/>
        <v>0.54200000000000004</v>
      </c>
      <c r="F62" s="540">
        <f t="shared" si="1"/>
        <v>0.70599999999999996</v>
      </c>
      <c r="G62" s="551">
        <f t="shared" si="2"/>
        <v>0.754</v>
      </c>
      <c r="H62" s="554"/>
      <c r="I62" s="555"/>
      <c r="J62" s="555"/>
      <c r="K62" s="554"/>
      <c r="L62" s="554"/>
      <c r="M62" s="554"/>
      <c r="N62" s="554"/>
      <c r="O62" s="554"/>
      <c r="P62" s="554"/>
      <c r="Q62" s="555"/>
      <c r="R62" s="555"/>
      <c r="S62" s="554"/>
      <c r="T62" s="554"/>
    </row>
    <row r="63" spans="1:20" ht="14.25">
      <c r="A63" s="552">
        <v>6.1</v>
      </c>
      <c r="B63" s="553">
        <v>0.66400000000000003</v>
      </c>
      <c r="C63" s="548">
        <v>0.83699999999999997</v>
      </c>
      <c r="D63" s="549">
        <v>0.88400000000000001</v>
      </c>
      <c r="E63" s="550">
        <f t="shared" si="0"/>
        <v>0.53900000000000003</v>
      </c>
      <c r="F63" s="540">
        <f t="shared" si="1"/>
        <v>0.70399999999999996</v>
      </c>
      <c r="G63" s="551">
        <f t="shared" si="2"/>
        <v>0.751</v>
      </c>
      <c r="H63" s="554"/>
      <c r="I63" s="555"/>
      <c r="J63" s="555"/>
      <c r="K63" s="554"/>
      <c r="L63" s="554"/>
      <c r="M63" s="554"/>
      <c r="N63" s="554"/>
      <c r="O63" s="554"/>
      <c r="P63" s="554"/>
      <c r="Q63" s="555"/>
      <c r="R63" s="555"/>
      <c r="S63" s="554"/>
      <c r="T63" s="554"/>
    </row>
    <row r="64" spans="1:20" ht="14.25">
      <c r="A64" s="552">
        <v>6.2</v>
      </c>
      <c r="B64" s="553">
        <v>0.66100000000000003</v>
      </c>
      <c r="C64" s="548">
        <v>0.83499999999999996</v>
      </c>
      <c r="D64" s="549">
        <v>0.88200000000000001</v>
      </c>
      <c r="E64" s="550">
        <f t="shared" si="0"/>
        <v>0.53700000000000003</v>
      </c>
      <c r="F64" s="540">
        <f t="shared" si="1"/>
        <v>0.70199999999999996</v>
      </c>
      <c r="G64" s="551">
        <f t="shared" si="2"/>
        <v>0.749</v>
      </c>
      <c r="H64" s="554"/>
      <c r="I64" s="555"/>
      <c r="J64" s="555"/>
      <c r="K64" s="554"/>
      <c r="L64" s="554"/>
      <c r="M64" s="554"/>
      <c r="N64" s="554"/>
      <c r="O64" s="554"/>
      <c r="P64" s="554"/>
      <c r="Q64" s="555"/>
      <c r="R64" s="555"/>
      <c r="S64" s="554"/>
      <c r="T64" s="554"/>
    </row>
    <row r="65" spans="1:20" ht="14.25">
      <c r="A65" s="552">
        <v>6.3</v>
      </c>
      <c r="B65" s="553">
        <v>0.65700000000000003</v>
      </c>
      <c r="C65" s="548">
        <v>0.83199999999999996</v>
      </c>
      <c r="D65" s="549">
        <v>0.88</v>
      </c>
      <c r="E65" s="550">
        <f t="shared" si="0"/>
        <v>0.53300000000000003</v>
      </c>
      <c r="F65" s="540">
        <f t="shared" si="1"/>
        <v>0.7</v>
      </c>
      <c r="G65" s="551">
        <f t="shared" si="2"/>
        <v>0.748</v>
      </c>
      <c r="H65" s="554"/>
      <c r="I65" s="555"/>
      <c r="J65" s="555"/>
      <c r="K65" s="554"/>
      <c r="L65" s="554"/>
      <c r="M65" s="554"/>
      <c r="N65" s="554"/>
      <c r="O65" s="554"/>
      <c r="P65" s="554"/>
      <c r="Q65" s="555"/>
      <c r="R65" s="555"/>
      <c r="S65" s="554"/>
      <c r="T65" s="554"/>
    </row>
    <row r="66" spans="1:20" ht="14.25">
      <c r="A66" s="552">
        <v>6.4</v>
      </c>
      <c r="B66" s="553">
        <v>0.65300000000000002</v>
      </c>
      <c r="C66" s="548">
        <v>0.82899999999999996</v>
      </c>
      <c r="D66" s="549">
        <v>0.878</v>
      </c>
      <c r="E66" s="550">
        <f t="shared" si="0"/>
        <v>0.53</v>
      </c>
      <c r="F66" s="540">
        <f t="shared" si="1"/>
        <v>0.69699999999999995</v>
      </c>
      <c r="G66" s="551">
        <f t="shared" si="2"/>
        <v>0.746</v>
      </c>
      <c r="H66" s="554"/>
      <c r="I66" s="555"/>
      <c r="J66" s="555"/>
      <c r="K66" s="554"/>
      <c r="L66" s="554"/>
      <c r="M66" s="554"/>
      <c r="N66" s="554"/>
      <c r="O66" s="554"/>
      <c r="P66" s="554"/>
      <c r="Q66" s="555"/>
      <c r="R66" s="555"/>
      <c r="S66" s="554"/>
      <c r="T66" s="554"/>
    </row>
    <row r="67" spans="1:20" ht="14.25">
      <c r="A67" s="552">
        <v>6.5</v>
      </c>
      <c r="B67" s="553">
        <v>0.65</v>
      </c>
      <c r="C67" s="548">
        <v>0.82599999999999996</v>
      </c>
      <c r="D67" s="549">
        <v>0.876</v>
      </c>
      <c r="E67" s="550">
        <f t="shared" si="0"/>
        <v>0.52800000000000002</v>
      </c>
      <c r="F67" s="540">
        <f t="shared" si="1"/>
        <v>0.69499999999999995</v>
      </c>
      <c r="G67" s="551">
        <f t="shared" si="2"/>
        <v>0.74399999999999999</v>
      </c>
      <c r="H67" s="554"/>
      <c r="I67" s="555"/>
      <c r="J67" s="555"/>
      <c r="K67" s="554"/>
      <c r="L67" s="554"/>
      <c r="M67" s="554"/>
      <c r="N67" s="554"/>
      <c r="O67" s="554"/>
      <c r="P67" s="554"/>
      <c r="Q67" s="555"/>
      <c r="R67" s="555"/>
      <c r="S67" s="554"/>
      <c r="T67" s="554"/>
    </row>
    <row r="68" spans="1:20" ht="14.25">
      <c r="A68" s="552">
        <v>6.6</v>
      </c>
      <c r="B68" s="553">
        <v>0.64600000000000002</v>
      </c>
      <c r="C68" s="548">
        <v>0.82399999999999995</v>
      </c>
      <c r="D68" s="549">
        <v>0.873</v>
      </c>
      <c r="E68" s="550">
        <f t="shared" ref="E68:E102" si="3">ROUND(B68/1.232,3)</f>
        <v>0.52400000000000002</v>
      </c>
      <c r="F68" s="540">
        <f t="shared" ref="F68:F102" si="4">ROUND(C68/1.189,3)</f>
        <v>0.69299999999999995</v>
      </c>
      <c r="G68" s="551">
        <f t="shared" ref="G68:G102" si="5">ROUND(D68/1.177,3)</f>
        <v>0.74199999999999999</v>
      </c>
      <c r="H68" s="554"/>
      <c r="I68" s="555"/>
      <c r="J68" s="555"/>
      <c r="K68" s="554"/>
      <c r="L68" s="554"/>
      <c r="M68" s="554"/>
      <c r="N68" s="554"/>
      <c r="O68" s="554"/>
      <c r="P68" s="554"/>
      <c r="Q68" s="555"/>
      <c r="R68" s="555"/>
      <c r="S68" s="554"/>
      <c r="T68" s="554"/>
    </row>
    <row r="69" spans="1:20" ht="14.25">
      <c r="A69" s="552">
        <v>6.7</v>
      </c>
      <c r="B69" s="553">
        <v>0.64200000000000002</v>
      </c>
      <c r="C69" s="548">
        <v>0.82099999999999995</v>
      </c>
      <c r="D69" s="549">
        <v>0.871</v>
      </c>
      <c r="E69" s="550">
        <f t="shared" si="3"/>
        <v>0.52100000000000002</v>
      </c>
      <c r="F69" s="540">
        <f t="shared" si="4"/>
        <v>0.69</v>
      </c>
      <c r="G69" s="551">
        <f t="shared" si="5"/>
        <v>0.74</v>
      </c>
      <c r="H69" s="554"/>
      <c r="I69" s="555"/>
      <c r="J69" s="555"/>
      <c r="K69" s="554"/>
      <c r="L69" s="554"/>
      <c r="M69" s="554"/>
      <c r="N69" s="554"/>
      <c r="O69" s="554"/>
      <c r="P69" s="554"/>
      <c r="Q69" s="555"/>
      <c r="R69" s="555"/>
      <c r="S69" s="554"/>
      <c r="T69" s="554"/>
    </row>
    <row r="70" spans="1:20" ht="14.25">
      <c r="A70" s="552">
        <v>6.8</v>
      </c>
      <c r="B70" s="553">
        <v>0.63800000000000001</v>
      </c>
      <c r="C70" s="548">
        <v>0.81799999999999995</v>
      </c>
      <c r="D70" s="549">
        <v>0.86899999999999999</v>
      </c>
      <c r="E70" s="550">
        <f t="shared" si="3"/>
        <v>0.51800000000000002</v>
      </c>
      <c r="F70" s="540">
        <f t="shared" si="4"/>
        <v>0.68799999999999994</v>
      </c>
      <c r="G70" s="551">
        <f t="shared" si="5"/>
        <v>0.73799999999999999</v>
      </c>
      <c r="H70" s="554"/>
      <c r="I70" s="555"/>
      <c r="J70" s="555"/>
      <c r="K70" s="554"/>
      <c r="L70" s="554"/>
      <c r="M70" s="554"/>
      <c r="N70" s="554"/>
      <c r="O70" s="554"/>
      <c r="P70" s="554"/>
      <c r="Q70" s="555"/>
      <c r="R70" s="555"/>
      <c r="S70" s="554"/>
      <c r="T70" s="554"/>
    </row>
    <row r="71" spans="1:20" ht="14.25">
      <c r="A71" s="552">
        <v>6.9</v>
      </c>
      <c r="B71" s="553">
        <v>0.63500000000000001</v>
      </c>
      <c r="C71" s="548">
        <v>0.81499999999999995</v>
      </c>
      <c r="D71" s="549">
        <v>0.86699999999999999</v>
      </c>
      <c r="E71" s="550">
        <f t="shared" si="3"/>
        <v>0.51500000000000001</v>
      </c>
      <c r="F71" s="540">
        <f t="shared" si="4"/>
        <v>0.68500000000000005</v>
      </c>
      <c r="G71" s="551">
        <f t="shared" si="5"/>
        <v>0.73699999999999999</v>
      </c>
      <c r="H71" s="554"/>
      <c r="I71" s="555"/>
      <c r="J71" s="555"/>
      <c r="K71" s="554"/>
      <c r="L71" s="554"/>
      <c r="M71" s="554"/>
      <c r="N71" s="554"/>
      <c r="O71" s="554"/>
      <c r="P71" s="554"/>
      <c r="Q71" s="555"/>
      <c r="R71" s="555"/>
      <c r="S71" s="554"/>
      <c r="T71" s="554"/>
    </row>
    <row r="72" spans="1:20" ht="14.25">
      <c r="A72" s="552">
        <v>7</v>
      </c>
      <c r="B72" s="553">
        <v>0.63100000000000001</v>
      </c>
      <c r="C72" s="548">
        <v>0.81200000000000006</v>
      </c>
      <c r="D72" s="549">
        <v>0.86499999999999999</v>
      </c>
      <c r="E72" s="550">
        <f t="shared" si="3"/>
        <v>0.51200000000000001</v>
      </c>
      <c r="F72" s="540">
        <f t="shared" si="4"/>
        <v>0.68300000000000005</v>
      </c>
      <c r="G72" s="551">
        <f t="shared" si="5"/>
        <v>0.73499999999999999</v>
      </c>
      <c r="H72" s="554"/>
      <c r="I72" s="555"/>
      <c r="J72" s="555"/>
      <c r="K72" s="554"/>
      <c r="L72" s="554"/>
      <c r="M72" s="554"/>
      <c r="N72" s="554"/>
      <c r="O72" s="554"/>
      <c r="P72" s="554"/>
      <c r="Q72" s="555"/>
      <c r="R72" s="555"/>
      <c r="S72" s="554"/>
      <c r="T72" s="554"/>
    </row>
    <row r="73" spans="1:20" ht="14.25">
      <c r="A73" s="552">
        <v>7.1</v>
      </c>
      <c r="B73" s="553">
        <v>0.627</v>
      </c>
      <c r="C73" s="548">
        <v>0.81</v>
      </c>
      <c r="D73" s="549">
        <v>0.86299999999999999</v>
      </c>
      <c r="E73" s="550">
        <f t="shared" si="3"/>
        <v>0.50900000000000001</v>
      </c>
      <c r="F73" s="540">
        <f t="shared" si="4"/>
        <v>0.68100000000000005</v>
      </c>
      <c r="G73" s="551">
        <f t="shared" si="5"/>
        <v>0.73299999999999998</v>
      </c>
      <c r="H73" s="554"/>
      <c r="I73" s="555"/>
      <c r="J73" s="555"/>
      <c r="K73" s="554"/>
      <c r="L73" s="554"/>
      <c r="M73" s="554"/>
      <c r="N73" s="554"/>
      <c r="O73" s="554"/>
      <c r="P73" s="554"/>
      <c r="Q73" s="555"/>
      <c r="R73" s="555"/>
      <c r="S73" s="554"/>
      <c r="T73" s="554"/>
    </row>
    <row r="74" spans="1:20" ht="14.25">
      <c r="A74" s="552">
        <v>7.2</v>
      </c>
      <c r="B74" s="553">
        <v>0.623</v>
      </c>
      <c r="C74" s="548">
        <v>0.80700000000000005</v>
      </c>
      <c r="D74" s="549">
        <v>0.86</v>
      </c>
      <c r="E74" s="550">
        <f t="shared" si="3"/>
        <v>0.50600000000000001</v>
      </c>
      <c r="F74" s="540">
        <f t="shared" si="4"/>
        <v>0.67900000000000005</v>
      </c>
      <c r="G74" s="551">
        <f t="shared" si="5"/>
        <v>0.73099999999999998</v>
      </c>
      <c r="H74" s="554"/>
      <c r="I74" s="555"/>
      <c r="J74" s="555"/>
      <c r="K74" s="554"/>
      <c r="L74" s="554"/>
      <c r="M74" s="554"/>
      <c r="N74" s="554"/>
      <c r="O74" s="554"/>
      <c r="P74" s="554"/>
      <c r="Q74" s="555"/>
      <c r="R74" s="555"/>
      <c r="S74" s="554"/>
      <c r="T74" s="554"/>
    </row>
    <row r="75" spans="1:20" ht="14.25">
      <c r="A75" s="552">
        <v>7.3</v>
      </c>
      <c r="B75" s="553">
        <v>0.62</v>
      </c>
      <c r="C75" s="548">
        <v>0.80400000000000005</v>
      </c>
      <c r="D75" s="549">
        <v>0.85799999999999998</v>
      </c>
      <c r="E75" s="550">
        <f t="shared" si="3"/>
        <v>0.503</v>
      </c>
      <c r="F75" s="540">
        <f t="shared" si="4"/>
        <v>0.67600000000000005</v>
      </c>
      <c r="G75" s="551">
        <f t="shared" si="5"/>
        <v>0.72899999999999998</v>
      </c>
      <c r="H75" s="554"/>
      <c r="I75" s="555"/>
      <c r="J75" s="555"/>
      <c r="K75" s="554"/>
      <c r="L75" s="554"/>
      <c r="M75" s="554"/>
      <c r="N75" s="554"/>
      <c r="O75" s="554"/>
      <c r="P75" s="554"/>
      <c r="Q75" s="555"/>
      <c r="R75" s="555"/>
      <c r="S75" s="554"/>
      <c r="T75" s="554"/>
    </row>
    <row r="76" spans="1:20" ht="14.25">
      <c r="A76" s="552">
        <v>7.4</v>
      </c>
      <c r="B76" s="553">
        <v>0.61599999999999999</v>
      </c>
      <c r="C76" s="548">
        <v>0.80100000000000005</v>
      </c>
      <c r="D76" s="549">
        <v>0.85599999999999998</v>
      </c>
      <c r="E76" s="550">
        <f t="shared" si="3"/>
        <v>0.5</v>
      </c>
      <c r="F76" s="540">
        <f t="shared" si="4"/>
        <v>0.67400000000000004</v>
      </c>
      <c r="G76" s="551">
        <f t="shared" si="5"/>
        <v>0.72699999999999998</v>
      </c>
      <c r="H76" s="554"/>
      <c r="I76" s="555"/>
      <c r="J76" s="555"/>
      <c r="K76" s="554"/>
      <c r="L76" s="554"/>
      <c r="M76" s="554"/>
      <c r="N76" s="554"/>
      <c r="O76" s="554"/>
      <c r="P76" s="554"/>
      <c r="Q76" s="555"/>
      <c r="R76" s="555"/>
      <c r="S76" s="554"/>
      <c r="T76" s="554"/>
    </row>
    <row r="77" spans="1:20" ht="14.25">
      <c r="A77" s="552">
        <v>7.5</v>
      </c>
      <c r="B77" s="553">
        <v>0.61199999999999999</v>
      </c>
      <c r="C77" s="548">
        <v>0.79900000000000004</v>
      </c>
      <c r="D77" s="549">
        <v>0.85399999999999998</v>
      </c>
      <c r="E77" s="550">
        <f t="shared" si="3"/>
        <v>0.497</v>
      </c>
      <c r="F77" s="540">
        <f t="shared" si="4"/>
        <v>0.67200000000000004</v>
      </c>
      <c r="G77" s="551">
        <f t="shared" si="5"/>
        <v>0.72599999999999998</v>
      </c>
      <c r="H77" s="554"/>
      <c r="I77" s="555"/>
      <c r="J77" s="555"/>
      <c r="K77" s="554"/>
      <c r="L77" s="554"/>
      <c r="M77" s="554"/>
      <c r="N77" s="554"/>
      <c r="O77" s="554"/>
      <c r="P77" s="554"/>
      <c r="Q77" s="555"/>
      <c r="R77" s="555"/>
      <c r="S77" s="554"/>
      <c r="T77" s="554"/>
    </row>
    <row r="78" spans="1:20" ht="14.25">
      <c r="A78" s="552">
        <v>7.6</v>
      </c>
      <c r="B78" s="553">
        <v>0.60899999999999999</v>
      </c>
      <c r="C78" s="548">
        <v>0.79600000000000004</v>
      </c>
      <c r="D78" s="549">
        <v>0.85199999999999998</v>
      </c>
      <c r="E78" s="550">
        <f t="shared" si="3"/>
        <v>0.49399999999999999</v>
      </c>
      <c r="F78" s="540">
        <f t="shared" si="4"/>
        <v>0.66900000000000004</v>
      </c>
      <c r="G78" s="551">
        <f t="shared" si="5"/>
        <v>0.72399999999999998</v>
      </c>
      <c r="H78" s="554"/>
      <c r="I78" s="555"/>
      <c r="J78" s="555"/>
      <c r="K78" s="554"/>
      <c r="L78" s="554"/>
      <c r="M78" s="554"/>
      <c r="N78" s="554"/>
      <c r="O78" s="554"/>
      <c r="P78" s="554"/>
      <c r="Q78" s="555"/>
      <c r="R78" s="555"/>
      <c r="S78" s="554"/>
      <c r="T78" s="554"/>
    </row>
    <row r="79" spans="1:20" ht="14.25">
      <c r="A79" s="552">
        <v>7.7</v>
      </c>
      <c r="B79" s="553">
        <v>0.60499999999999998</v>
      </c>
      <c r="C79" s="548">
        <v>0.79300000000000004</v>
      </c>
      <c r="D79" s="549">
        <v>0.84899999999999998</v>
      </c>
      <c r="E79" s="550">
        <f t="shared" si="3"/>
        <v>0.49099999999999999</v>
      </c>
      <c r="F79" s="540">
        <f t="shared" si="4"/>
        <v>0.66700000000000004</v>
      </c>
      <c r="G79" s="551">
        <f t="shared" si="5"/>
        <v>0.72099999999999997</v>
      </c>
      <c r="H79" s="554"/>
      <c r="I79" s="555"/>
      <c r="J79" s="555"/>
      <c r="K79" s="554"/>
      <c r="L79" s="554"/>
      <c r="M79" s="554"/>
      <c r="N79" s="554"/>
      <c r="O79" s="554"/>
      <c r="P79" s="554"/>
      <c r="Q79" s="555"/>
      <c r="R79" s="555"/>
      <c r="S79" s="554"/>
      <c r="T79" s="554"/>
    </row>
    <row r="80" spans="1:20" ht="14.25">
      <c r="A80" s="552">
        <v>7.8</v>
      </c>
      <c r="B80" s="553">
        <v>0.60099999999999998</v>
      </c>
      <c r="C80" s="548">
        <v>0.79</v>
      </c>
      <c r="D80" s="549">
        <v>0.84699999999999998</v>
      </c>
      <c r="E80" s="550">
        <f t="shared" si="3"/>
        <v>0.48799999999999999</v>
      </c>
      <c r="F80" s="540">
        <f t="shared" si="4"/>
        <v>0.66400000000000003</v>
      </c>
      <c r="G80" s="551">
        <f t="shared" si="5"/>
        <v>0.72</v>
      </c>
      <c r="H80" s="554"/>
      <c r="I80" s="555"/>
      <c r="J80" s="555"/>
      <c r="K80" s="554"/>
      <c r="L80" s="554"/>
      <c r="M80" s="554"/>
      <c r="N80" s="554"/>
      <c r="O80" s="554"/>
      <c r="P80" s="554"/>
      <c r="Q80" s="555"/>
      <c r="R80" s="555"/>
      <c r="S80" s="554"/>
      <c r="T80" s="554"/>
    </row>
    <row r="81" spans="1:20" ht="14.25">
      <c r="A81" s="552">
        <v>7.9</v>
      </c>
      <c r="B81" s="553">
        <v>0.59699999999999998</v>
      </c>
      <c r="C81" s="548">
        <v>0.78700000000000003</v>
      </c>
      <c r="D81" s="549">
        <v>0.84499999999999997</v>
      </c>
      <c r="E81" s="550">
        <f t="shared" si="3"/>
        <v>0.48499999999999999</v>
      </c>
      <c r="F81" s="540">
        <f t="shared" si="4"/>
        <v>0.66200000000000003</v>
      </c>
      <c r="G81" s="551">
        <f t="shared" si="5"/>
        <v>0.71799999999999997</v>
      </c>
      <c r="H81" s="554"/>
      <c r="I81" s="555"/>
      <c r="J81" s="555"/>
      <c r="K81" s="554"/>
      <c r="L81" s="554"/>
      <c r="M81" s="554"/>
      <c r="N81" s="554"/>
      <c r="O81" s="554"/>
      <c r="P81" s="554"/>
      <c r="Q81" s="555"/>
      <c r="R81" s="555"/>
      <c r="S81" s="554"/>
      <c r="T81" s="554"/>
    </row>
    <row r="82" spans="1:20" ht="14.25">
      <c r="A82" s="552">
        <v>8</v>
      </c>
      <c r="B82" s="553">
        <v>0.59399999999999997</v>
      </c>
      <c r="C82" s="548">
        <v>0.78500000000000003</v>
      </c>
      <c r="D82" s="549">
        <v>0.84299999999999997</v>
      </c>
      <c r="E82" s="550">
        <f t="shared" si="3"/>
        <v>0.48199999999999998</v>
      </c>
      <c r="F82" s="540">
        <f t="shared" si="4"/>
        <v>0.66</v>
      </c>
      <c r="G82" s="551">
        <f t="shared" si="5"/>
        <v>0.71599999999999997</v>
      </c>
      <c r="H82" s="554"/>
      <c r="I82" s="555"/>
      <c r="J82" s="555"/>
      <c r="K82" s="554"/>
      <c r="L82" s="554"/>
      <c r="M82" s="554"/>
      <c r="N82" s="554"/>
      <c r="O82" s="554"/>
      <c r="P82" s="554"/>
      <c r="Q82" s="555"/>
      <c r="R82" s="555"/>
      <c r="S82" s="554"/>
      <c r="T82" s="554"/>
    </row>
    <row r="83" spans="1:20" ht="14.25">
      <c r="A83" s="546">
        <v>8.1</v>
      </c>
      <c r="B83" s="547">
        <v>0.59</v>
      </c>
      <c r="C83" s="548">
        <v>0.78200000000000003</v>
      </c>
      <c r="D83" s="549">
        <v>0.84099999999999997</v>
      </c>
      <c r="E83" s="550">
        <f t="shared" si="3"/>
        <v>0.47899999999999998</v>
      </c>
      <c r="F83" s="540">
        <f t="shared" si="4"/>
        <v>0.65800000000000003</v>
      </c>
      <c r="G83" s="551">
        <f t="shared" si="5"/>
        <v>0.71499999999999997</v>
      </c>
      <c r="H83" s="554"/>
      <c r="I83" s="555"/>
      <c r="J83" s="555"/>
      <c r="K83" s="554"/>
      <c r="L83" s="554"/>
      <c r="M83" s="554"/>
      <c r="N83" s="554"/>
      <c r="O83" s="554"/>
      <c r="P83" s="554"/>
      <c r="Q83" s="555"/>
      <c r="R83" s="555"/>
      <c r="S83" s="554"/>
      <c r="T83" s="554"/>
    </row>
    <row r="84" spans="1:20" ht="14.25">
      <c r="A84" s="546">
        <v>8.1999999999999993</v>
      </c>
      <c r="B84" s="547">
        <v>0.58599999999999997</v>
      </c>
      <c r="C84" s="548">
        <v>0.77900000000000003</v>
      </c>
      <c r="D84" s="549">
        <v>0.83799999999999997</v>
      </c>
      <c r="E84" s="550">
        <f t="shared" si="3"/>
        <v>0.47599999999999998</v>
      </c>
      <c r="F84" s="540">
        <f t="shared" si="4"/>
        <v>0.65500000000000003</v>
      </c>
      <c r="G84" s="551">
        <f t="shared" si="5"/>
        <v>0.71199999999999997</v>
      </c>
      <c r="H84" s="554"/>
      <c r="I84" s="555"/>
      <c r="J84" s="555"/>
      <c r="K84" s="554"/>
      <c r="L84" s="554"/>
      <c r="M84" s="554"/>
      <c r="N84" s="554"/>
      <c r="O84" s="554"/>
      <c r="P84" s="554"/>
      <c r="Q84" s="555"/>
      <c r="R84" s="555"/>
      <c r="S84" s="554"/>
      <c r="T84" s="554"/>
    </row>
    <row r="85" spans="1:20" ht="14.25">
      <c r="A85" s="546">
        <v>8.3000000000000007</v>
      </c>
      <c r="B85" s="547">
        <v>0.58199999999999996</v>
      </c>
      <c r="C85" s="548">
        <v>0.77600000000000002</v>
      </c>
      <c r="D85" s="549">
        <v>0.83599999999999997</v>
      </c>
      <c r="E85" s="550">
        <f t="shared" si="3"/>
        <v>0.47199999999999998</v>
      </c>
      <c r="F85" s="540">
        <f t="shared" si="4"/>
        <v>0.65300000000000002</v>
      </c>
      <c r="G85" s="551">
        <f t="shared" si="5"/>
        <v>0.71</v>
      </c>
      <c r="H85" s="554"/>
      <c r="I85" s="555"/>
      <c r="J85" s="555"/>
      <c r="K85" s="554"/>
      <c r="L85" s="554"/>
      <c r="M85" s="554"/>
      <c r="N85" s="554"/>
      <c r="O85" s="554"/>
      <c r="P85" s="554"/>
      <c r="Q85" s="555"/>
      <c r="R85" s="555"/>
      <c r="S85" s="554"/>
      <c r="T85" s="554"/>
    </row>
    <row r="86" spans="1:20" ht="14.25">
      <c r="A86" s="546">
        <v>8.4</v>
      </c>
      <c r="B86" s="547">
        <v>0.57899999999999996</v>
      </c>
      <c r="C86" s="548">
        <v>0.77300000000000002</v>
      </c>
      <c r="D86" s="549">
        <v>0.83399999999999996</v>
      </c>
      <c r="E86" s="550">
        <f t="shared" si="3"/>
        <v>0.47</v>
      </c>
      <c r="F86" s="540">
        <f t="shared" si="4"/>
        <v>0.65</v>
      </c>
      <c r="G86" s="551">
        <f t="shared" si="5"/>
        <v>0.70899999999999996</v>
      </c>
      <c r="H86" s="554"/>
      <c r="I86" s="555"/>
      <c r="J86" s="555"/>
      <c r="K86" s="554"/>
      <c r="L86" s="554"/>
      <c r="M86" s="554"/>
      <c r="N86" s="554"/>
      <c r="O86" s="554"/>
      <c r="P86" s="554"/>
      <c r="Q86" s="555"/>
      <c r="R86" s="555"/>
      <c r="S86" s="554"/>
      <c r="T86" s="554"/>
    </row>
    <row r="87" spans="1:20" ht="14.25">
      <c r="A87" s="546">
        <v>8.5</v>
      </c>
      <c r="B87" s="547">
        <v>0.57499999999999996</v>
      </c>
      <c r="C87" s="548">
        <v>0.77100000000000002</v>
      </c>
      <c r="D87" s="549">
        <v>0.83199999999999996</v>
      </c>
      <c r="E87" s="550">
        <f t="shared" si="3"/>
        <v>0.46700000000000003</v>
      </c>
      <c r="F87" s="540">
        <f t="shared" si="4"/>
        <v>0.64800000000000002</v>
      </c>
      <c r="G87" s="551">
        <f t="shared" si="5"/>
        <v>0.70699999999999996</v>
      </c>
      <c r="H87" s="554"/>
      <c r="I87" s="555"/>
      <c r="J87" s="555"/>
      <c r="K87" s="554"/>
      <c r="L87" s="554"/>
      <c r="M87" s="554"/>
      <c r="N87" s="554"/>
      <c r="O87" s="554"/>
      <c r="P87" s="554"/>
      <c r="Q87" s="555"/>
      <c r="R87" s="555"/>
      <c r="S87" s="554"/>
      <c r="T87" s="554"/>
    </row>
    <row r="88" spans="1:20" ht="14.25">
      <c r="A88" s="546">
        <v>8.6</v>
      </c>
      <c r="B88" s="547">
        <v>0.57099999999999995</v>
      </c>
      <c r="C88" s="548">
        <v>0.76800000000000002</v>
      </c>
      <c r="D88" s="549">
        <v>0.83</v>
      </c>
      <c r="E88" s="550">
        <f t="shared" si="3"/>
        <v>0.46300000000000002</v>
      </c>
      <c r="F88" s="540">
        <f t="shared" si="4"/>
        <v>0.64600000000000002</v>
      </c>
      <c r="G88" s="551">
        <f t="shared" si="5"/>
        <v>0.70499999999999996</v>
      </c>
      <c r="H88" s="554"/>
      <c r="I88" s="555"/>
      <c r="J88" s="555"/>
      <c r="K88" s="554"/>
      <c r="L88" s="554"/>
      <c r="M88" s="554"/>
      <c r="N88" s="554"/>
      <c r="O88" s="554"/>
      <c r="P88" s="554"/>
      <c r="Q88" s="555"/>
      <c r="R88" s="555"/>
      <c r="S88" s="554"/>
      <c r="T88" s="554"/>
    </row>
    <row r="89" spans="1:20" ht="14.25">
      <c r="A89" s="546">
        <v>8.6999999999999993</v>
      </c>
      <c r="B89" s="547">
        <v>0.56699999999999995</v>
      </c>
      <c r="C89" s="548">
        <v>0.76500000000000001</v>
      </c>
      <c r="D89" s="549">
        <v>0.82699999999999996</v>
      </c>
      <c r="E89" s="550">
        <f t="shared" si="3"/>
        <v>0.46</v>
      </c>
      <c r="F89" s="540">
        <f t="shared" si="4"/>
        <v>0.64300000000000002</v>
      </c>
      <c r="G89" s="551">
        <f t="shared" si="5"/>
        <v>0.70299999999999996</v>
      </c>
      <c r="H89" s="554"/>
      <c r="I89" s="555"/>
      <c r="J89" s="555"/>
      <c r="K89" s="554"/>
      <c r="L89" s="554"/>
      <c r="M89" s="554"/>
      <c r="N89" s="554"/>
      <c r="O89" s="554"/>
      <c r="P89" s="554"/>
      <c r="Q89" s="555"/>
      <c r="R89" s="555"/>
      <c r="S89" s="554"/>
      <c r="T89" s="554"/>
    </row>
    <row r="90" spans="1:20" ht="14.25">
      <c r="A90" s="546">
        <v>8.8000000000000007</v>
      </c>
      <c r="B90" s="547">
        <v>0.56399999999999995</v>
      </c>
      <c r="C90" s="548">
        <v>0.76200000000000001</v>
      </c>
      <c r="D90" s="549">
        <v>0.82499999999999996</v>
      </c>
      <c r="E90" s="550">
        <f t="shared" si="3"/>
        <v>0.45800000000000002</v>
      </c>
      <c r="F90" s="540">
        <f t="shared" si="4"/>
        <v>0.64100000000000001</v>
      </c>
      <c r="G90" s="551">
        <f t="shared" si="5"/>
        <v>0.70099999999999996</v>
      </c>
      <c r="H90" s="554"/>
      <c r="I90" s="555"/>
      <c r="J90" s="555"/>
      <c r="K90" s="554"/>
      <c r="L90" s="554"/>
      <c r="M90" s="554"/>
      <c r="N90" s="554"/>
      <c r="O90" s="554"/>
      <c r="P90" s="554"/>
      <c r="Q90" s="555"/>
      <c r="R90" s="555"/>
      <c r="S90" s="554"/>
      <c r="T90" s="554"/>
    </row>
    <row r="91" spans="1:20" ht="14.25">
      <c r="A91" s="546">
        <v>8.9</v>
      </c>
      <c r="B91" s="547">
        <v>0.56000000000000005</v>
      </c>
      <c r="C91" s="548">
        <v>0.76</v>
      </c>
      <c r="D91" s="549">
        <v>0.82299999999999995</v>
      </c>
      <c r="E91" s="550">
        <f t="shared" si="3"/>
        <v>0.45500000000000002</v>
      </c>
      <c r="F91" s="540">
        <f t="shared" si="4"/>
        <v>0.63900000000000001</v>
      </c>
      <c r="G91" s="551">
        <f t="shared" si="5"/>
        <v>0.69899999999999995</v>
      </c>
      <c r="H91" s="554"/>
      <c r="I91" s="555"/>
      <c r="J91" s="555"/>
      <c r="K91" s="554"/>
      <c r="L91" s="554"/>
      <c r="M91" s="554"/>
      <c r="N91" s="554"/>
      <c r="O91" s="554"/>
      <c r="P91" s="554"/>
      <c r="Q91" s="555"/>
      <c r="R91" s="555"/>
      <c r="S91" s="554"/>
      <c r="T91" s="554"/>
    </row>
    <row r="92" spans="1:20" ht="14.25">
      <c r="A92" s="546">
        <v>9</v>
      </c>
      <c r="B92" s="547">
        <v>0.55600000000000005</v>
      </c>
      <c r="C92" s="548">
        <v>0.75700000000000001</v>
      </c>
      <c r="D92" s="549">
        <v>0.82099999999999995</v>
      </c>
      <c r="E92" s="550">
        <f t="shared" si="3"/>
        <v>0.45100000000000001</v>
      </c>
      <c r="F92" s="540">
        <f t="shared" si="4"/>
        <v>0.63700000000000001</v>
      </c>
      <c r="G92" s="551">
        <f t="shared" si="5"/>
        <v>0.69799999999999995</v>
      </c>
      <c r="H92" s="554"/>
      <c r="I92" s="555"/>
      <c r="J92" s="555"/>
      <c r="K92" s="554"/>
      <c r="L92" s="554"/>
      <c r="M92" s="554"/>
      <c r="N92" s="554"/>
      <c r="O92" s="554"/>
      <c r="P92" s="554"/>
      <c r="Q92" s="555"/>
      <c r="R92" s="555"/>
      <c r="S92" s="554"/>
      <c r="T92" s="554"/>
    </row>
    <row r="93" spans="1:20" ht="14.25">
      <c r="A93" s="546">
        <v>9.1</v>
      </c>
      <c r="B93" s="547">
        <v>0.55300000000000005</v>
      </c>
      <c r="C93" s="548">
        <v>0.754</v>
      </c>
      <c r="D93" s="549">
        <v>0.81899999999999995</v>
      </c>
      <c r="E93" s="550">
        <f t="shared" si="3"/>
        <v>0.44900000000000001</v>
      </c>
      <c r="F93" s="540">
        <f t="shared" si="4"/>
        <v>0.63400000000000001</v>
      </c>
      <c r="G93" s="551">
        <f t="shared" si="5"/>
        <v>0.69599999999999995</v>
      </c>
      <c r="H93" s="554"/>
      <c r="I93" s="555"/>
      <c r="J93" s="555"/>
      <c r="K93" s="554"/>
      <c r="L93" s="554"/>
      <c r="M93" s="554"/>
      <c r="N93" s="554"/>
      <c r="O93" s="554"/>
      <c r="P93" s="554"/>
      <c r="Q93" s="555"/>
      <c r="R93" s="555"/>
      <c r="S93" s="554"/>
      <c r="T93" s="554"/>
    </row>
    <row r="94" spans="1:20" ht="14.25">
      <c r="A94" s="546">
        <v>9.1999999999999993</v>
      </c>
      <c r="B94" s="547">
        <v>0.54900000000000004</v>
      </c>
      <c r="C94" s="548">
        <v>0.751</v>
      </c>
      <c r="D94" s="549">
        <v>0.81699999999999995</v>
      </c>
      <c r="E94" s="550">
        <f t="shared" si="3"/>
        <v>0.44600000000000001</v>
      </c>
      <c r="F94" s="540">
        <f t="shared" si="4"/>
        <v>0.63200000000000001</v>
      </c>
      <c r="G94" s="551">
        <f t="shared" si="5"/>
        <v>0.69399999999999995</v>
      </c>
      <c r="H94" s="554"/>
      <c r="I94" s="555"/>
      <c r="J94" s="555"/>
      <c r="K94" s="554"/>
      <c r="L94" s="554"/>
      <c r="M94" s="554"/>
      <c r="N94" s="554"/>
      <c r="O94" s="554"/>
      <c r="P94" s="554"/>
      <c r="Q94" s="555"/>
      <c r="R94" s="555"/>
      <c r="S94" s="554"/>
      <c r="T94" s="554"/>
    </row>
    <row r="95" spans="1:20" ht="14.25">
      <c r="A95" s="546">
        <v>9.3000000000000007</v>
      </c>
      <c r="B95" s="547">
        <v>0.54500000000000004</v>
      </c>
      <c r="C95" s="548">
        <v>0.748</v>
      </c>
      <c r="D95" s="549">
        <v>0.81399999999999995</v>
      </c>
      <c r="E95" s="550">
        <f t="shared" si="3"/>
        <v>0.442</v>
      </c>
      <c r="F95" s="540">
        <f t="shared" si="4"/>
        <v>0.629</v>
      </c>
      <c r="G95" s="551">
        <f t="shared" si="5"/>
        <v>0.69199999999999995</v>
      </c>
      <c r="H95" s="554"/>
      <c r="I95" s="555"/>
      <c r="J95" s="555"/>
      <c r="K95" s="554"/>
      <c r="L95" s="554"/>
      <c r="M95" s="554"/>
      <c r="N95" s="554"/>
      <c r="O95" s="554"/>
      <c r="P95" s="554"/>
      <c r="Q95" s="555"/>
      <c r="R95" s="555"/>
      <c r="S95" s="554"/>
      <c r="T95" s="554"/>
    </row>
    <row r="96" spans="1:20" ht="14.25">
      <c r="A96" s="546">
        <v>9.4</v>
      </c>
      <c r="B96" s="547">
        <v>0.54100000000000004</v>
      </c>
      <c r="C96" s="548">
        <v>0.746</v>
      </c>
      <c r="D96" s="549">
        <v>0.81200000000000006</v>
      </c>
      <c r="E96" s="550">
        <f t="shared" si="3"/>
        <v>0.439</v>
      </c>
      <c r="F96" s="540">
        <f t="shared" si="4"/>
        <v>0.627</v>
      </c>
      <c r="G96" s="551">
        <f t="shared" si="5"/>
        <v>0.69</v>
      </c>
      <c r="H96" s="554"/>
      <c r="I96" s="555"/>
      <c r="J96" s="555"/>
      <c r="K96" s="554"/>
      <c r="L96" s="554"/>
      <c r="M96" s="554"/>
      <c r="N96" s="554"/>
      <c r="O96" s="554"/>
      <c r="P96" s="554"/>
      <c r="Q96" s="555"/>
      <c r="R96" s="555"/>
      <c r="S96" s="554"/>
      <c r="T96" s="554"/>
    </row>
    <row r="97" spans="1:20" ht="14.25">
      <c r="A97" s="546">
        <v>9.5</v>
      </c>
      <c r="B97" s="547">
        <v>0.53800000000000003</v>
      </c>
      <c r="C97" s="548">
        <v>0.74299999999999999</v>
      </c>
      <c r="D97" s="549">
        <v>0.81</v>
      </c>
      <c r="E97" s="550">
        <f t="shared" si="3"/>
        <v>0.437</v>
      </c>
      <c r="F97" s="540">
        <f t="shared" si="4"/>
        <v>0.625</v>
      </c>
      <c r="G97" s="551">
        <f t="shared" si="5"/>
        <v>0.68799999999999994</v>
      </c>
      <c r="H97" s="554"/>
      <c r="I97" s="555"/>
      <c r="J97" s="555"/>
      <c r="K97" s="554"/>
      <c r="L97" s="554"/>
      <c r="M97" s="554"/>
      <c r="N97" s="554"/>
      <c r="O97" s="554"/>
      <c r="P97" s="554"/>
      <c r="Q97" s="555"/>
      <c r="R97" s="555"/>
      <c r="S97" s="554"/>
      <c r="T97" s="554"/>
    </row>
    <row r="98" spans="1:20" ht="14.25">
      <c r="A98" s="546">
        <v>9.6</v>
      </c>
      <c r="B98" s="547">
        <v>0.53400000000000003</v>
      </c>
      <c r="C98" s="548">
        <v>0.74</v>
      </c>
      <c r="D98" s="549">
        <v>0.80800000000000005</v>
      </c>
      <c r="E98" s="550">
        <f t="shared" si="3"/>
        <v>0.433</v>
      </c>
      <c r="F98" s="540">
        <f t="shared" si="4"/>
        <v>0.622</v>
      </c>
      <c r="G98" s="551">
        <f t="shared" si="5"/>
        <v>0.68600000000000005</v>
      </c>
      <c r="H98" s="554"/>
      <c r="I98" s="555"/>
      <c r="J98" s="555"/>
      <c r="K98" s="554"/>
      <c r="L98" s="554"/>
      <c r="M98" s="554"/>
      <c r="N98" s="554"/>
      <c r="O98" s="554"/>
      <c r="P98" s="554"/>
      <c r="Q98" s="555"/>
      <c r="R98" s="555"/>
      <c r="S98" s="554"/>
      <c r="T98" s="554"/>
    </row>
    <row r="99" spans="1:20" ht="14.25">
      <c r="A99" s="546">
        <v>9.6999999999999993</v>
      </c>
      <c r="B99" s="547">
        <v>0.53</v>
      </c>
      <c r="C99" s="548">
        <v>0.73699999999999999</v>
      </c>
      <c r="D99" s="549">
        <v>0.80600000000000005</v>
      </c>
      <c r="E99" s="550">
        <f t="shared" si="3"/>
        <v>0.43</v>
      </c>
      <c r="F99" s="540">
        <f t="shared" si="4"/>
        <v>0.62</v>
      </c>
      <c r="G99" s="551">
        <f t="shared" si="5"/>
        <v>0.68500000000000005</v>
      </c>
      <c r="H99" s="554"/>
      <c r="I99" s="555"/>
      <c r="J99" s="555"/>
      <c r="K99" s="554"/>
      <c r="L99" s="554"/>
      <c r="M99" s="554"/>
      <c r="N99" s="554"/>
      <c r="O99" s="554"/>
      <c r="P99" s="554"/>
      <c r="Q99" s="555"/>
      <c r="R99" s="555"/>
      <c r="S99" s="554"/>
      <c r="T99" s="554"/>
    </row>
    <row r="100" spans="1:20" ht="14.25">
      <c r="A100" s="546">
        <v>9.8000000000000007</v>
      </c>
      <c r="B100" s="547">
        <v>0.52600000000000002</v>
      </c>
      <c r="C100" s="548">
        <v>0.73499999999999999</v>
      </c>
      <c r="D100" s="549">
        <v>0.80300000000000005</v>
      </c>
      <c r="E100" s="550">
        <f t="shared" si="3"/>
        <v>0.42699999999999999</v>
      </c>
      <c r="F100" s="540">
        <f t="shared" si="4"/>
        <v>0.61799999999999999</v>
      </c>
      <c r="G100" s="551">
        <f t="shared" si="5"/>
        <v>0.68200000000000005</v>
      </c>
      <c r="H100" s="554"/>
      <c r="I100" s="555"/>
      <c r="J100" s="555"/>
      <c r="K100" s="554"/>
      <c r="L100" s="554"/>
      <c r="M100" s="554"/>
      <c r="N100" s="554"/>
      <c r="O100" s="554"/>
      <c r="P100" s="554"/>
      <c r="Q100" s="555"/>
      <c r="R100" s="555"/>
      <c r="S100" s="554"/>
      <c r="T100" s="554"/>
    </row>
    <row r="101" spans="1:20" ht="14.25">
      <c r="A101" s="546">
        <v>9.9</v>
      </c>
      <c r="B101" s="547">
        <v>0.52300000000000002</v>
      </c>
      <c r="C101" s="548">
        <v>0.73199999999999998</v>
      </c>
      <c r="D101" s="549">
        <v>0.80100000000000005</v>
      </c>
      <c r="E101" s="550">
        <f t="shared" si="3"/>
        <v>0.42499999999999999</v>
      </c>
      <c r="F101" s="540">
        <f t="shared" si="4"/>
        <v>0.61599999999999999</v>
      </c>
      <c r="G101" s="551">
        <f t="shared" si="5"/>
        <v>0.68100000000000005</v>
      </c>
      <c r="H101" s="554"/>
      <c r="I101" s="555"/>
      <c r="J101" s="555"/>
      <c r="K101" s="554"/>
      <c r="L101" s="554"/>
      <c r="M101" s="554"/>
      <c r="N101" s="554"/>
      <c r="O101" s="554"/>
      <c r="P101" s="554"/>
      <c r="Q101" s="555"/>
      <c r="R101" s="555"/>
      <c r="S101" s="554"/>
      <c r="T101" s="554"/>
    </row>
    <row r="102" spans="1:20" ht="15" thickBot="1">
      <c r="A102" s="556">
        <v>10</v>
      </c>
      <c r="B102" s="557">
        <v>0.51900000000000002</v>
      </c>
      <c r="C102" s="558">
        <v>0.72899999999999998</v>
      </c>
      <c r="D102" s="559">
        <v>0.79900000000000004</v>
      </c>
      <c r="E102" s="560">
        <f t="shared" si="3"/>
        <v>0.42099999999999999</v>
      </c>
      <c r="F102" s="561">
        <f t="shared" si="4"/>
        <v>0.61299999999999999</v>
      </c>
      <c r="G102" s="562">
        <f t="shared" si="5"/>
        <v>0.67900000000000005</v>
      </c>
      <c r="H102" s="554"/>
      <c r="I102" s="555"/>
      <c r="J102" s="555"/>
      <c r="K102" s="554"/>
      <c r="L102" s="554"/>
      <c r="M102" s="554"/>
      <c r="N102" s="554"/>
      <c r="O102" s="554"/>
      <c r="P102" s="554"/>
      <c r="Q102" s="555"/>
      <c r="R102" s="555"/>
      <c r="S102" s="554"/>
      <c r="T102" s="554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4" customWidth="1"/>
    <col min="2" max="16384" width="9" style="474"/>
  </cols>
  <sheetData>
    <row r="1" spans="1:21">
      <c r="A1" s="512" t="s">
        <v>1317</v>
      </c>
      <c r="B1" s="498" t="s">
        <v>343</v>
      </c>
      <c r="C1" s="502" t="s">
        <v>343</v>
      </c>
      <c r="D1" s="498" t="s">
        <v>403</v>
      </c>
      <c r="E1" s="499" t="s">
        <v>403</v>
      </c>
      <c r="F1" s="504" t="s">
        <v>581</v>
      </c>
      <c r="G1" s="502" t="s">
        <v>581</v>
      </c>
      <c r="H1" s="498" t="s">
        <v>251</v>
      </c>
      <c r="I1" s="499" t="s">
        <v>251</v>
      </c>
      <c r="J1" s="504" t="s">
        <v>663</v>
      </c>
      <c r="K1" s="502" t="s">
        <v>663</v>
      </c>
      <c r="L1" s="498" t="s">
        <v>34</v>
      </c>
      <c r="M1" s="499" t="s">
        <v>34</v>
      </c>
      <c r="N1" s="504" t="s">
        <v>666</v>
      </c>
      <c r="O1" s="502" t="s">
        <v>666</v>
      </c>
      <c r="P1" s="498" t="s">
        <v>668</v>
      </c>
      <c r="Q1" s="499" t="s">
        <v>668</v>
      </c>
      <c r="R1" s="504" t="s">
        <v>670</v>
      </c>
      <c r="S1" s="502" t="s">
        <v>670</v>
      </c>
      <c r="T1" s="498" t="s">
        <v>674</v>
      </c>
      <c r="U1" s="499" t="s">
        <v>674</v>
      </c>
    </row>
    <row r="2" spans="1:21" ht="12.75" thickBot="1">
      <c r="A2" s="513"/>
      <c r="B2" s="500" t="s">
        <v>1322</v>
      </c>
      <c r="C2" s="503" t="s">
        <v>1323</v>
      </c>
      <c r="D2" s="500" t="s">
        <v>1322</v>
      </c>
      <c r="E2" s="501" t="s">
        <v>1323</v>
      </c>
      <c r="F2" s="505" t="s">
        <v>1322</v>
      </c>
      <c r="G2" s="503" t="s">
        <v>1323</v>
      </c>
      <c r="H2" s="500" t="s">
        <v>1322</v>
      </c>
      <c r="I2" s="501" t="s">
        <v>1323</v>
      </c>
      <c r="J2" s="505" t="s">
        <v>1322</v>
      </c>
      <c r="K2" s="503" t="s">
        <v>1323</v>
      </c>
      <c r="L2" s="500" t="s">
        <v>1322</v>
      </c>
      <c r="M2" s="501" t="s">
        <v>1323</v>
      </c>
      <c r="N2" s="505" t="s">
        <v>1322</v>
      </c>
      <c r="O2" s="503" t="s">
        <v>1323</v>
      </c>
      <c r="P2" s="500" t="s">
        <v>1322</v>
      </c>
      <c r="Q2" s="501" t="s">
        <v>1323</v>
      </c>
      <c r="R2" s="505" t="s">
        <v>1322</v>
      </c>
      <c r="S2" s="503" t="s">
        <v>1323</v>
      </c>
      <c r="T2" s="500" t="s">
        <v>1318</v>
      </c>
      <c r="U2" s="501" t="s">
        <v>1319</v>
      </c>
    </row>
    <row r="3" spans="1:21">
      <c r="A3" s="477" t="s">
        <v>895</v>
      </c>
      <c r="B3" s="514">
        <f>0-C3</f>
        <v>-4.4999999999999998E-2</v>
      </c>
      <c r="C3" s="515">
        <v>4.4999999999999998E-2</v>
      </c>
      <c r="D3" s="516">
        <f>0-E3</f>
        <v>-4.4999999999999998E-2</v>
      </c>
      <c r="E3" s="517">
        <v>4.4999999999999998E-2</v>
      </c>
      <c r="F3" s="514">
        <f>0-G3</f>
        <v>-4.4999999999999998E-2</v>
      </c>
      <c r="G3" s="515">
        <v>4.4999999999999998E-2</v>
      </c>
      <c r="H3" s="516">
        <f>0-I3</f>
        <v>-4.4999999999999998E-2</v>
      </c>
      <c r="I3" s="517">
        <v>4.4999999999999998E-2</v>
      </c>
      <c r="J3" s="514">
        <f>0-K3</f>
        <v>-0.06</v>
      </c>
      <c r="K3" s="515">
        <v>0.06</v>
      </c>
      <c r="L3" s="509">
        <v>-0.06</v>
      </c>
      <c r="M3" s="517">
        <v>5.3999999999999999E-2</v>
      </c>
      <c r="N3" s="514">
        <f>0-O3</f>
        <v>-7.4999999999999997E-2</v>
      </c>
      <c r="O3" s="515">
        <v>7.4999999999999997E-2</v>
      </c>
      <c r="P3" s="509">
        <v>-0.114</v>
      </c>
      <c r="Q3" s="517">
        <v>0.111</v>
      </c>
      <c r="R3" s="506">
        <v>-0.114</v>
      </c>
      <c r="S3" s="515">
        <v>0.105</v>
      </c>
      <c r="T3" s="516">
        <f>0-U3</f>
        <v>-0.09</v>
      </c>
      <c r="U3" s="486">
        <v>0.09</v>
      </c>
    </row>
    <row r="4" spans="1:21">
      <c r="A4" s="478" t="s">
        <v>12</v>
      </c>
      <c r="B4" s="518">
        <f t="shared" ref="B4:B9" si="0">0-C4</f>
        <v>-2.2499999999999999E-2</v>
      </c>
      <c r="C4" s="519">
        <v>2.2499999999999999E-2</v>
      </c>
      <c r="D4" s="520">
        <f t="shared" ref="D4:D9" si="1">0-E4</f>
        <v>-2.2499999999999999E-2</v>
      </c>
      <c r="E4" s="521">
        <v>2.2499999999999999E-2</v>
      </c>
      <c r="F4" s="518">
        <f t="shared" ref="F4:F9" si="2">0-G4</f>
        <v>-2.2499999999999999E-2</v>
      </c>
      <c r="G4" s="519">
        <v>2.2499999999999999E-2</v>
      </c>
      <c r="H4" s="520">
        <f t="shared" ref="H4:H9" si="3">0-I4</f>
        <v>-2.2499999999999999E-2</v>
      </c>
      <c r="I4" s="521">
        <v>2.2499999999999999E-2</v>
      </c>
      <c r="J4" s="518">
        <f t="shared" ref="J4:J9" si="4">0-K4</f>
        <v>-0.03</v>
      </c>
      <c r="K4" s="519">
        <v>0.03</v>
      </c>
      <c r="L4" s="510">
        <v>-0.03</v>
      </c>
      <c r="M4" s="521">
        <v>2.7E-2</v>
      </c>
      <c r="N4" s="518">
        <f>0-O4</f>
        <v>-3.7499999999999999E-2</v>
      </c>
      <c r="O4" s="519">
        <v>3.7499999999999999E-2</v>
      </c>
      <c r="P4" s="510">
        <v>-5.7000000000000002E-2</v>
      </c>
      <c r="Q4" s="521">
        <v>5.5500000000000001E-2</v>
      </c>
      <c r="R4" s="507">
        <v>-5.7000000000000002E-2</v>
      </c>
      <c r="S4" s="519">
        <v>5.2499999999999998E-2</v>
      </c>
      <c r="T4" s="520">
        <f t="shared" ref="T4:T9" si="5">0-U4</f>
        <v>-4.4999999999999998E-2</v>
      </c>
      <c r="U4" s="488">
        <v>4.4999999999999998E-2</v>
      </c>
    </row>
    <row r="5" spans="1:21">
      <c r="A5" s="478" t="s">
        <v>16</v>
      </c>
      <c r="B5" s="518">
        <f t="shared" si="0"/>
        <v>-1.4999999999999999E-2</v>
      </c>
      <c r="C5" s="519">
        <v>1.4999999999999999E-2</v>
      </c>
      <c r="D5" s="520">
        <f t="shared" si="1"/>
        <v>-1.4999999999999999E-2</v>
      </c>
      <c r="E5" s="521">
        <v>1.4999999999999999E-2</v>
      </c>
      <c r="F5" s="518">
        <f t="shared" si="2"/>
        <v>-1.4999999999999999E-2</v>
      </c>
      <c r="G5" s="519">
        <v>1.4999999999999999E-2</v>
      </c>
      <c r="H5" s="520">
        <f t="shared" si="3"/>
        <v>-1.4999999999999999E-2</v>
      </c>
      <c r="I5" s="521">
        <v>1.4999999999999999E-2</v>
      </c>
      <c r="J5" s="518">
        <f t="shared" si="4"/>
        <v>-0.02</v>
      </c>
      <c r="K5" s="519">
        <v>0.02</v>
      </c>
      <c r="L5" s="510">
        <v>-0.02</v>
      </c>
      <c r="M5" s="521">
        <v>1.7999999999999999E-2</v>
      </c>
      <c r="N5" s="518">
        <f t="shared" ref="N5:N7" si="6">0-O5</f>
        <v>-2.5000000000000001E-2</v>
      </c>
      <c r="O5" s="519">
        <v>2.5000000000000001E-2</v>
      </c>
      <c r="P5" s="510">
        <v>-3.7999999999999999E-2</v>
      </c>
      <c r="Q5" s="521">
        <v>3.6999999999999998E-2</v>
      </c>
      <c r="R5" s="507">
        <v>-3.7999999999999999E-2</v>
      </c>
      <c r="S5" s="519">
        <v>3.5000000000000003E-2</v>
      </c>
      <c r="T5" s="520">
        <f t="shared" si="5"/>
        <v>-0.03</v>
      </c>
      <c r="U5" s="488">
        <v>0.03</v>
      </c>
    </row>
    <row r="6" spans="1:21">
      <c r="A6" s="478" t="s">
        <v>898</v>
      </c>
      <c r="B6" s="518">
        <f t="shared" si="0"/>
        <v>-0.03</v>
      </c>
      <c r="C6" s="519">
        <v>0.03</v>
      </c>
      <c r="D6" s="520">
        <f t="shared" si="1"/>
        <v>-0.03</v>
      </c>
      <c r="E6" s="521">
        <v>0.03</v>
      </c>
      <c r="F6" s="518">
        <f t="shared" si="2"/>
        <v>-0.03</v>
      </c>
      <c r="G6" s="519">
        <v>0.03</v>
      </c>
      <c r="H6" s="520">
        <f t="shared" si="3"/>
        <v>-0.03</v>
      </c>
      <c r="I6" s="521">
        <v>0.03</v>
      </c>
      <c r="J6" s="518">
        <f t="shared" si="4"/>
        <v>-0.04</v>
      </c>
      <c r="K6" s="519">
        <v>0.04</v>
      </c>
      <c r="L6" s="510">
        <v>-0.04</v>
      </c>
      <c r="M6" s="521">
        <v>3.5999999999999997E-2</v>
      </c>
      <c r="N6" s="518">
        <f t="shared" si="6"/>
        <v>-0.05</v>
      </c>
      <c r="O6" s="519">
        <v>0.05</v>
      </c>
      <c r="P6" s="510">
        <v>-7.5999999999999998E-2</v>
      </c>
      <c r="Q6" s="521">
        <v>7.3999999999999996E-2</v>
      </c>
      <c r="R6" s="507">
        <v>-7.5999999999999998E-2</v>
      </c>
      <c r="S6" s="519">
        <v>7.0000000000000007E-2</v>
      </c>
      <c r="T6" s="520">
        <f t="shared" si="5"/>
        <v>-0.06</v>
      </c>
      <c r="U6" s="488">
        <v>0.06</v>
      </c>
    </row>
    <row r="7" spans="1:21">
      <c r="A7" s="478" t="s">
        <v>899</v>
      </c>
      <c r="B7" s="518">
        <f t="shared" si="0"/>
        <v>-1.4999999999999999E-2</v>
      </c>
      <c r="C7" s="519">
        <v>1.4999999999999999E-2</v>
      </c>
      <c r="D7" s="520">
        <f t="shared" si="1"/>
        <v>-1.4999999999999999E-2</v>
      </c>
      <c r="E7" s="521">
        <v>1.4999999999999999E-2</v>
      </c>
      <c r="F7" s="518">
        <f t="shared" si="2"/>
        <v>-1.4999999999999999E-2</v>
      </c>
      <c r="G7" s="519">
        <v>1.4999999999999999E-2</v>
      </c>
      <c r="H7" s="520">
        <f t="shared" si="3"/>
        <v>-1.4999999999999999E-2</v>
      </c>
      <c r="I7" s="521">
        <v>1.4999999999999999E-2</v>
      </c>
      <c r="J7" s="518">
        <f t="shared" si="4"/>
        <v>-0.02</v>
      </c>
      <c r="K7" s="519">
        <v>0.02</v>
      </c>
      <c r="L7" s="510">
        <v>-0.02</v>
      </c>
      <c r="M7" s="521">
        <v>1.7999999999999999E-2</v>
      </c>
      <c r="N7" s="518">
        <f t="shared" si="6"/>
        <v>-2.5000000000000001E-2</v>
      </c>
      <c r="O7" s="519">
        <v>2.5000000000000001E-2</v>
      </c>
      <c r="P7" s="510">
        <v>-3.7999999999999999E-2</v>
      </c>
      <c r="Q7" s="521">
        <v>3.6999999999999998E-2</v>
      </c>
      <c r="R7" s="507">
        <v>-3.7999999999999999E-2</v>
      </c>
      <c r="S7" s="519">
        <v>3.5000000000000003E-2</v>
      </c>
      <c r="T7" s="520">
        <f t="shared" si="5"/>
        <v>-0.03</v>
      </c>
      <c r="U7" s="488">
        <v>0.03</v>
      </c>
    </row>
    <row r="8" spans="1:21">
      <c r="A8" s="478" t="s">
        <v>900</v>
      </c>
      <c r="B8" s="518">
        <f t="shared" si="0"/>
        <v>-1.2E-2</v>
      </c>
      <c r="C8" s="519">
        <v>1.2E-2</v>
      </c>
      <c r="D8" s="520">
        <f t="shared" si="1"/>
        <v>-1.2E-2</v>
      </c>
      <c r="E8" s="521">
        <v>1.2E-2</v>
      </c>
      <c r="F8" s="518">
        <f t="shared" si="2"/>
        <v>-1.2E-2</v>
      </c>
      <c r="G8" s="519">
        <v>1.2E-2</v>
      </c>
      <c r="H8" s="520">
        <f t="shared" si="3"/>
        <v>-1.2E-2</v>
      </c>
      <c r="I8" s="521">
        <v>1.2E-2</v>
      </c>
      <c r="J8" s="518">
        <f t="shared" si="4"/>
        <v>-1.6E-2</v>
      </c>
      <c r="K8" s="519">
        <v>1.6E-2</v>
      </c>
      <c r="L8" s="510">
        <v>-1.6E-2</v>
      </c>
      <c r="M8" s="521">
        <v>1.44E-2</v>
      </c>
      <c r="N8" s="518">
        <f>0-O8</f>
        <v>-0.02</v>
      </c>
      <c r="O8" s="519">
        <v>0.02</v>
      </c>
      <c r="P8" s="510">
        <v>-3.04E-2</v>
      </c>
      <c r="Q8" s="521">
        <v>2.9600000000000001E-2</v>
      </c>
      <c r="R8" s="507">
        <v>-3.04E-2</v>
      </c>
      <c r="S8" s="519">
        <v>2.8000000000000001E-2</v>
      </c>
      <c r="T8" s="520">
        <f t="shared" si="5"/>
        <v>-2.4E-2</v>
      </c>
      <c r="U8" s="488">
        <v>2.4E-2</v>
      </c>
    </row>
    <row r="9" spans="1:21" ht="12.75" thickBot="1">
      <c r="A9" s="479" t="s">
        <v>902</v>
      </c>
      <c r="B9" s="522">
        <f t="shared" si="0"/>
        <v>-1.0500000000000001E-2</v>
      </c>
      <c r="C9" s="523">
        <v>1.0500000000000001E-2</v>
      </c>
      <c r="D9" s="524">
        <f t="shared" si="1"/>
        <v>-1.0500000000000001E-2</v>
      </c>
      <c r="E9" s="525">
        <v>1.0500000000000001E-2</v>
      </c>
      <c r="F9" s="522">
        <f t="shared" si="2"/>
        <v>-1.0500000000000001E-2</v>
      </c>
      <c r="G9" s="523">
        <v>1.0500000000000001E-2</v>
      </c>
      <c r="H9" s="524">
        <f t="shared" si="3"/>
        <v>-1.0500000000000001E-2</v>
      </c>
      <c r="I9" s="525">
        <v>1.0500000000000001E-2</v>
      </c>
      <c r="J9" s="522">
        <f t="shared" si="4"/>
        <v>-1.4E-2</v>
      </c>
      <c r="K9" s="523">
        <v>1.4E-2</v>
      </c>
      <c r="L9" s="511">
        <v>-1.4E-2</v>
      </c>
      <c r="M9" s="525">
        <v>1.26E-2</v>
      </c>
      <c r="N9" s="522">
        <f>0-O9</f>
        <v>-1.7500000000000002E-2</v>
      </c>
      <c r="O9" s="523">
        <v>1.7500000000000002E-2</v>
      </c>
      <c r="P9" s="511">
        <v>-2.6599999999999999E-2</v>
      </c>
      <c r="Q9" s="525">
        <v>2.5899999999999999E-2</v>
      </c>
      <c r="R9" s="508">
        <v>-2.6599999999999999E-2</v>
      </c>
      <c r="S9" s="523">
        <v>2.4500000000000001E-2</v>
      </c>
      <c r="T9" s="524">
        <f t="shared" si="5"/>
        <v>-2.1000000000000001E-2</v>
      </c>
      <c r="U9" s="491">
        <v>2.1000000000000001E-2</v>
      </c>
    </row>
    <row r="10" spans="1:21">
      <c r="A10" s="477" t="s">
        <v>904</v>
      </c>
      <c r="B10" s="514">
        <f>0-C10</f>
        <v>-0.04</v>
      </c>
      <c r="C10" s="515">
        <v>0.04</v>
      </c>
      <c r="D10" s="516">
        <f>0-E10</f>
        <v>-0.03</v>
      </c>
      <c r="E10" s="517">
        <v>0.03</v>
      </c>
      <c r="F10" s="514">
        <f>0-G10</f>
        <v>-0.03</v>
      </c>
      <c r="G10" s="515">
        <v>0.03</v>
      </c>
      <c r="H10" s="516">
        <f>0-I10</f>
        <v>-0.04</v>
      </c>
      <c r="I10" s="517">
        <v>0.04</v>
      </c>
      <c r="J10" s="506">
        <v>-3.5999999999999997E-2</v>
      </c>
      <c r="K10" s="515">
        <v>3.4000000000000002E-2</v>
      </c>
      <c r="L10" s="509">
        <v>-4.8000000000000001E-2</v>
      </c>
      <c r="M10" s="517">
        <v>4.5999999999999999E-2</v>
      </c>
      <c r="N10" s="514">
        <f>0-O10</f>
        <v>-0.04</v>
      </c>
      <c r="O10" s="515">
        <v>0.04</v>
      </c>
      <c r="P10" s="509">
        <v>-7.1999999999999995E-2</v>
      </c>
      <c r="Q10" s="517">
        <v>6.8000000000000005E-2</v>
      </c>
      <c r="R10" s="506">
        <v>-0.08</v>
      </c>
      <c r="S10" s="515">
        <v>7.1999999999999995E-2</v>
      </c>
      <c r="T10" s="516">
        <f>0-U10</f>
        <v>-0.06</v>
      </c>
      <c r="U10" s="486">
        <v>0.06</v>
      </c>
    </row>
    <row r="11" spans="1:21">
      <c r="A11" s="478" t="s">
        <v>12</v>
      </c>
      <c r="B11" s="518">
        <f t="shared" ref="B11:B16" si="7">0-C11</f>
        <v>-0.05</v>
      </c>
      <c r="C11" s="519">
        <v>0.05</v>
      </c>
      <c r="D11" s="520">
        <f t="shared" ref="D11:F16" si="8">0-E11</f>
        <v>-3.7499999999999999E-2</v>
      </c>
      <c r="E11" s="521">
        <v>3.7499999999999999E-2</v>
      </c>
      <c r="F11" s="518">
        <f t="shared" si="8"/>
        <v>-3.7499999999999999E-2</v>
      </c>
      <c r="G11" s="519">
        <v>3.7499999999999999E-2</v>
      </c>
      <c r="H11" s="520">
        <f t="shared" ref="H11:H16" si="9">0-I11</f>
        <v>-0.05</v>
      </c>
      <c r="I11" s="521">
        <v>0.05</v>
      </c>
      <c r="J11" s="507">
        <v>-4.4999999999999998E-2</v>
      </c>
      <c r="K11" s="519">
        <v>4.2500000000000003E-2</v>
      </c>
      <c r="L11" s="510">
        <v>-0.06</v>
      </c>
      <c r="M11" s="521">
        <v>5.7500000000000002E-2</v>
      </c>
      <c r="N11" s="518">
        <f t="shared" ref="N11:N16" si="10">0-O11</f>
        <v>-0.05</v>
      </c>
      <c r="O11" s="519">
        <v>0.05</v>
      </c>
      <c r="P11" s="510">
        <v>-0.09</v>
      </c>
      <c r="Q11" s="521">
        <v>8.5000000000000006E-2</v>
      </c>
      <c r="R11" s="507">
        <v>-0.1</v>
      </c>
      <c r="S11" s="519">
        <v>0.09</v>
      </c>
      <c r="T11" s="520">
        <f t="shared" ref="T11:T16" si="11">0-U11</f>
        <v>-7.4999999999999997E-2</v>
      </c>
      <c r="U11" s="488">
        <v>7.4999999999999997E-2</v>
      </c>
    </row>
    <row r="12" spans="1:21">
      <c r="A12" s="478" t="s">
        <v>16</v>
      </c>
      <c r="B12" s="518">
        <f t="shared" si="7"/>
        <v>-0.02</v>
      </c>
      <c r="C12" s="519">
        <v>0.02</v>
      </c>
      <c r="D12" s="520">
        <f t="shared" si="8"/>
        <v>-1.4999999999999999E-2</v>
      </c>
      <c r="E12" s="521">
        <v>1.4999999999999999E-2</v>
      </c>
      <c r="F12" s="518">
        <f t="shared" si="8"/>
        <v>-1.4999999999999999E-2</v>
      </c>
      <c r="G12" s="519">
        <v>1.4999999999999999E-2</v>
      </c>
      <c r="H12" s="520">
        <f t="shared" si="9"/>
        <v>-0.02</v>
      </c>
      <c r="I12" s="521">
        <v>0.02</v>
      </c>
      <c r="J12" s="507">
        <v>-1.7999999999999999E-2</v>
      </c>
      <c r="K12" s="519">
        <v>1.7000000000000001E-2</v>
      </c>
      <c r="L12" s="510">
        <v>-2.4E-2</v>
      </c>
      <c r="M12" s="521">
        <v>2.3E-2</v>
      </c>
      <c r="N12" s="518">
        <f t="shared" si="10"/>
        <v>-0.02</v>
      </c>
      <c r="O12" s="519">
        <v>0.02</v>
      </c>
      <c r="P12" s="510">
        <v>-3.5999999999999997E-2</v>
      </c>
      <c r="Q12" s="521">
        <v>3.4000000000000002E-2</v>
      </c>
      <c r="R12" s="507">
        <v>-0.04</v>
      </c>
      <c r="S12" s="519">
        <v>3.5999999999999997E-2</v>
      </c>
      <c r="T12" s="520">
        <f t="shared" si="11"/>
        <v>-0.03</v>
      </c>
      <c r="U12" s="488">
        <v>0.03</v>
      </c>
    </row>
    <row r="13" spans="1:21">
      <c r="A13" s="478" t="s">
        <v>898</v>
      </c>
      <c r="B13" s="518">
        <f t="shared" si="7"/>
        <v>-0.02</v>
      </c>
      <c r="C13" s="519">
        <v>0.02</v>
      </c>
      <c r="D13" s="520">
        <f t="shared" si="8"/>
        <v>-1.4999999999999999E-2</v>
      </c>
      <c r="E13" s="521">
        <v>1.4999999999999999E-2</v>
      </c>
      <c r="F13" s="518">
        <f t="shared" si="8"/>
        <v>-1.4999999999999999E-2</v>
      </c>
      <c r="G13" s="519">
        <v>1.4999999999999999E-2</v>
      </c>
      <c r="H13" s="520">
        <f t="shared" si="9"/>
        <v>-0.02</v>
      </c>
      <c r="I13" s="521">
        <v>0.02</v>
      </c>
      <c r="J13" s="507">
        <v>-1.7999999999999999E-2</v>
      </c>
      <c r="K13" s="519">
        <v>1.7000000000000001E-2</v>
      </c>
      <c r="L13" s="510">
        <v>-2.4E-2</v>
      </c>
      <c r="M13" s="521">
        <v>2.3E-2</v>
      </c>
      <c r="N13" s="518">
        <f t="shared" si="10"/>
        <v>-0.02</v>
      </c>
      <c r="O13" s="519">
        <v>0.02</v>
      </c>
      <c r="P13" s="510">
        <v>-3.5999999999999997E-2</v>
      </c>
      <c r="Q13" s="521">
        <v>3.4000000000000002E-2</v>
      </c>
      <c r="R13" s="507">
        <v>-0.04</v>
      </c>
      <c r="S13" s="519">
        <v>3.5999999999999997E-2</v>
      </c>
      <c r="T13" s="520">
        <f t="shared" si="11"/>
        <v>-0.03</v>
      </c>
      <c r="U13" s="488">
        <v>0.03</v>
      </c>
    </row>
    <row r="14" spans="1:21">
      <c r="A14" s="478" t="s">
        <v>899</v>
      </c>
      <c r="B14" s="518">
        <f t="shared" si="7"/>
        <v>-0.03</v>
      </c>
      <c r="C14" s="519">
        <v>0.03</v>
      </c>
      <c r="D14" s="520">
        <f t="shared" si="8"/>
        <v>-2.2499999999999999E-2</v>
      </c>
      <c r="E14" s="521">
        <v>2.2499999999999999E-2</v>
      </c>
      <c r="F14" s="518">
        <f t="shared" si="8"/>
        <v>-2.2499999999999999E-2</v>
      </c>
      <c r="G14" s="519">
        <v>2.2499999999999999E-2</v>
      </c>
      <c r="H14" s="520">
        <f t="shared" si="9"/>
        <v>-0.03</v>
      </c>
      <c r="I14" s="521">
        <v>0.03</v>
      </c>
      <c r="J14" s="507">
        <v>-2.7E-2</v>
      </c>
      <c r="K14" s="519">
        <v>2.5499999999999998E-2</v>
      </c>
      <c r="L14" s="510">
        <v>-3.5999999999999997E-2</v>
      </c>
      <c r="M14" s="521">
        <v>3.4500000000000003E-2</v>
      </c>
      <c r="N14" s="518">
        <f t="shared" si="10"/>
        <v>-0.03</v>
      </c>
      <c r="O14" s="519">
        <v>0.03</v>
      </c>
      <c r="P14" s="510">
        <v>-5.3999999999999999E-2</v>
      </c>
      <c r="Q14" s="521">
        <v>5.0999999999999997E-2</v>
      </c>
      <c r="R14" s="507">
        <v>-0.06</v>
      </c>
      <c r="S14" s="519">
        <v>5.3999999999999999E-2</v>
      </c>
      <c r="T14" s="520">
        <f t="shared" si="11"/>
        <v>-4.4999999999999998E-2</v>
      </c>
      <c r="U14" s="488">
        <v>4.4999999999999998E-2</v>
      </c>
    </row>
    <row r="15" spans="1:21">
      <c r="A15" s="478" t="s">
        <v>900</v>
      </c>
      <c r="B15" s="518">
        <f t="shared" si="7"/>
        <v>-1.6E-2</v>
      </c>
      <c r="C15" s="519">
        <v>1.6E-2</v>
      </c>
      <c r="D15" s="520">
        <f t="shared" si="8"/>
        <v>-1.2E-2</v>
      </c>
      <c r="E15" s="521">
        <v>1.2E-2</v>
      </c>
      <c r="F15" s="518">
        <f t="shared" si="8"/>
        <v>-1.2E-2</v>
      </c>
      <c r="G15" s="519">
        <v>1.2E-2</v>
      </c>
      <c r="H15" s="520">
        <f t="shared" si="9"/>
        <v>-1.6E-2</v>
      </c>
      <c r="I15" s="521">
        <v>1.6E-2</v>
      </c>
      <c r="J15" s="507">
        <v>-1.44E-2</v>
      </c>
      <c r="K15" s="519">
        <v>1.3599999999999999E-2</v>
      </c>
      <c r="L15" s="510">
        <v>-1.9199999999999998E-2</v>
      </c>
      <c r="M15" s="521">
        <v>1.84E-2</v>
      </c>
      <c r="N15" s="518">
        <f t="shared" si="10"/>
        <v>-1.6E-2</v>
      </c>
      <c r="O15" s="519">
        <v>1.6E-2</v>
      </c>
      <c r="P15" s="510">
        <v>-2.8799999999999999E-2</v>
      </c>
      <c r="Q15" s="521">
        <v>2.7199999999999998E-2</v>
      </c>
      <c r="R15" s="507">
        <v>-3.2000000000000001E-2</v>
      </c>
      <c r="S15" s="519">
        <v>2.8799999999999999E-2</v>
      </c>
      <c r="T15" s="520">
        <f t="shared" si="11"/>
        <v>-2.4E-2</v>
      </c>
      <c r="U15" s="488">
        <v>2.4E-2</v>
      </c>
    </row>
    <row r="16" spans="1:21" ht="12" customHeight="1" thickBot="1">
      <c r="A16" s="479" t="s">
        <v>1315</v>
      </c>
      <c r="B16" s="522">
        <f t="shared" si="7"/>
        <v>-2.4E-2</v>
      </c>
      <c r="C16" s="523">
        <v>2.4E-2</v>
      </c>
      <c r="D16" s="524">
        <f t="shared" si="8"/>
        <v>-1.7999999999999999E-2</v>
      </c>
      <c r="E16" s="525">
        <v>1.7999999999999999E-2</v>
      </c>
      <c r="F16" s="522">
        <f t="shared" si="8"/>
        <v>-1.7999999999999999E-2</v>
      </c>
      <c r="G16" s="523">
        <v>1.7999999999999999E-2</v>
      </c>
      <c r="H16" s="524">
        <f t="shared" si="9"/>
        <v>-2.4E-2</v>
      </c>
      <c r="I16" s="525">
        <v>2.4E-2</v>
      </c>
      <c r="J16" s="508">
        <v>-2.1600000000000001E-2</v>
      </c>
      <c r="K16" s="523">
        <v>2.0400000000000001E-2</v>
      </c>
      <c r="L16" s="511">
        <v>-2.8799999999999999E-2</v>
      </c>
      <c r="M16" s="525">
        <v>2.76E-2</v>
      </c>
      <c r="N16" s="522">
        <f t="shared" si="10"/>
        <v>-2.4E-2</v>
      </c>
      <c r="O16" s="523">
        <v>2.4E-2</v>
      </c>
      <c r="P16" s="511">
        <v>-4.3200000000000002E-2</v>
      </c>
      <c r="Q16" s="525">
        <v>4.0800000000000003E-2</v>
      </c>
      <c r="R16" s="508">
        <v>-4.8000000000000001E-2</v>
      </c>
      <c r="S16" s="523">
        <v>4.3200000000000002E-2</v>
      </c>
      <c r="T16" s="524">
        <f t="shared" si="11"/>
        <v>-3.5999999999999997E-2</v>
      </c>
      <c r="U16" s="491">
        <v>3.5999999999999997E-2</v>
      </c>
    </row>
    <row r="17" spans="1:21">
      <c r="A17" s="477" t="s">
        <v>17</v>
      </c>
      <c r="B17" s="514">
        <f>0-C17</f>
        <v>-0.02</v>
      </c>
      <c r="C17" s="515">
        <v>0.02</v>
      </c>
      <c r="D17" s="516">
        <f t="shared" ref="D17:D24" si="12">0-E17</f>
        <v>-2.1000000000000001E-2</v>
      </c>
      <c r="E17" s="517">
        <v>2.1000000000000001E-2</v>
      </c>
      <c r="F17" s="506">
        <v>-1.4999999999999999E-2</v>
      </c>
      <c r="G17" s="515">
        <v>2.5000000000000001E-2</v>
      </c>
      <c r="H17" s="509">
        <v>-1.7000000000000001E-2</v>
      </c>
      <c r="I17" s="517">
        <v>2.5999999999999999E-2</v>
      </c>
      <c r="J17" s="514">
        <f>0-K17</f>
        <v>-0.03</v>
      </c>
      <c r="K17" s="515">
        <v>0.03</v>
      </c>
      <c r="L17" s="516">
        <f t="shared" ref="L17:L24" si="13">0-M17</f>
        <v>-2.5999999999999999E-2</v>
      </c>
      <c r="M17" s="517">
        <v>2.5999999999999999E-2</v>
      </c>
      <c r="N17" s="506">
        <v>-2.7E-2</v>
      </c>
      <c r="O17" s="515">
        <v>2.5999999999999999E-2</v>
      </c>
      <c r="P17" s="516">
        <f t="shared" ref="P17:P24" si="14">0-Q17</f>
        <v>-3.3000000000000002E-2</v>
      </c>
      <c r="Q17" s="517">
        <v>3.3000000000000002E-2</v>
      </c>
      <c r="R17" s="506">
        <v>-3.5999999999999997E-2</v>
      </c>
      <c r="S17" s="515">
        <v>3.2000000000000001E-2</v>
      </c>
      <c r="T17" s="516">
        <f>0-U17</f>
        <v>-0.03</v>
      </c>
      <c r="U17" s="517">
        <v>0.03</v>
      </c>
    </row>
    <row r="18" spans="1:21">
      <c r="A18" s="478" t="s">
        <v>12</v>
      </c>
      <c r="B18" s="518">
        <f t="shared" ref="B18:B24" si="15">0-C18</f>
        <v>-0.04</v>
      </c>
      <c r="C18" s="519">
        <v>0.04</v>
      </c>
      <c r="D18" s="520">
        <f t="shared" si="12"/>
        <v>-4.2000000000000003E-2</v>
      </c>
      <c r="E18" s="521">
        <v>4.2000000000000003E-2</v>
      </c>
      <c r="F18" s="507">
        <v>-0.03</v>
      </c>
      <c r="G18" s="519">
        <v>0.05</v>
      </c>
      <c r="H18" s="510">
        <v>-3.4000000000000002E-2</v>
      </c>
      <c r="I18" s="521">
        <v>5.1999999999999998E-2</v>
      </c>
      <c r="J18" s="518">
        <f t="shared" ref="J18:J24" si="16">0-K18</f>
        <v>-0.06</v>
      </c>
      <c r="K18" s="519">
        <v>0.06</v>
      </c>
      <c r="L18" s="520">
        <f t="shared" si="13"/>
        <v>-5.1999999999999998E-2</v>
      </c>
      <c r="M18" s="521">
        <v>5.1999999999999998E-2</v>
      </c>
      <c r="N18" s="507">
        <v>-5.3999999999999999E-2</v>
      </c>
      <c r="O18" s="519">
        <v>5.1999999999999998E-2</v>
      </c>
      <c r="P18" s="520">
        <f t="shared" si="14"/>
        <v>-6.6000000000000003E-2</v>
      </c>
      <c r="Q18" s="521">
        <v>6.6000000000000003E-2</v>
      </c>
      <c r="R18" s="507">
        <v>-7.1999999999999995E-2</v>
      </c>
      <c r="S18" s="519">
        <v>6.4000000000000001E-2</v>
      </c>
      <c r="T18" s="520">
        <f t="shared" ref="T18:T24" si="17">0-U18</f>
        <v>-0.06</v>
      </c>
      <c r="U18" s="521">
        <v>0.06</v>
      </c>
    </row>
    <row r="19" spans="1:21">
      <c r="A19" s="478" t="s">
        <v>16</v>
      </c>
      <c r="B19" s="518">
        <f t="shared" si="15"/>
        <v>-0.02</v>
      </c>
      <c r="C19" s="519">
        <v>0.02</v>
      </c>
      <c r="D19" s="520">
        <f t="shared" si="12"/>
        <v>-2.1000000000000001E-2</v>
      </c>
      <c r="E19" s="521">
        <v>2.1000000000000001E-2</v>
      </c>
      <c r="F19" s="507">
        <v>-1.4999999999999999E-2</v>
      </c>
      <c r="G19" s="519">
        <v>2.5000000000000001E-2</v>
      </c>
      <c r="H19" s="510">
        <v>-1.7000000000000001E-2</v>
      </c>
      <c r="I19" s="521">
        <v>2.5999999999999999E-2</v>
      </c>
      <c r="J19" s="518">
        <f t="shared" si="16"/>
        <v>-0.03</v>
      </c>
      <c r="K19" s="519">
        <v>0.03</v>
      </c>
      <c r="L19" s="520">
        <f t="shared" si="13"/>
        <v>-2.5999999999999999E-2</v>
      </c>
      <c r="M19" s="521">
        <v>2.5999999999999999E-2</v>
      </c>
      <c r="N19" s="507">
        <v>-2.7E-2</v>
      </c>
      <c r="O19" s="519">
        <v>2.5999999999999999E-2</v>
      </c>
      <c r="P19" s="520">
        <f t="shared" si="14"/>
        <v>-3.3000000000000002E-2</v>
      </c>
      <c r="Q19" s="521">
        <v>3.3000000000000002E-2</v>
      </c>
      <c r="R19" s="507">
        <v>-3.5999999999999997E-2</v>
      </c>
      <c r="S19" s="519">
        <v>3.2000000000000001E-2</v>
      </c>
      <c r="T19" s="520">
        <f t="shared" si="17"/>
        <v>-0.03</v>
      </c>
      <c r="U19" s="521">
        <v>0.03</v>
      </c>
    </row>
    <row r="20" spans="1:21">
      <c r="A20" s="478" t="s">
        <v>906</v>
      </c>
      <c r="B20" s="518">
        <f t="shared" si="15"/>
        <v>-0.02</v>
      </c>
      <c r="C20" s="519">
        <v>0.02</v>
      </c>
      <c r="D20" s="520">
        <f t="shared" si="12"/>
        <v>-2.1000000000000001E-2</v>
      </c>
      <c r="E20" s="521">
        <v>2.1000000000000001E-2</v>
      </c>
      <c r="F20" s="507">
        <v>-1.4999999999999999E-2</v>
      </c>
      <c r="G20" s="519">
        <v>2.5000000000000001E-2</v>
      </c>
      <c r="H20" s="510">
        <v>-1.7000000000000001E-2</v>
      </c>
      <c r="I20" s="521">
        <v>2.5999999999999999E-2</v>
      </c>
      <c r="J20" s="518">
        <f t="shared" si="16"/>
        <v>-0.03</v>
      </c>
      <c r="K20" s="519">
        <v>0.03</v>
      </c>
      <c r="L20" s="520">
        <f t="shared" si="13"/>
        <v>-2.5999999999999999E-2</v>
      </c>
      <c r="M20" s="521">
        <v>2.5999999999999999E-2</v>
      </c>
      <c r="N20" s="507">
        <v>-2.7E-2</v>
      </c>
      <c r="O20" s="519">
        <v>2.5999999999999999E-2</v>
      </c>
      <c r="P20" s="520">
        <f t="shared" si="14"/>
        <v>-3.3000000000000002E-2</v>
      </c>
      <c r="Q20" s="521">
        <v>3.3000000000000002E-2</v>
      </c>
      <c r="R20" s="507">
        <v>-3.5999999999999997E-2</v>
      </c>
      <c r="S20" s="519">
        <v>3.2000000000000001E-2</v>
      </c>
      <c r="T20" s="520">
        <f t="shared" si="17"/>
        <v>-0.03</v>
      </c>
      <c r="U20" s="521">
        <v>0.03</v>
      </c>
    </row>
    <row r="21" spans="1:21">
      <c r="A21" s="478" t="s">
        <v>900</v>
      </c>
      <c r="B21" s="518">
        <f t="shared" si="15"/>
        <v>-1.6E-2</v>
      </c>
      <c r="C21" s="519">
        <v>1.6E-2</v>
      </c>
      <c r="D21" s="520">
        <f t="shared" si="12"/>
        <v>-1.6799999999999999E-2</v>
      </c>
      <c r="E21" s="521">
        <v>1.6799999999999999E-2</v>
      </c>
      <c r="F21" s="507">
        <v>-1.2E-2</v>
      </c>
      <c r="G21" s="519">
        <v>0.02</v>
      </c>
      <c r="H21" s="510">
        <v>-1.3599999999999999E-2</v>
      </c>
      <c r="I21" s="521">
        <v>2.0799999999999999E-2</v>
      </c>
      <c r="J21" s="518">
        <f t="shared" si="16"/>
        <v>-2.4E-2</v>
      </c>
      <c r="K21" s="519">
        <v>2.4E-2</v>
      </c>
      <c r="L21" s="520">
        <f t="shared" si="13"/>
        <v>-2.0799999999999999E-2</v>
      </c>
      <c r="M21" s="521">
        <v>2.0799999999999999E-2</v>
      </c>
      <c r="N21" s="507">
        <v>-2.1600000000000001E-2</v>
      </c>
      <c r="O21" s="519">
        <v>2.0799999999999999E-2</v>
      </c>
      <c r="P21" s="520">
        <f t="shared" si="14"/>
        <v>-2.64E-2</v>
      </c>
      <c r="Q21" s="521">
        <v>2.64E-2</v>
      </c>
      <c r="R21" s="507">
        <v>-2.8799999999999999E-2</v>
      </c>
      <c r="S21" s="519">
        <v>2.5600000000000001E-2</v>
      </c>
      <c r="T21" s="520">
        <f t="shared" si="17"/>
        <v>-2.4E-2</v>
      </c>
      <c r="U21" s="521">
        <v>2.4E-2</v>
      </c>
    </row>
    <row r="22" spans="1:21" ht="12" customHeight="1">
      <c r="A22" s="478" t="s">
        <v>1315</v>
      </c>
      <c r="B22" s="518">
        <f t="shared" si="15"/>
        <v>-2.4E-2</v>
      </c>
      <c r="C22" s="519">
        <v>2.4E-2</v>
      </c>
      <c r="D22" s="520">
        <f t="shared" si="12"/>
        <v>-2.52E-2</v>
      </c>
      <c r="E22" s="521">
        <v>2.52E-2</v>
      </c>
      <c r="F22" s="507">
        <v>-1.7999999999999999E-2</v>
      </c>
      <c r="G22" s="519">
        <v>0.03</v>
      </c>
      <c r="H22" s="510">
        <v>-2.0400000000000001E-2</v>
      </c>
      <c r="I22" s="521">
        <v>3.1199999999999999E-2</v>
      </c>
      <c r="J22" s="518">
        <f t="shared" si="16"/>
        <v>-3.5999999999999997E-2</v>
      </c>
      <c r="K22" s="519">
        <v>3.5999999999999997E-2</v>
      </c>
      <c r="L22" s="520">
        <f t="shared" si="13"/>
        <v>-3.1199999999999999E-2</v>
      </c>
      <c r="M22" s="521">
        <v>3.1199999999999999E-2</v>
      </c>
      <c r="N22" s="507">
        <v>-3.2399999999999998E-2</v>
      </c>
      <c r="O22" s="519">
        <v>3.1199999999999999E-2</v>
      </c>
      <c r="P22" s="520">
        <f t="shared" si="14"/>
        <v>-3.9600000000000003E-2</v>
      </c>
      <c r="Q22" s="521">
        <v>3.9600000000000003E-2</v>
      </c>
      <c r="R22" s="507">
        <v>-4.3200000000000002E-2</v>
      </c>
      <c r="S22" s="519">
        <v>3.8399999999999997E-2</v>
      </c>
      <c r="T22" s="520">
        <f t="shared" si="17"/>
        <v>-3.5999999999999997E-2</v>
      </c>
      <c r="U22" s="521">
        <v>3.5999999999999997E-2</v>
      </c>
    </row>
    <row r="23" spans="1:21">
      <c r="A23" s="478" t="s">
        <v>903</v>
      </c>
      <c r="B23" s="518">
        <f t="shared" si="15"/>
        <v>-0.04</v>
      </c>
      <c r="C23" s="519">
        <v>0.04</v>
      </c>
      <c r="D23" s="520">
        <f t="shared" si="12"/>
        <v>-4.2000000000000003E-2</v>
      </c>
      <c r="E23" s="521">
        <v>4.2000000000000003E-2</v>
      </c>
      <c r="F23" s="507">
        <v>-0.03</v>
      </c>
      <c r="G23" s="519">
        <v>0.05</v>
      </c>
      <c r="H23" s="510">
        <v>-3.4000000000000002E-2</v>
      </c>
      <c r="I23" s="521">
        <v>5.1999999999999998E-2</v>
      </c>
      <c r="J23" s="518">
        <f t="shared" si="16"/>
        <v>-0.06</v>
      </c>
      <c r="K23" s="519">
        <v>0.06</v>
      </c>
      <c r="L23" s="520">
        <f t="shared" si="13"/>
        <v>-5.1999999999999998E-2</v>
      </c>
      <c r="M23" s="521">
        <v>5.1999999999999998E-2</v>
      </c>
      <c r="N23" s="507">
        <v>-5.3999999999999999E-2</v>
      </c>
      <c r="O23" s="519">
        <v>5.1999999999999998E-2</v>
      </c>
      <c r="P23" s="520">
        <f t="shared" si="14"/>
        <v>-6.6000000000000003E-2</v>
      </c>
      <c r="Q23" s="521">
        <v>6.6000000000000003E-2</v>
      </c>
      <c r="R23" s="507">
        <v>-7.1999999999999995E-2</v>
      </c>
      <c r="S23" s="519">
        <v>6.4000000000000001E-2</v>
      </c>
      <c r="T23" s="520">
        <f t="shared" si="17"/>
        <v>-0.06</v>
      </c>
      <c r="U23" s="521">
        <v>0.06</v>
      </c>
    </row>
    <row r="24" spans="1:21" ht="12.75" thickBot="1">
      <c r="A24" s="479" t="s">
        <v>1316</v>
      </c>
      <c r="B24" s="522">
        <f t="shared" si="15"/>
        <v>-0.02</v>
      </c>
      <c r="C24" s="523">
        <v>0.02</v>
      </c>
      <c r="D24" s="524">
        <f t="shared" si="12"/>
        <v>-2.1000000000000001E-2</v>
      </c>
      <c r="E24" s="525">
        <v>2.1000000000000001E-2</v>
      </c>
      <c r="F24" s="508">
        <v>-1.4999999999999999E-2</v>
      </c>
      <c r="G24" s="523">
        <v>2.5000000000000001E-2</v>
      </c>
      <c r="H24" s="511">
        <v>-1.7000000000000001E-2</v>
      </c>
      <c r="I24" s="525">
        <v>2.5999999999999999E-2</v>
      </c>
      <c r="J24" s="522">
        <f t="shared" si="16"/>
        <v>-0.03</v>
      </c>
      <c r="K24" s="523">
        <v>0.03</v>
      </c>
      <c r="L24" s="524">
        <f t="shared" si="13"/>
        <v>-2.5999999999999999E-2</v>
      </c>
      <c r="M24" s="525">
        <v>2.5999999999999999E-2</v>
      </c>
      <c r="N24" s="508">
        <v>-2.7E-2</v>
      </c>
      <c r="O24" s="523">
        <v>2.5999999999999999E-2</v>
      </c>
      <c r="P24" s="524">
        <f t="shared" si="14"/>
        <v>-3.3000000000000002E-2</v>
      </c>
      <c r="Q24" s="525">
        <v>3.3000000000000002E-2</v>
      </c>
      <c r="R24" s="508">
        <v>-3.5999999999999997E-2</v>
      </c>
      <c r="S24" s="523">
        <v>3.2000000000000001E-2</v>
      </c>
      <c r="T24" s="524">
        <f t="shared" si="17"/>
        <v>-0.03</v>
      </c>
      <c r="U24" s="525">
        <v>0.03</v>
      </c>
    </row>
    <row r="25" spans="1:21">
      <c r="A25" s="478" t="s">
        <v>28</v>
      </c>
      <c r="B25" s="514">
        <f>0-C25</f>
        <v>-0.02</v>
      </c>
      <c r="C25" s="515">
        <v>0.02</v>
      </c>
      <c r="D25" s="516">
        <f t="shared" ref="D25:F31" si="18">0-E25</f>
        <v>-0.02</v>
      </c>
      <c r="E25" s="517">
        <v>0.02</v>
      </c>
      <c r="F25" s="514">
        <f t="shared" si="18"/>
        <v>-0.04</v>
      </c>
      <c r="G25" s="515">
        <v>0.04</v>
      </c>
      <c r="H25" s="516">
        <f t="shared" ref="H25" si="19">0-I25</f>
        <v>-4.8000000000000001E-2</v>
      </c>
      <c r="I25" s="517">
        <v>4.8000000000000001E-2</v>
      </c>
      <c r="J25" s="506">
        <v>-0.05</v>
      </c>
      <c r="K25" s="515">
        <v>4.8000000000000001E-2</v>
      </c>
      <c r="L25" s="516">
        <f t="shared" ref="L25:P31" si="20">0-M25</f>
        <v>-0.04</v>
      </c>
      <c r="M25" s="517">
        <v>0.04</v>
      </c>
      <c r="N25" s="514">
        <f t="shared" si="20"/>
        <v>-4.5999999999999999E-2</v>
      </c>
      <c r="O25" s="515">
        <v>4.5999999999999999E-2</v>
      </c>
      <c r="P25" s="516">
        <f t="shared" si="20"/>
        <v>-5.1999999999999998E-2</v>
      </c>
      <c r="Q25" s="517">
        <v>5.1999999999999998E-2</v>
      </c>
    </row>
    <row r="26" spans="1:21">
      <c r="A26" s="478" t="s">
        <v>12</v>
      </c>
      <c r="B26" s="518">
        <f t="shared" ref="B26:B31" si="21">0-C26</f>
        <v>-3.2000000000000001E-2</v>
      </c>
      <c r="C26" s="519">
        <v>3.2000000000000001E-2</v>
      </c>
      <c r="D26" s="520">
        <f t="shared" si="18"/>
        <v>-3.2000000000000001E-2</v>
      </c>
      <c r="E26" s="521">
        <v>3.2000000000000001E-2</v>
      </c>
      <c r="F26" s="518">
        <f t="shared" ref="F26" si="22">0-G26</f>
        <v>-6.4000000000000001E-2</v>
      </c>
      <c r="G26" s="519">
        <v>6.4000000000000001E-2</v>
      </c>
      <c r="H26" s="520">
        <f t="shared" ref="H26" si="23">0-I26</f>
        <v>-7.6799999999999993E-2</v>
      </c>
      <c r="I26" s="521">
        <v>7.6799999999999993E-2</v>
      </c>
      <c r="J26" s="507">
        <v>-0.08</v>
      </c>
      <c r="K26" s="519">
        <v>7.6799999999999993E-2</v>
      </c>
      <c r="L26" s="520">
        <f t="shared" si="20"/>
        <v>-6.4000000000000001E-2</v>
      </c>
      <c r="M26" s="521">
        <v>6.4000000000000001E-2</v>
      </c>
      <c r="N26" s="518">
        <f t="shared" ref="N26" si="24">0-O26</f>
        <v>-7.3599999999999999E-2</v>
      </c>
      <c r="O26" s="519">
        <v>7.3599999999999999E-2</v>
      </c>
      <c r="P26" s="520">
        <f t="shared" ref="P26" si="25">0-Q26</f>
        <v>-8.3199999999999996E-2</v>
      </c>
      <c r="Q26" s="521">
        <v>8.3199999999999996E-2</v>
      </c>
    </row>
    <row r="27" spans="1:21">
      <c r="A27" s="478" t="s">
        <v>16</v>
      </c>
      <c r="B27" s="518">
        <f t="shared" si="21"/>
        <v>-0.01</v>
      </c>
      <c r="C27" s="519">
        <v>0.01</v>
      </c>
      <c r="D27" s="520">
        <f t="shared" si="18"/>
        <v>-0.01</v>
      </c>
      <c r="E27" s="521">
        <v>0.01</v>
      </c>
      <c r="F27" s="518">
        <f t="shared" ref="F27" si="26">0-G27</f>
        <v>-0.02</v>
      </c>
      <c r="G27" s="519">
        <v>0.02</v>
      </c>
      <c r="H27" s="520">
        <f t="shared" ref="H27" si="27">0-I27</f>
        <v>-2.4E-2</v>
      </c>
      <c r="I27" s="521">
        <v>2.4E-2</v>
      </c>
      <c r="J27" s="507">
        <v>-2.5000000000000001E-2</v>
      </c>
      <c r="K27" s="519">
        <v>2.4E-2</v>
      </c>
      <c r="L27" s="520">
        <f t="shared" si="20"/>
        <v>-0.02</v>
      </c>
      <c r="M27" s="521">
        <v>0.02</v>
      </c>
      <c r="N27" s="518">
        <f t="shared" ref="N27" si="28">0-O27</f>
        <v>-2.3E-2</v>
      </c>
      <c r="O27" s="519">
        <v>2.3E-2</v>
      </c>
      <c r="P27" s="520">
        <f t="shared" ref="P27" si="29">0-Q27</f>
        <v>-2.5999999999999999E-2</v>
      </c>
      <c r="Q27" s="521">
        <v>2.5999999999999999E-2</v>
      </c>
    </row>
    <row r="28" spans="1:21">
      <c r="A28" s="478" t="s">
        <v>906</v>
      </c>
      <c r="B28" s="518">
        <f t="shared" si="21"/>
        <v>-8.0000000000000002E-3</v>
      </c>
      <c r="C28" s="519">
        <v>8.0000000000000002E-3</v>
      </c>
      <c r="D28" s="520">
        <f t="shared" si="18"/>
        <v>-8.0000000000000002E-3</v>
      </c>
      <c r="E28" s="521">
        <v>8.0000000000000002E-3</v>
      </c>
      <c r="F28" s="518">
        <f t="shared" ref="F28" si="30">0-G28</f>
        <v>-1.6E-2</v>
      </c>
      <c r="G28" s="519">
        <v>1.6E-2</v>
      </c>
      <c r="H28" s="520">
        <f t="shared" ref="H28" si="31">0-I28</f>
        <v>-1.9199999999999998E-2</v>
      </c>
      <c r="I28" s="521">
        <v>1.9199999999999998E-2</v>
      </c>
      <c r="J28" s="507">
        <v>-0.02</v>
      </c>
      <c r="K28" s="519">
        <v>1.9199999999999998E-2</v>
      </c>
      <c r="L28" s="520">
        <f t="shared" si="20"/>
        <v>-1.6E-2</v>
      </c>
      <c r="M28" s="521">
        <v>1.6E-2</v>
      </c>
      <c r="N28" s="518">
        <f t="shared" ref="N28" si="32">0-O28</f>
        <v>-1.84E-2</v>
      </c>
      <c r="O28" s="519">
        <v>1.84E-2</v>
      </c>
      <c r="P28" s="520">
        <f t="shared" ref="P28" si="33">0-Q28</f>
        <v>-2.0799999999999999E-2</v>
      </c>
      <c r="Q28" s="521">
        <v>2.0799999999999999E-2</v>
      </c>
    </row>
    <row r="29" spans="1:21">
      <c r="A29" s="478" t="s">
        <v>900</v>
      </c>
      <c r="B29" s="518">
        <f t="shared" si="21"/>
        <v>-1.2E-2</v>
      </c>
      <c r="C29" s="519">
        <v>1.2E-2</v>
      </c>
      <c r="D29" s="520">
        <f t="shared" si="18"/>
        <v>-1.2E-2</v>
      </c>
      <c r="E29" s="521">
        <v>1.2E-2</v>
      </c>
      <c r="F29" s="518">
        <f t="shared" ref="F29" si="34">0-G29</f>
        <v>-2.4E-2</v>
      </c>
      <c r="G29" s="519">
        <v>2.4E-2</v>
      </c>
      <c r="H29" s="520">
        <f t="shared" ref="H29" si="35">0-I29</f>
        <v>-2.8799999999999999E-2</v>
      </c>
      <c r="I29" s="521">
        <v>2.8799999999999999E-2</v>
      </c>
      <c r="J29" s="507">
        <v>-0.03</v>
      </c>
      <c r="K29" s="519">
        <v>2.8799999999999999E-2</v>
      </c>
      <c r="L29" s="520">
        <f t="shared" si="20"/>
        <v>-2.4E-2</v>
      </c>
      <c r="M29" s="521">
        <v>2.4E-2</v>
      </c>
      <c r="N29" s="518">
        <f t="shared" ref="N29" si="36">0-O29</f>
        <v>-2.76E-2</v>
      </c>
      <c r="O29" s="519">
        <v>2.76E-2</v>
      </c>
      <c r="P29" s="520">
        <f t="shared" ref="P29" si="37">0-Q29</f>
        <v>-3.1199999999999999E-2</v>
      </c>
      <c r="Q29" s="521">
        <v>3.1199999999999999E-2</v>
      </c>
    </row>
    <row r="30" spans="1:21">
      <c r="A30" s="478" t="s">
        <v>902</v>
      </c>
      <c r="B30" s="518">
        <f t="shared" si="21"/>
        <v>-0.01</v>
      </c>
      <c r="C30" s="519">
        <v>0.01</v>
      </c>
      <c r="D30" s="520">
        <f t="shared" si="18"/>
        <v>-0.01</v>
      </c>
      <c r="E30" s="521">
        <v>0.01</v>
      </c>
      <c r="F30" s="518">
        <f t="shared" ref="F30" si="38">0-G30</f>
        <v>-0.02</v>
      </c>
      <c r="G30" s="519">
        <v>0.02</v>
      </c>
      <c r="H30" s="520">
        <f t="shared" ref="H30" si="39">0-I30</f>
        <v>-2.4E-2</v>
      </c>
      <c r="I30" s="521">
        <v>2.4E-2</v>
      </c>
      <c r="J30" s="507">
        <v>-2.5000000000000001E-2</v>
      </c>
      <c r="K30" s="519">
        <v>2.4E-2</v>
      </c>
      <c r="L30" s="520">
        <f t="shared" si="20"/>
        <v>-0.02</v>
      </c>
      <c r="M30" s="521">
        <v>0.02</v>
      </c>
      <c r="N30" s="518">
        <f t="shared" ref="N30" si="40">0-O30</f>
        <v>-2.3E-2</v>
      </c>
      <c r="O30" s="519">
        <v>2.3E-2</v>
      </c>
      <c r="P30" s="520">
        <f t="shared" ref="P30" si="41">0-Q30</f>
        <v>-2.5999999999999999E-2</v>
      </c>
      <c r="Q30" s="521">
        <v>2.5999999999999999E-2</v>
      </c>
    </row>
    <row r="31" spans="1:21" ht="12.75" thickBot="1">
      <c r="A31" s="479" t="s">
        <v>909</v>
      </c>
      <c r="B31" s="522">
        <f t="shared" si="21"/>
        <v>-8.0000000000000002E-3</v>
      </c>
      <c r="C31" s="523">
        <v>8.0000000000000002E-3</v>
      </c>
      <c r="D31" s="524">
        <f t="shared" si="18"/>
        <v>-8.0000000000000002E-3</v>
      </c>
      <c r="E31" s="525">
        <v>8.0000000000000002E-3</v>
      </c>
      <c r="F31" s="522">
        <f t="shared" ref="F31" si="42">0-G31</f>
        <v>-1.6E-2</v>
      </c>
      <c r="G31" s="523">
        <v>1.6E-2</v>
      </c>
      <c r="H31" s="524">
        <f t="shared" ref="H31" si="43">0-I31</f>
        <v>-1.9199999999999998E-2</v>
      </c>
      <c r="I31" s="525">
        <v>1.9199999999999998E-2</v>
      </c>
      <c r="J31" s="508">
        <v>-0.02</v>
      </c>
      <c r="K31" s="523">
        <v>1.9199999999999998E-2</v>
      </c>
      <c r="L31" s="524">
        <f t="shared" si="20"/>
        <v>-1.6E-2</v>
      </c>
      <c r="M31" s="525">
        <v>1.6E-2</v>
      </c>
      <c r="N31" s="522">
        <f t="shared" ref="N31" si="44">0-O31</f>
        <v>-1.84E-2</v>
      </c>
      <c r="O31" s="523">
        <v>1.84E-2</v>
      </c>
      <c r="P31" s="524">
        <f t="shared" ref="P31" si="45">0-Q31</f>
        <v>-2.0799999999999999E-2</v>
      </c>
      <c r="Q31" s="525">
        <v>2.0799999999999999E-2</v>
      </c>
    </row>
    <row r="34" spans="1:11" ht="12.75" thickBot="1"/>
    <row r="35" spans="1:11" ht="12.75" thickBot="1">
      <c r="A35" s="492" t="s">
        <v>1321</v>
      </c>
      <c r="B35" s="493" t="s">
        <v>290</v>
      </c>
      <c r="C35" s="494" t="s">
        <v>33</v>
      </c>
      <c r="D35" s="494" t="s">
        <v>292</v>
      </c>
      <c r="E35" s="494" t="s">
        <v>30</v>
      </c>
      <c r="F35" s="494" t="s">
        <v>31</v>
      </c>
      <c r="G35" s="494" t="s">
        <v>32</v>
      </c>
      <c r="H35" s="495" t="s">
        <v>296</v>
      </c>
      <c r="I35" s="495" t="s">
        <v>297</v>
      </c>
      <c r="J35" s="494" t="s">
        <v>298</v>
      </c>
      <c r="K35" s="496" t="s">
        <v>299</v>
      </c>
    </row>
    <row r="36" spans="1:11">
      <c r="A36" s="480" t="s">
        <v>895</v>
      </c>
      <c r="B36" s="484">
        <f>C3</f>
        <v>4.4999999999999998E-2</v>
      </c>
      <c r="C36" s="485">
        <f>E3</f>
        <v>4.4999999999999998E-2</v>
      </c>
      <c r="D36" s="485">
        <f>G3</f>
        <v>4.4999999999999998E-2</v>
      </c>
      <c r="E36" s="485">
        <f>I3</f>
        <v>4.4999999999999998E-2</v>
      </c>
      <c r="F36" s="485">
        <f>K3</f>
        <v>0.06</v>
      </c>
      <c r="G36" s="485">
        <f>M3</f>
        <v>5.3999999999999999E-2</v>
      </c>
      <c r="H36" s="485">
        <f>O3</f>
        <v>7.4999999999999997E-2</v>
      </c>
      <c r="I36" s="485">
        <f>Q3</f>
        <v>0.111</v>
      </c>
      <c r="J36" s="485">
        <f>S3</f>
        <v>0.105</v>
      </c>
      <c r="K36" s="486">
        <f>U3</f>
        <v>0.09</v>
      </c>
    </row>
    <row r="37" spans="1:11">
      <c r="A37" s="239" t="s">
        <v>12</v>
      </c>
      <c r="B37" s="487">
        <f t="shared" ref="B37:B64" si="46">C4</f>
        <v>2.2499999999999999E-2</v>
      </c>
      <c r="C37" s="481">
        <f t="shared" ref="C37:C64" si="47">E4</f>
        <v>2.2499999999999999E-2</v>
      </c>
      <c r="D37" s="481">
        <f t="shared" ref="D37:D64" si="48">G4</f>
        <v>2.2499999999999999E-2</v>
      </c>
      <c r="E37" s="481">
        <f t="shared" ref="E37:E64" si="49">I4</f>
        <v>2.2499999999999999E-2</v>
      </c>
      <c r="F37" s="481">
        <f t="shared" ref="F37:F64" si="50">K4</f>
        <v>0.03</v>
      </c>
      <c r="G37" s="481">
        <f t="shared" ref="G37:G64" si="51">M4</f>
        <v>2.7E-2</v>
      </c>
      <c r="H37" s="481">
        <f t="shared" ref="H37:H64" si="52">O4</f>
        <v>3.7499999999999999E-2</v>
      </c>
      <c r="I37" s="481">
        <f t="shared" ref="I37:I64" si="53">Q4</f>
        <v>5.5500000000000001E-2</v>
      </c>
      <c r="J37" s="481">
        <f t="shared" ref="J37:J64" si="54">S4</f>
        <v>5.2499999999999998E-2</v>
      </c>
      <c r="K37" s="488">
        <f t="shared" ref="K37:K64" si="55">U4</f>
        <v>4.4999999999999998E-2</v>
      </c>
    </row>
    <row r="38" spans="1:11">
      <c r="A38" s="239" t="s">
        <v>16</v>
      </c>
      <c r="B38" s="487">
        <f t="shared" si="46"/>
        <v>1.4999999999999999E-2</v>
      </c>
      <c r="C38" s="481">
        <f t="shared" si="47"/>
        <v>1.4999999999999999E-2</v>
      </c>
      <c r="D38" s="481">
        <f t="shared" si="48"/>
        <v>1.4999999999999999E-2</v>
      </c>
      <c r="E38" s="481">
        <f t="shared" si="49"/>
        <v>1.4999999999999999E-2</v>
      </c>
      <c r="F38" s="481">
        <f t="shared" si="50"/>
        <v>0.02</v>
      </c>
      <c r="G38" s="481">
        <f t="shared" si="51"/>
        <v>1.7999999999999999E-2</v>
      </c>
      <c r="H38" s="481">
        <f t="shared" si="52"/>
        <v>2.5000000000000001E-2</v>
      </c>
      <c r="I38" s="481">
        <f t="shared" si="53"/>
        <v>3.6999999999999998E-2</v>
      </c>
      <c r="J38" s="481">
        <f t="shared" si="54"/>
        <v>3.5000000000000003E-2</v>
      </c>
      <c r="K38" s="488">
        <f t="shared" si="55"/>
        <v>0.03</v>
      </c>
    </row>
    <row r="39" spans="1:11">
      <c r="A39" s="239" t="s">
        <v>898</v>
      </c>
      <c r="B39" s="487">
        <f t="shared" si="46"/>
        <v>0.03</v>
      </c>
      <c r="C39" s="481">
        <f t="shared" si="47"/>
        <v>0.03</v>
      </c>
      <c r="D39" s="481">
        <f t="shared" si="48"/>
        <v>0.03</v>
      </c>
      <c r="E39" s="481">
        <f t="shared" si="49"/>
        <v>0.03</v>
      </c>
      <c r="F39" s="481">
        <f t="shared" si="50"/>
        <v>0.04</v>
      </c>
      <c r="G39" s="481">
        <f t="shared" si="51"/>
        <v>3.5999999999999997E-2</v>
      </c>
      <c r="H39" s="481">
        <f t="shared" si="52"/>
        <v>0.05</v>
      </c>
      <c r="I39" s="481">
        <f t="shared" si="53"/>
        <v>7.3999999999999996E-2</v>
      </c>
      <c r="J39" s="481">
        <f t="shared" si="54"/>
        <v>7.0000000000000007E-2</v>
      </c>
      <c r="K39" s="488">
        <f t="shared" si="55"/>
        <v>0.06</v>
      </c>
    </row>
    <row r="40" spans="1:11">
      <c r="A40" s="239" t="s">
        <v>899</v>
      </c>
      <c r="B40" s="487">
        <f t="shared" si="46"/>
        <v>1.4999999999999999E-2</v>
      </c>
      <c r="C40" s="481">
        <f t="shared" si="47"/>
        <v>1.4999999999999999E-2</v>
      </c>
      <c r="D40" s="481">
        <f t="shared" si="48"/>
        <v>1.4999999999999999E-2</v>
      </c>
      <c r="E40" s="481">
        <f t="shared" si="49"/>
        <v>1.4999999999999999E-2</v>
      </c>
      <c r="F40" s="481">
        <f t="shared" si="50"/>
        <v>0.02</v>
      </c>
      <c r="G40" s="481">
        <f t="shared" si="51"/>
        <v>1.7999999999999999E-2</v>
      </c>
      <c r="H40" s="481">
        <f t="shared" si="52"/>
        <v>2.5000000000000001E-2</v>
      </c>
      <c r="I40" s="481">
        <f t="shared" si="53"/>
        <v>3.6999999999999998E-2</v>
      </c>
      <c r="J40" s="481">
        <f t="shared" si="54"/>
        <v>3.5000000000000003E-2</v>
      </c>
      <c r="K40" s="488">
        <f t="shared" si="55"/>
        <v>0.03</v>
      </c>
    </row>
    <row r="41" spans="1:11">
      <c r="A41" s="239" t="s">
        <v>900</v>
      </c>
      <c r="B41" s="487">
        <f t="shared" si="46"/>
        <v>1.2E-2</v>
      </c>
      <c r="C41" s="481">
        <f t="shared" si="47"/>
        <v>1.2E-2</v>
      </c>
      <c r="D41" s="481">
        <f t="shared" si="48"/>
        <v>1.2E-2</v>
      </c>
      <c r="E41" s="481">
        <f t="shared" si="49"/>
        <v>1.2E-2</v>
      </c>
      <c r="F41" s="481">
        <f t="shared" si="50"/>
        <v>1.6E-2</v>
      </c>
      <c r="G41" s="481">
        <f t="shared" si="51"/>
        <v>1.44E-2</v>
      </c>
      <c r="H41" s="481">
        <f t="shared" si="52"/>
        <v>0.02</v>
      </c>
      <c r="I41" s="481">
        <f t="shared" si="53"/>
        <v>2.9600000000000001E-2</v>
      </c>
      <c r="J41" s="481">
        <f t="shared" si="54"/>
        <v>2.8000000000000001E-2</v>
      </c>
      <c r="K41" s="488">
        <f t="shared" si="55"/>
        <v>2.4E-2</v>
      </c>
    </row>
    <row r="42" spans="1:11" ht="12.75" thickBot="1">
      <c r="A42" s="482" t="s">
        <v>902</v>
      </c>
      <c r="B42" s="489">
        <f t="shared" si="46"/>
        <v>1.0500000000000001E-2</v>
      </c>
      <c r="C42" s="490">
        <f t="shared" si="47"/>
        <v>1.0500000000000001E-2</v>
      </c>
      <c r="D42" s="490">
        <f t="shared" si="48"/>
        <v>1.0500000000000001E-2</v>
      </c>
      <c r="E42" s="490">
        <f t="shared" si="49"/>
        <v>1.0500000000000001E-2</v>
      </c>
      <c r="F42" s="490">
        <f t="shared" si="50"/>
        <v>1.4E-2</v>
      </c>
      <c r="G42" s="490">
        <f t="shared" si="51"/>
        <v>1.26E-2</v>
      </c>
      <c r="H42" s="490">
        <f t="shared" si="52"/>
        <v>1.7500000000000002E-2</v>
      </c>
      <c r="I42" s="490">
        <f t="shared" si="53"/>
        <v>2.5899999999999999E-2</v>
      </c>
      <c r="J42" s="490">
        <f t="shared" si="54"/>
        <v>2.4500000000000001E-2</v>
      </c>
      <c r="K42" s="491">
        <f t="shared" si="55"/>
        <v>2.1000000000000001E-2</v>
      </c>
    </row>
    <row r="43" spans="1:11">
      <c r="A43" s="477" t="s">
        <v>904</v>
      </c>
      <c r="B43" s="484">
        <f t="shared" si="46"/>
        <v>0.04</v>
      </c>
      <c r="C43" s="485">
        <f t="shared" si="47"/>
        <v>0.03</v>
      </c>
      <c r="D43" s="485">
        <f t="shared" si="48"/>
        <v>0.03</v>
      </c>
      <c r="E43" s="485">
        <f t="shared" si="49"/>
        <v>0.04</v>
      </c>
      <c r="F43" s="485">
        <f t="shared" si="50"/>
        <v>3.4000000000000002E-2</v>
      </c>
      <c r="G43" s="485">
        <f t="shared" si="51"/>
        <v>4.5999999999999999E-2</v>
      </c>
      <c r="H43" s="485">
        <f t="shared" si="52"/>
        <v>0.04</v>
      </c>
      <c r="I43" s="485">
        <f t="shared" si="53"/>
        <v>6.8000000000000005E-2</v>
      </c>
      <c r="J43" s="485">
        <f t="shared" si="54"/>
        <v>7.1999999999999995E-2</v>
      </c>
      <c r="K43" s="486">
        <f t="shared" si="55"/>
        <v>0.06</v>
      </c>
    </row>
    <row r="44" spans="1:11">
      <c r="A44" s="478" t="s">
        <v>12</v>
      </c>
      <c r="B44" s="487">
        <f t="shared" si="46"/>
        <v>0.05</v>
      </c>
      <c r="C44" s="481">
        <f t="shared" si="47"/>
        <v>3.7499999999999999E-2</v>
      </c>
      <c r="D44" s="481">
        <f t="shared" si="48"/>
        <v>3.7499999999999999E-2</v>
      </c>
      <c r="E44" s="481">
        <f t="shared" si="49"/>
        <v>0.05</v>
      </c>
      <c r="F44" s="481">
        <f t="shared" si="50"/>
        <v>4.2500000000000003E-2</v>
      </c>
      <c r="G44" s="481">
        <f t="shared" si="51"/>
        <v>5.7500000000000002E-2</v>
      </c>
      <c r="H44" s="481">
        <f t="shared" si="52"/>
        <v>0.05</v>
      </c>
      <c r="I44" s="481">
        <f t="shared" si="53"/>
        <v>8.5000000000000006E-2</v>
      </c>
      <c r="J44" s="481">
        <f t="shared" si="54"/>
        <v>0.09</v>
      </c>
      <c r="K44" s="488">
        <f t="shared" si="55"/>
        <v>7.4999999999999997E-2</v>
      </c>
    </row>
    <row r="45" spans="1:11">
      <c r="A45" s="478" t="s">
        <v>16</v>
      </c>
      <c r="B45" s="487">
        <f t="shared" si="46"/>
        <v>0.02</v>
      </c>
      <c r="C45" s="481">
        <f t="shared" si="47"/>
        <v>1.4999999999999999E-2</v>
      </c>
      <c r="D45" s="481">
        <f t="shared" si="48"/>
        <v>1.4999999999999999E-2</v>
      </c>
      <c r="E45" s="481">
        <f t="shared" si="49"/>
        <v>0.02</v>
      </c>
      <c r="F45" s="481">
        <f t="shared" si="50"/>
        <v>1.7000000000000001E-2</v>
      </c>
      <c r="G45" s="481">
        <f t="shared" si="51"/>
        <v>2.3E-2</v>
      </c>
      <c r="H45" s="481">
        <f t="shared" si="52"/>
        <v>0.02</v>
      </c>
      <c r="I45" s="481">
        <f t="shared" si="53"/>
        <v>3.4000000000000002E-2</v>
      </c>
      <c r="J45" s="481">
        <f t="shared" si="54"/>
        <v>3.5999999999999997E-2</v>
      </c>
      <c r="K45" s="488">
        <f t="shared" si="55"/>
        <v>0.03</v>
      </c>
    </row>
    <row r="46" spans="1:11">
      <c r="A46" s="478" t="s">
        <v>898</v>
      </c>
      <c r="B46" s="487">
        <f t="shared" si="46"/>
        <v>0.02</v>
      </c>
      <c r="C46" s="481">
        <f t="shared" si="47"/>
        <v>1.4999999999999999E-2</v>
      </c>
      <c r="D46" s="481">
        <f t="shared" si="48"/>
        <v>1.4999999999999999E-2</v>
      </c>
      <c r="E46" s="481">
        <f t="shared" si="49"/>
        <v>0.02</v>
      </c>
      <c r="F46" s="481">
        <f t="shared" si="50"/>
        <v>1.7000000000000001E-2</v>
      </c>
      <c r="G46" s="481">
        <f t="shared" si="51"/>
        <v>2.3E-2</v>
      </c>
      <c r="H46" s="481">
        <f t="shared" si="52"/>
        <v>0.02</v>
      </c>
      <c r="I46" s="481">
        <f t="shared" si="53"/>
        <v>3.4000000000000002E-2</v>
      </c>
      <c r="J46" s="481">
        <f t="shared" si="54"/>
        <v>3.5999999999999997E-2</v>
      </c>
      <c r="K46" s="488">
        <f t="shared" si="55"/>
        <v>0.03</v>
      </c>
    </row>
    <row r="47" spans="1:11">
      <c r="A47" s="478" t="s">
        <v>899</v>
      </c>
      <c r="B47" s="487">
        <f t="shared" si="46"/>
        <v>0.03</v>
      </c>
      <c r="C47" s="481">
        <f t="shared" si="47"/>
        <v>2.2499999999999999E-2</v>
      </c>
      <c r="D47" s="481">
        <f t="shared" si="48"/>
        <v>2.2499999999999999E-2</v>
      </c>
      <c r="E47" s="481">
        <f t="shared" si="49"/>
        <v>0.03</v>
      </c>
      <c r="F47" s="481">
        <f t="shared" si="50"/>
        <v>2.5499999999999998E-2</v>
      </c>
      <c r="G47" s="481">
        <f t="shared" si="51"/>
        <v>3.4500000000000003E-2</v>
      </c>
      <c r="H47" s="481">
        <f t="shared" si="52"/>
        <v>0.03</v>
      </c>
      <c r="I47" s="481">
        <f t="shared" si="53"/>
        <v>5.0999999999999997E-2</v>
      </c>
      <c r="J47" s="481">
        <f t="shared" si="54"/>
        <v>5.3999999999999999E-2</v>
      </c>
      <c r="K47" s="488">
        <f t="shared" si="55"/>
        <v>4.4999999999999998E-2</v>
      </c>
    </row>
    <row r="48" spans="1:11">
      <c r="A48" s="478" t="s">
        <v>900</v>
      </c>
      <c r="B48" s="487">
        <f t="shared" si="46"/>
        <v>1.6E-2</v>
      </c>
      <c r="C48" s="481">
        <f t="shared" si="47"/>
        <v>1.2E-2</v>
      </c>
      <c r="D48" s="481">
        <f t="shared" si="48"/>
        <v>1.2E-2</v>
      </c>
      <c r="E48" s="481">
        <f t="shared" si="49"/>
        <v>1.6E-2</v>
      </c>
      <c r="F48" s="481">
        <f t="shared" si="50"/>
        <v>1.3599999999999999E-2</v>
      </c>
      <c r="G48" s="481">
        <f t="shared" si="51"/>
        <v>1.84E-2</v>
      </c>
      <c r="H48" s="481">
        <f t="shared" si="52"/>
        <v>1.6E-2</v>
      </c>
      <c r="I48" s="481">
        <f t="shared" si="53"/>
        <v>2.7199999999999998E-2</v>
      </c>
      <c r="J48" s="481">
        <f t="shared" si="54"/>
        <v>2.8799999999999999E-2</v>
      </c>
      <c r="K48" s="488">
        <f t="shared" si="55"/>
        <v>2.4E-2</v>
      </c>
    </row>
    <row r="49" spans="1:11" ht="12.75" thickBot="1">
      <c r="A49" s="479" t="s">
        <v>1315</v>
      </c>
      <c r="B49" s="489">
        <f t="shared" si="46"/>
        <v>2.4E-2</v>
      </c>
      <c r="C49" s="490">
        <f t="shared" si="47"/>
        <v>1.7999999999999999E-2</v>
      </c>
      <c r="D49" s="490">
        <f t="shared" si="48"/>
        <v>1.7999999999999999E-2</v>
      </c>
      <c r="E49" s="490">
        <f t="shared" si="49"/>
        <v>2.4E-2</v>
      </c>
      <c r="F49" s="490">
        <f t="shared" si="50"/>
        <v>2.0400000000000001E-2</v>
      </c>
      <c r="G49" s="490">
        <f t="shared" si="51"/>
        <v>2.76E-2</v>
      </c>
      <c r="H49" s="490">
        <f t="shared" si="52"/>
        <v>2.4E-2</v>
      </c>
      <c r="I49" s="490">
        <f t="shared" si="53"/>
        <v>4.0800000000000003E-2</v>
      </c>
      <c r="J49" s="490">
        <f t="shared" si="54"/>
        <v>4.3200000000000002E-2</v>
      </c>
      <c r="K49" s="491">
        <f t="shared" si="55"/>
        <v>3.5999999999999997E-2</v>
      </c>
    </row>
    <row r="50" spans="1:11">
      <c r="A50" s="477" t="s">
        <v>17</v>
      </c>
      <c r="B50" s="484">
        <f t="shared" si="46"/>
        <v>0.02</v>
      </c>
      <c r="C50" s="485">
        <f t="shared" si="47"/>
        <v>2.1000000000000001E-2</v>
      </c>
      <c r="D50" s="485">
        <f t="shared" si="48"/>
        <v>2.5000000000000001E-2</v>
      </c>
      <c r="E50" s="485">
        <f t="shared" si="49"/>
        <v>2.5999999999999999E-2</v>
      </c>
      <c r="F50" s="485">
        <f t="shared" si="50"/>
        <v>0.03</v>
      </c>
      <c r="G50" s="485">
        <f t="shared" si="51"/>
        <v>2.5999999999999999E-2</v>
      </c>
      <c r="H50" s="485">
        <f t="shared" si="52"/>
        <v>2.5999999999999999E-2</v>
      </c>
      <c r="I50" s="485">
        <f t="shared" si="53"/>
        <v>3.3000000000000002E-2</v>
      </c>
      <c r="J50" s="485">
        <f t="shared" si="54"/>
        <v>3.2000000000000001E-2</v>
      </c>
      <c r="K50" s="486">
        <f t="shared" si="55"/>
        <v>0.03</v>
      </c>
    </row>
    <row r="51" spans="1:11">
      <c r="A51" s="478" t="s">
        <v>12</v>
      </c>
      <c r="B51" s="487">
        <f t="shared" si="46"/>
        <v>0.04</v>
      </c>
      <c r="C51" s="481">
        <f t="shared" si="47"/>
        <v>4.2000000000000003E-2</v>
      </c>
      <c r="D51" s="481">
        <f t="shared" si="48"/>
        <v>0.05</v>
      </c>
      <c r="E51" s="481">
        <f t="shared" si="49"/>
        <v>5.1999999999999998E-2</v>
      </c>
      <c r="F51" s="481">
        <f t="shared" si="50"/>
        <v>0.06</v>
      </c>
      <c r="G51" s="481">
        <f t="shared" si="51"/>
        <v>5.1999999999999998E-2</v>
      </c>
      <c r="H51" s="481">
        <f t="shared" si="52"/>
        <v>5.1999999999999998E-2</v>
      </c>
      <c r="I51" s="481">
        <f t="shared" si="53"/>
        <v>6.6000000000000003E-2</v>
      </c>
      <c r="J51" s="481">
        <f t="shared" si="54"/>
        <v>6.4000000000000001E-2</v>
      </c>
      <c r="K51" s="488">
        <f t="shared" si="55"/>
        <v>0.06</v>
      </c>
    </row>
    <row r="52" spans="1:11">
      <c r="A52" s="478" t="s">
        <v>16</v>
      </c>
      <c r="B52" s="487">
        <f t="shared" si="46"/>
        <v>0.02</v>
      </c>
      <c r="C52" s="481">
        <f t="shared" si="47"/>
        <v>2.1000000000000001E-2</v>
      </c>
      <c r="D52" s="481">
        <f t="shared" si="48"/>
        <v>2.5000000000000001E-2</v>
      </c>
      <c r="E52" s="481">
        <f t="shared" si="49"/>
        <v>2.5999999999999999E-2</v>
      </c>
      <c r="F52" s="481">
        <f t="shared" si="50"/>
        <v>0.03</v>
      </c>
      <c r="G52" s="481">
        <f t="shared" si="51"/>
        <v>2.5999999999999999E-2</v>
      </c>
      <c r="H52" s="481">
        <f t="shared" si="52"/>
        <v>2.5999999999999999E-2</v>
      </c>
      <c r="I52" s="481">
        <f t="shared" si="53"/>
        <v>3.3000000000000002E-2</v>
      </c>
      <c r="J52" s="481">
        <f t="shared" si="54"/>
        <v>3.2000000000000001E-2</v>
      </c>
      <c r="K52" s="488">
        <f t="shared" si="55"/>
        <v>0.03</v>
      </c>
    </row>
    <row r="53" spans="1:11">
      <c r="A53" s="478" t="s">
        <v>906</v>
      </c>
      <c r="B53" s="487">
        <f t="shared" si="46"/>
        <v>0.02</v>
      </c>
      <c r="C53" s="481">
        <f t="shared" si="47"/>
        <v>2.1000000000000001E-2</v>
      </c>
      <c r="D53" s="481">
        <f t="shared" si="48"/>
        <v>2.5000000000000001E-2</v>
      </c>
      <c r="E53" s="481">
        <f t="shared" si="49"/>
        <v>2.5999999999999999E-2</v>
      </c>
      <c r="F53" s="481">
        <f t="shared" si="50"/>
        <v>0.03</v>
      </c>
      <c r="G53" s="481">
        <f t="shared" si="51"/>
        <v>2.5999999999999999E-2</v>
      </c>
      <c r="H53" s="481">
        <f t="shared" si="52"/>
        <v>2.5999999999999999E-2</v>
      </c>
      <c r="I53" s="481">
        <f t="shared" si="53"/>
        <v>3.3000000000000002E-2</v>
      </c>
      <c r="J53" s="481">
        <f t="shared" si="54"/>
        <v>3.2000000000000001E-2</v>
      </c>
      <c r="K53" s="488">
        <f t="shared" si="55"/>
        <v>0.03</v>
      </c>
    </row>
    <row r="54" spans="1:11">
      <c r="A54" s="478" t="s">
        <v>900</v>
      </c>
      <c r="B54" s="487">
        <f t="shared" si="46"/>
        <v>1.6E-2</v>
      </c>
      <c r="C54" s="481">
        <f t="shared" si="47"/>
        <v>1.6799999999999999E-2</v>
      </c>
      <c r="D54" s="481">
        <f t="shared" si="48"/>
        <v>0.02</v>
      </c>
      <c r="E54" s="481">
        <f t="shared" si="49"/>
        <v>2.0799999999999999E-2</v>
      </c>
      <c r="F54" s="481">
        <f t="shared" si="50"/>
        <v>2.4E-2</v>
      </c>
      <c r="G54" s="481">
        <f t="shared" si="51"/>
        <v>2.0799999999999999E-2</v>
      </c>
      <c r="H54" s="481">
        <f t="shared" si="52"/>
        <v>2.0799999999999999E-2</v>
      </c>
      <c r="I54" s="481">
        <f t="shared" si="53"/>
        <v>2.64E-2</v>
      </c>
      <c r="J54" s="481">
        <f t="shared" si="54"/>
        <v>2.5600000000000001E-2</v>
      </c>
      <c r="K54" s="488">
        <f t="shared" si="55"/>
        <v>2.4E-2</v>
      </c>
    </row>
    <row r="55" spans="1:11">
      <c r="A55" s="478" t="s">
        <v>1315</v>
      </c>
      <c r="B55" s="487">
        <f t="shared" si="46"/>
        <v>2.4E-2</v>
      </c>
      <c r="C55" s="481">
        <f t="shared" si="47"/>
        <v>2.52E-2</v>
      </c>
      <c r="D55" s="481">
        <f t="shared" si="48"/>
        <v>0.03</v>
      </c>
      <c r="E55" s="481">
        <f t="shared" si="49"/>
        <v>3.1199999999999999E-2</v>
      </c>
      <c r="F55" s="481">
        <f t="shared" si="50"/>
        <v>3.5999999999999997E-2</v>
      </c>
      <c r="G55" s="481">
        <f t="shared" si="51"/>
        <v>3.1199999999999999E-2</v>
      </c>
      <c r="H55" s="481">
        <f t="shared" si="52"/>
        <v>3.1199999999999999E-2</v>
      </c>
      <c r="I55" s="481">
        <f t="shared" si="53"/>
        <v>3.9600000000000003E-2</v>
      </c>
      <c r="J55" s="481">
        <f t="shared" si="54"/>
        <v>3.8399999999999997E-2</v>
      </c>
      <c r="K55" s="488">
        <f t="shared" si="55"/>
        <v>3.5999999999999997E-2</v>
      </c>
    </row>
    <row r="56" spans="1:11">
      <c r="A56" s="478" t="s">
        <v>903</v>
      </c>
      <c r="B56" s="487">
        <f t="shared" si="46"/>
        <v>0.04</v>
      </c>
      <c r="C56" s="481">
        <f t="shared" si="47"/>
        <v>4.2000000000000003E-2</v>
      </c>
      <c r="D56" s="481">
        <f t="shared" si="48"/>
        <v>0.05</v>
      </c>
      <c r="E56" s="481">
        <f t="shared" si="49"/>
        <v>5.1999999999999998E-2</v>
      </c>
      <c r="F56" s="481">
        <f t="shared" si="50"/>
        <v>0.06</v>
      </c>
      <c r="G56" s="481">
        <f t="shared" si="51"/>
        <v>5.1999999999999998E-2</v>
      </c>
      <c r="H56" s="481">
        <f t="shared" si="52"/>
        <v>5.1999999999999998E-2</v>
      </c>
      <c r="I56" s="481">
        <f t="shared" si="53"/>
        <v>6.6000000000000003E-2</v>
      </c>
      <c r="J56" s="481">
        <f t="shared" si="54"/>
        <v>6.4000000000000001E-2</v>
      </c>
      <c r="K56" s="488">
        <f t="shared" si="55"/>
        <v>0.06</v>
      </c>
    </row>
    <row r="57" spans="1:11" ht="12.75" thickBot="1">
      <c r="A57" s="479" t="s">
        <v>1316</v>
      </c>
      <c r="B57" s="489">
        <f t="shared" si="46"/>
        <v>0.02</v>
      </c>
      <c r="C57" s="490">
        <f t="shared" si="47"/>
        <v>2.1000000000000001E-2</v>
      </c>
      <c r="D57" s="490">
        <f t="shared" si="48"/>
        <v>2.5000000000000001E-2</v>
      </c>
      <c r="E57" s="490">
        <f t="shared" si="49"/>
        <v>2.5999999999999999E-2</v>
      </c>
      <c r="F57" s="490">
        <f t="shared" si="50"/>
        <v>0.03</v>
      </c>
      <c r="G57" s="490">
        <f t="shared" si="51"/>
        <v>2.5999999999999999E-2</v>
      </c>
      <c r="H57" s="490">
        <f t="shared" si="52"/>
        <v>2.5999999999999999E-2</v>
      </c>
      <c r="I57" s="490">
        <f t="shared" si="53"/>
        <v>3.3000000000000002E-2</v>
      </c>
      <c r="J57" s="490">
        <f t="shared" si="54"/>
        <v>3.2000000000000001E-2</v>
      </c>
      <c r="K57" s="491">
        <f t="shared" si="55"/>
        <v>0.03</v>
      </c>
    </row>
    <row r="58" spans="1:11">
      <c r="A58" s="478" t="s">
        <v>28</v>
      </c>
      <c r="B58" s="484">
        <f t="shared" si="46"/>
        <v>0.02</v>
      </c>
      <c r="C58" s="485">
        <f t="shared" si="47"/>
        <v>0.02</v>
      </c>
      <c r="D58" s="485">
        <f t="shared" si="48"/>
        <v>0.04</v>
      </c>
      <c r="E58" s="485">
        <f t="shared" si="49"/>
        <v>4.8000000000000001E-2</v>
      </c>
      <c r="F58" s="485">
        <f t="shared" si="50"/>
        <v>4.8000000000000001E-2</v>
      </c>
      <c r="G58" s="485">
        <f t="shared" si="51"/>
        <v>0.04</v>
      </c>
      <c r="H58" s="485">
        <f t="shared" si="52"/>
        <v>4.5999999999999999E-2</v>
      </c>
      <c r="I58" s="485">
        <f t="shared" si="53"/>
        <v>5.1999999999999998E-2</v>
      </c>
      <c r="J58" s="485">
        <f t="shared" si="54"/>
        <v>0</v>
      </c>
      <c r="K58" s="486">
        <f t="shared" si="55"/>
        <v>0</v>
      </c>
    </row>
    <row r="59" spans="1:11">
      <c r="A59" s="478" t="s">
        <v>12</v>
      </c>
      <c r="B59" s="487">
        <f t="shared" si="46"/>
        <v>3.2000000000000001E-2</v>
      </c>
      <c r="C59" s="481">
        <f t="shared" si="47"/>
        <v>3.2000000000000001E-2</v>
      </c>
      <c r="D59" s="481">
        <f t="shared" si="48"/>
        <v>6.4000000000000001E-2</v>
      </c>
      <c r="E59" s="481">
        <f t="shared" si="49"/>
        <v>7.6799999999999993E-2</v>
      </c>
      <c r="F59" s="481">
        <f t="shared" si="50"/>
        <v>7.6799999999999993E-2</v>
      </c>
      <c r="G59" s="481">
        <f t="shared" si="51"/>
        <v>6.4000000000000001E-2</v>
      </c>
      <c r="H59" s="481">
        <f t="shared" si="52"/>
        <v>7.3599999999999999E-2</v>
      </c>
      <c r="I59" s="481">
        <f t="shared" si="53"/>
        <v>8.3199999999999996E-2</v>
      </c>
      <c r="J59" s="481">
        <f t="shared" si="54"/>
        <v>0</v>
      </c>
      <c r="K59" s="488">
        <f t="shared" si="55"/>
        <v>0</v>
      </c>
    </row>
    <row r="60" spans="1:11">
      <c r="A60" s="478" t="s">
        <v>16</v>
      </c>
      <c r="B60" s="487">
        <f t="shared" si="46"/>
        <v>0.01</v>
      </c>
      <c r="C60" s="481">
        <f t="shared" si="47"/>
        <v>0.01</v>
      </c>
      <c r="D60" s="481">
        <f t="shared" si="48"/>
        <v>0.02</v>
      </c>
      <c r="E60" s="481">
        <f t="shared" si="49"/>
        <v>2.4E-2</v>
      </c>
      <c r="F60" s="481">
        <f t="shared" si="50"/>
        <v>2.4E-2</v>
      </c>
      <c r="G60" s="481">
        <f t="shared" si="51"/>
        <v>0.02</v>
      </c>
      <c r="H60" s="481">
        <f t="shared" si="52"/>
        <v>2.3E-2</v>
      </c>
      <c r="I60" s="481">
        <f t="shared" si="53"/>
        <v>2.5999999999999999E-2</v>
      </c>
      <c r="J60" s="481">
        <f t="shared" si="54"/>
        <v>0</v>
      </c>
      <c r="K60" s="488">
        <f t="shared" si="55"/>
        <v>0</v>
      </c>
    </row>
    <row r="61" spans="1:11">
      <c r="A61" s="478" t="s">
        <v>906</v>
      </c>
      <c r="B61" s="487">
        <f t="shared" si="46"/>
        <v>8.0000000000000002E-3</v>
      </c>
      <c r="C61" s="481">
        <f t="shared" si="47"/>
        <v>8.0000000000000002E-3</v>
      </c>
      <c r="D61" s="481">
        <f t="shared" si="48"/>
        <v>1.6E-2</v>
      </c>
      <c r="E61" s="481">
        <f t="shared" si="49"/>
        <v>1.9199999999999998E-2</v>
      </c>
      <c r="F61" s="481">
        <f t="shared" si="50"/>
        <v>1.9199999999999998E-2</v>
      </c>
      <c r="G61" s="481">
        <f t="shared" si="51"/>
        <v>1.6E-2</v>
      </c>
      <c r="H61" s="481">
        <f t="shared" si="52"/>
        <v>1.84E-2</v>
      </c>
      <c r="I61" s="481">
        <f t="shared" si="53"/>
        <v>2.0799999999999999E-2</v>
      </c>
      <c r="J61" s="481">
        <f t="shared" si="54"/>
        <v>0</v>
      </c>
      <c r="K61" s="488">
        <f t="shared" si="55"/>
        <v>0</v>
      </c>
    </row>
    <row r="62" spans="1:11">
      <c r="A62" s="478" t="s">
        <v>900</v>
      </c>
      <c r="B62" s="487">
        <f t="shared" si="46"/>
        <v>1.2E-2</v>
      </c>
      <c r="C62" s="481">
        <f t="shared" si="47"/>
        <v>1.2E-2</v>
      </c>
      <c r="D62" s="481">
        <f t="shared" si="48"/>
        <v>2.4E-2</v>
      </c>
      <c r="E62" s="481">
        <f t="shared" si="49"/>
        <v>2.8799999999999999E-2</v>
      </c>
      <c r="F62" s="481">
        <f t="shared" si="50"/>
        <v>2.8799999999999999E-2</v>
      </c>
      <c r="G62" s="481">
        <f t="shared" si="51"/>
        <v>2.4E-2</v>
      </c>
      <c r="H62" s="481">
        <f t="shared" si="52"/>
        <v>2.76E-2</v>
      </c>
      <c r="I62" s="481">
        <f t="shared" si="53"/>
        <v>3.1199999999999999E-2</v>
      </c>
      <c r="J62" s="481">
        <f t="shared" si="54"/>
        <v>0</v>
      </c>
      <c r="K62" s="488">
        <f t="shared" si="55"/>
        <v>0</v>
      </c>
    </row>
    <row r="63" spans="1:11">
      <c r="A63" s="478" t="s">
        <v>902</v>
      </c>
      <c r="B63" s="487">
        <f t="shared" si="46"/>
        <v>0.01</v>
      </c>
      <c r="C63" s="481">
        <f t="shared" si="47"/>
        <v>0.01</v>
      </c>
      <c r="D63" s="481">
        <f t="shared" si="48"/>
        <v>0.02</v>
      </c>
      <c r="E63" s="481">
        <f t="shared" si="49"/>
        <v>2.4E-2</v>
      </c>
      <c r="F63" s="481">
        <f t="shared" si="50"/>
        <v>2.4E-2</v>
      </c>
      <c r="G63" s="481">
        <f t="shared" si="51"/>
        <v>0.02</v>
      </c>
      <c r="H63" s="481">
        <f t="shared" si="52"/>
        <v>2.3E-2</v>
      </c>
      <c r="I63" s="481">
        <f t="shared" si="53"/>
        <v>2.5999999999999999E-2</v>
      </c>
      <c r="J63" s="481">
        <f t="shared" si="54"/>
        <v>0</v>
      </c>
      <c r="K63" s="488">
        <f t="shared" si="55"/>
        <v>0</v>
      </c>
    </row>
    <row r="64" spans="1:11" ht="12.75" thickBot="1">
      <c r="A64" s="479" t="s">
        <v>909</v>
      </c>
      <c r="B64" s="489">
        <f t="shared" si="46"/>
        <v>8.0000000000000002E-3</v>
      </c>
      <c r="C64" s="490">
        <f t="shared" si="47"/>
        <v>8.0000000000000002E-3</v>
      </c>
      <c r="D64" s="490">
        <f t="shared" si="48"/>
        <v>1.6E-2</v>
      </c>
      <c r="E64" s="490">
        <f t="shared" si="49"/>
        <v>1.9199999999999998E-2</v>
      </c>
      <c r="F64" s="490">
        <f t="shared" si="50"/>
        <v>1.9199999999999998E-2</v>
      </c>
      <c r="G64" s="490">
        <f t="shared" si="51"/>
        <v>1.6E-2</v>
      </c>
      <c r="H64" s="490">
        <f t="shared" si="52"/>
        <v>1.84E-2</v>
      </c>
      <c r="I64" s="490">
        <f t="shared" si="53"/>
        <v>2.0799999999999999E-2</v>
      </c>
      <c r="J64" s="490">
        <f t="shared" si="54"/>
        <v>0</v>
      </c>
      <c r="K64" s="491">
        <f t="shared" si="55"/>
        <v>0</v>
      </c>
    </row>
    <row r="65" spans="1:11" ht="12.75" thickBot="1">
      <c r="A65" s="497" t="s">
        <v>1320</v>
      </c>
      <c r="B65" s="494" t="s">
        <v>290</v>
      </c>
      <c r="C65" s="494" t="s">
        <v>33</v>
      </c>
      <c r="D65" s="494" t="s">
        <v>292</v>
      </c>
      <c r="E65" s="494" t="s">
        <v>30</v>
      </c>
      <c r="F65" s="494" t="s">
        <v>31</v>
      </c>
      <c r="G65" s="494" t="s">
        <v>32</v>
      </c>
      <c r="H65" s="495" t="s">
        <v>296</v>
      </c>
      <c r="I65" s="495" t="s">
        <v>297</v>
      </c>
      <c r="J65" s="494" t="s">
        <v>298</v>
      </c>
      <c r="K65" s="496" t="s">
        <v>299</v>
      </c>
    </row>
    <row r="66" spans="1:11">
      <c r="A66" s="480" t="s">
        <v>895</v>
      </c>
      <c r="B66" s="484">
        <f>B3</f>
        <v>-4.4999999999999998E-2</v>
      </c>
      <c r="C66" s="485">
        <f>D3</f>
        <v>-4.4999999999999998E-2</v>
      </c>
      <c r="D66" s="485">
        <f>F3</f>
        <v>-4.4999999999999998E-2</v>
      </c>
      <c r="E66" s="485">
        <f>H3</f>
        <v>-4.4999999999999998E-2</v>
      </c>
      <c r="F66" s="485">
        <f>J3</f>
        <v>-0.06</v>
      </c>
      <c r="G66" s="485">
        <f>L3</f>
        <v>-0.06</v>
      </c>
      <c r="H66" s="485">
        <f>N3</f>
        <v>-7.4999999999999997E-2</v>
      </c>
      <c r="I66" s="485">
        <f>P3</f>
        <v>-0.114</v>
      </c>
      <c r="J66" s="485">
        <f>R3</f>
        <v>-0.114</v>
      </c>
      <c r="K66" s="486">
        <f>T3</f>
        <v>-0.09</v>
      </c>
    </row>
    <row r="67" spans="1:11">
      <c r="A67" s="239" t="s">
        <v>12</v>
      </c>
      <c r="B67" s="487">
        <f t="shared" ref="B67:B94" si="56">B4</f>
        <v>-2.2499999999999999E-2</v>
      </c>
      <c r="C67" s="481">
        <f t="shared" ref="C67:C94" si="57">D4</f>
        <v>-2.2499999999999999E-2</v>
      </c>
      <c r="D67" s="481">
        <f t="shared" ref="D67:D94" si="58">F4</f>
        <v>-2.2499999999999999E-2</v>
      </c>
      <c r="E67" s="481">
        <f t="shared" ref="E67:E94" si="59">H4</f>
        <v>-2.2499999999999999E-2</v>
      </c>
      <c r="F67" s="481">
        <f t="shared" ref="F67:F94" si="60">J4</f>
        <v>-0.03</v>
      </c>
      <c r="G67" s="481">
        <f t="shared" ref="G67:G94" si="61">L4</f>
        <v>-0.03</v>
      </c>
      <c r="H67" s="481">
        <f t="shared" ref="H67:H94" si="62">N4</f>
        <v>-3.7499999999999999E-2</v>
      </c>
      <c r="I67" s="481">
        <f t="shared" ref="I67:I94" si="63">P4</f>
        <v>-5.7000000000000002E-2</v>
      </c>
      <c r="J67" s="481">
        <f t="shared" ref="J67:J94" si="64">R4</f>
        <v>-5.7000000000000002E-2</v>
      </c>
      <c r="K67" s="488">
        <f t="shared" ref="K67:K94" si="65">T4</f>
        <v>-4.4999999999999998E-2</v>
      </c>
    </row>
    <row r="68" spans="1:11">
      <c r="A68" s="239" t="s">
        <v>16</v>
      </c>
      <c r="B68" s="487">
        <f t="shared" si="56"/>
        <v>-1.4999999999999999E-2</v>
      </c>
      <c r="C68" s="481">
        <f t="shared" si="57"/>
        <v>-1.4999999999999999E-2</v>
      </c>
      <c r="D68" s="481">
        <f t="shared" si="58"/>
        <v>-1.4999999999999999E-2</v>
      </c>
      <c r="E68" s="481">
        <f t="shared" si="59"/>
        <v>-1.4999999999999999E-2</v>
      </c>
      <c r="F68" s="481">
        <f t="shared" si="60"/>
        <v>-0.02</v>
      </c>
      <c r="G68" s="481">
        <f t="shared" si="61"/>
        <v>-0.02</v>
      </c>
      <c r="H68" s="481">
        <f t="shared" si="62"/>
        <v>-2.5000000000000001E-2</v>
      </c>
      <c r="I68" s="481">
        <f t="shared" si="63"/>
        <v>-3.7999999999999999E-2</v>
      </c>
      <c r="J68" s="481">
        <f t="shared" si="64"/>
        <v>-3.7999999999999999E-2</v>
      </c>
      <c r="K68" s="488">
        <f t="shared" si="65"/>
        <v>-0.03</v>
      </c>
    </row>
    <row r="69" spans="1:11">
      <c r="A69" s="239" t="s">
        <v>898</v>
      </c>
      <c r="B69" s="487">
        <f t="shared" si="56"/>
        <v>-0.03</v>
      </c>
      <c r="C69" s="481">
        <f t="shared" si="57"/>
        <v>-0.03</v>
      </c>
      <c r="D69" s="481">
        <f t="shared" si="58"/>
        <v>-0.03</v>
      </c>
      <c r="E69" s="481">
        <f t="shared" si="59"/>
        <v>-0.03</v>
      </c>
      <c r="F69" s="481">
        <f t="shared" si="60"/>
        <v>-0.04</v>
      </c>
      <c r="G69" s="481">
        <f t="shared" si="61"/>
        <v>-0.04</v>
      </c>
      <c r="H69" s="481">
        <f t="shared" si="62"/>
        <v>-0.05</v>
      </c>
      <c r="I69" s="481">
        <f t="shared" si="63"/>
        <v>-7.5999999999999998E-2</v>
      </c>
      <c r="J69" s="481">
        <f t="shared" si="64"/>
        <v>-7.5999999999999998E-2</v>
      </c>
      <c r="K69" s="488">
        <f t="shared" si="65"/>
        <v>-0.06</v>
      </c>
    </row>
    <row r="70" spans="1:11">
      <c r="A70" s="239" t="s">
        <v>899</v>
      </c>
      <c r="B70" s="487">
        <f t="shared" si="56"/>
        <v>-1.4999999999999999E-2</v>
      </c>
      <c r="C70" s="481">
        <f t="shared" si="57"/>
        <v>-1.4999999999999999E-2</v>
      </c>
      <c r="D70" s="481">
        <f t="shared" si="58"/>
        <v>-1.4999999999999999E-2</v>
      </c>
      <c r="E70" s="481">
        <f t="shared" si="59"/>
        <v>-1.4999999999999999E-2</v>
      </c>
      <c r="F70" s="481">
        <f t="shared" si="60"/>
        <v>-0.02</v>
      </c>
      <c r="G70" s="481">
        <f t="shared" si="61"/>
        <v>-0.02</v>
      </c>
      <c r="H70" s="481">
        <f t="shared" si="62"/>
        <v>-2.5000000000000001E-2</v>
      </c>
      <c r="I70" s="481">
        <f t="shared" si="63"/>
        <v>-3.7999999999999999E-2</v>
      </c>
      <c r="J70" s="481">
        <f t="shared" si="64"/>
        <v>-3.7999999999999999E-2</v>
      </c>
      <c r="K70" s="488">
        <f t="shared" si="65"/>
        <v>-0.03</v>
      </c>
    </row>
    <row r="71" spans="1:11">
      <c r="A71" s="239" t="s">
        <v>900</v>
      </c>
      <c r="B71" s="487">
        <f t="shared" si="56"/>
        <v>-1.2E-2</v>
      </c>
      <c r="C71" s="481">
        <f t="shared" si="57"/>
        <v>-1.2E-2</v>
      </c>
      <c r="D71" s="481">
        <f t="shared" si="58"/>
        <v>-1.2E-2</v>
      </c>
      <c r="E71" s="481">
        <f t="shared" si="59"/>
        <v>-1.2E-2</v>
      </c>
      <c r="F71" s="481">
        <f t="shared" si="60"/>
        <v>-1.6E-2</v>
      </c>
      <c r="G71" s="481">
        <f t="shared" si="61"/>
        <v>-1.6E-2</v>
      </c>
      <c r="H71" s="481">
        <f t="shared" si="62"/>
        <v>-0.02</v>
      </c>
      <c r="I71" s="481">
        <f t="shared" si="63"/>
        <v>-3.04E-2</v>
      </c>
      <c r="J71" s="481">
        <f t="shared" si="64"/>
        <v>-3.04E-2</v>
      </c>
      <c r="K71" s="488">
        <f t="shared" si="65"/>
        <v>-2.4E-2</v>
      </c>
    </row>
    <row r="72" spans="1:11" ht="12.75" thickBot="1">
      <c r="A72" s="482" t="s">
        <v>902</v>
      </c>
      <c r="B72" s="489">
        <f t="shared" si="56"/>
        <v>-1.0500000000000001E-2</v>
      </c>
      <c r="C72" s="490">
        <f t="shared" si="57"/>
        <v>-1.0500000000000001E-2</v>
      </c>
      <c r="D72" s="490">
        <f t="shared" si="58"/>
        <v>-1.0500000000000001E-2</v>
      </c>
      <c r="E72" s="490">
        <f t="shared" si="59"/>
        <v>-1.0500000000000001E-2</v>
      </c>
      <c r="F72" s="490">
        <f t="shared" si="60"/>
        <v>-1.4E-2</v>
      </c>
      <c r="G72" s="490">
        <f t="shared" si="61"/>
        <v>-1.4E-2</v>
      </c>
      <c r="H72" s="490">
        <f t="shared" si="62"/>
        <v>-1.7500000000000002E-2</v>
      </c>
      <c r="I72" s="490">
        <f t="shared" si="63"/>
        <v>-2.6599999999999999E-2</v>
      </c>
      <c r="J72" s="490">
        <f t="shared" si="64"/>
        <v>-2.6599999999999999E-2</v>
      </c>
      <c r="K72" s="491">
        <f t="shared" si="65"/>
        <v>-2.1000000000000001E-2</v>
      </c>
    </row>
    <row r="73" spans="1:11">
      <c r="A73" s="477" t="s">
        <v>904</v>
      </c>
      <c r="B73" s="484">
        <f t="shared" si="56"/>
        <v>-0.04</v>
      </c>
      <c r="C73" s="485">
        <f t="shared" si="57"/>
        <v>-0.03</v>
      </c>
      <c r="D73" s="485">
        <f t="shared" si="58"/>
        <v>-0.03</v>
      </c>
      <c r="E73" s="485">
        <f t="shared" si="59"/>
        <v>-0.04</v>
      </c>
      <c r="F73" s="485">
        <f t="shared" si="60"/>
        <v>-3.5999999999999997E-2</v>
      </c>
      <c r="G73" s="485">
        <f t="shared" si="61"/>
        <v>-4.8000000000000001E-2</v>
      </c>
      <c r="H73" s="485">
        <f t="shared" si="62"/>
        <v>-0.04</v>
      </c>
      <c r="I73" s="485">
        <f t="shared" si="63"/>
        <v>-7.1999999999999995E-2</v>
      </c>
      <c r="J73" s="485">
        <f t="shared" si="64"/>
        <v>-0.08</v>
      </c>
      <c r="K73" s="486">
        <f t="shared" si="65"/>
        <v>-0.06</v>
      </c>
    </row>
    <row r="74" spans="1:11">
      <c r="A74" s="478" t="s">
        <v>12</v>
      </c>
      <c r="B74" s="487">
        <f t="shared" si="56"/>
        <v>-0.05</v>
      </c>
      <c r="C74" s="481">
        <f t="shared" si="57"/>
        <v>-3.7499999999999999E-2</v>
      </c>
      <c r="D74" s="481">
        <f t="shared" si="58"/>
        <v>-3.7499999999999999E-2</v>
      </c>
      <c r="E74" s="481">
        <f t="shared" si="59"/>
        <v>-0.05</v>
      </c>
      <c r="F74" s="481">
        <f t="shared" si="60"/>
        <v>-4.4999999999999998E-2</v>
      </c>
      <c r="G74" s="481">
        <f t="shared" si="61"/>
        <v>-0.06</v>
      </c>
      <c r="H74" s="481">
        <f t="shared" si="62"/>
        <v>-0.05</v>
      </c>
      <c r="I74" s="481">
        <f t="shared" si="63"/>
        <v>-0.09</v>
      </c>
      <c r="J74" s="481">
        <f t="shared" si="64"/>
        <v>-0.1</v>
      </c>
      <c r="K74" s="488">
        <f t="shared" si="65"/>
        <v>-7.4999999999999997E-2</v>
      </c>
    </row>
    <row r="75" spans="1:11">
      <c r="A75" s="478" t="s">
        <v>16</v>
      </c>
      <c r="B75" s="487">
        <f t="shared" si="56"/>
        <v>-0.02</v>
      </c>
      <c r="C75" s="481">
        <f t="shared" si="57"/>
        <v>-1.4999999999999999E-2</v>
      </c>
      <c r="D75" s="481">
        <f t="shared" si="58"/>
        <v>-1.4999999999999999E-2</v>
      </c>
      <c r="E75" s="481">
        <f t="shared" si="59"/>
        <v>-0.02</v>
      </c>
      <c r="F75" s="481">
        <f t="shared" si="60"/>
        <v>-1.7999999999999999E-2</v>
      </c>
      <c r="G75" s="481">
        <f t="shared" si="61"/>
        <v>-2.4E-2</v>
      </c>
      <c r="H75" s="481">
        <f t="shared" si="62"/>
        <v>-0.02</v>
      </c>
      <c r="I75" s="481">
        <f t="shared" si="63"/>
        <v>-3.5999999999999997E-2</v>
      </c>
      <c r="J75" s="481">
        <f t="shared" si="64"/>
        <v>-0.04</v>
      </c>
      <c r="K75" s="488">
        <f t="shared" si="65"/>
        <v>-0.03</v>
      </c>
    </row>
    <row r="76" spans="1:11">
      <c r="A76" s="478" t="s">
        <v>898</v>
      </c>
      <c r="B76" s="487">
        <f t="shared" si="56"/>
        <v>-0.02</v>
      </c>
      <c r="C76" s="481">
        <f t="shared" si="57"/>
        <v>-1.4999999999999999E-2</v>
      </c>
      <c r="D76" s="481">
        <f t="shared" si="58"/>
        <v>-1.4999999999999999E-2</v>
      </c>
      <c r="E76" s="481">
        <f t="shared" si="59"/>
        <v>-0.02</v>
      </c>
      <c r="F76" s="481">
        <f t="shared" si="60"/>
        <v>-1.7999999999999999E-2</v>
      </c>
      <c r="G76" s="481">
        <f t="shared" si="61"/>
        <v>-2.4E-2</v>
      </c>
      <c r="H76" s="481">
        <f t="shared" si="62"/>
        <v>-0.02</v>
      </c>
      <c r="I76" s="481">
        <f t="shared" si="63"/>
        <v>-3.5999999999999997E-2</v>
      </c>
      <c r="J76" s="481">
        <f t="shared" si="64"/>
        <v>-0.04</v>
      </c>
      <c r="K76" s="488">
        <f t="shared" si="65"/>
        <v>-0.03</v>
      </c>
    </row>
    <row r="77" spans="1:11">
      <c r="A77" s="478" t="s">
        <v>899</v>
      </c>
      <c r="B77" s="487">
        <f t="shared" si="56"/>
        <v>-0.03</v>
      </c>
      <c r="C77" s="481">
        <f t="shared" si="57"/>
        <v>-2.2499999999999999E-2</v>
      </c>
      <c r="D77" s="481">
        <f t="shared" si="58"/>
        <v>-2.2499999999999999E-2</v>
      </c>
      <c r="E77" s="481">
        <f t="shared" si="59"/>
        <v>-0.03</v>
      </c>
      <c r="F77" s="481">
        <f t="shared" si="60"/>
        <v>-2.7E-2</v>
      </c>
      <c r="G77" s="481">
        <f t="shared" si="61"/>
        <v>-3.5999999999999997E-2</v>
      </c>
      <c r="H77" s="481">
        <f t="shared" si="62"/>
        <v>-0.03</v>
      </c>
      <c r="I77" s="481">
        <f t="shared" si="63"/>
        <v>-5.3999999999999999E-2</v>
      </c>
      <c r="J77" s="481">
        <f t="shared" si="64"/>
        <v>-0.06</v>
      </c>
      <c r="K77" s="488">
        <f t="shared" si="65"/>
        <v>-4.4999999999999998E-2</v>
      </c>
    </row>
    <row r="78" spans="1:11">
      <c r="A78" s="478" t="s">
        <v>900</v>
      </c>
      <c r="B78" s="487">
        <f t="shared" si="56"/>
        <v>-1.6E-2</v>
      </c>
      <c r="C78" s="481">
        <f t="shared" si="57"/>
        <v>-1.2E-2</v>
      </c>
      <c r="D78" s="481">
        <f t="shared" si="58"/>
        <v>-1.2E-2</v>
      </c>
      <c r="E78" s="481">
        <f t="shared" si="59"/>
        <v>-1.6E-2</v>
      </c>
      <c r="F78" s="481">
        <f t="shared" si="60"/>
        <v>-1.44E-2</v>
      </c>
      <c r="G78" s="481">
        <f t="shared" si="61"/>
        <v>-1.9199999999999998E-2</v>
      </c>
      <c r="H78" s="481">
        <f t="shared" si="62"/>
        <v>-1.6E-2</v>
      </c>
      <c r="I78" s="481">
        <f t="shared" si="63"/>
        <v>-2.8799999999999999E-2</v>
      </c>
      <c r="J78" s="481">
        <f t="shared" si="64"/>
        <v>-3.2000000000000001E-2</v>
      </c>
      <c r="K78" s="488">
        <f t="shared" si="65"/>
        <v>-2.4E-2</v>
      </c>
    </row>
    <row r="79" spans="1:11" ht="12.75" thickBot="1">
      <c r="A79" s="479" t="s">
        <v>1315</v>
      </c>
      <c r="B79" s="489">
        <f t="shared" si="56"/>
        <v>-2.4E-2</v>
      </c>
      <c r="C79" s="490">
        <f t="shared" si="57"/>
        <v>-1.7999999999999999E-2</v>
      </c>
      <c r="D79" s="490">
        <f t="shared" si="58"/>
        <v>-1.7999999999999999E-2</v>
      </c>
      <c r="E79" s="490">
        <f t="shared" si="59"/>
        <v>-2.4E-2</v>
      </c>
      <c r="F79" s="490">
        <f t="shared" si="60"/>
        <v>-2.1600000000000001E-2</v>
      </c>
      <c r="G79" s="490">
        <f t="shared" si="61"/>
        <v>-2.8799999999999999E-2</v>
      </c>
      <c r="H79" s="490">
        <f t="shared" si="62"/>
        <v>-2.4E-2</v>
      </c>
      <c r="I79" s="490">
        <f t="shared" si="63"/>
        <v>-4.3200000000000002E-2</v>
      </c>
      <c r="J79" s="490">
        <f t="shared" si="64"/>
        <v>-4.8000000000000001E-2</v>
      </c>
      <c r="K79" s="491">
        <f t="shared" si="65"/>
        <v>-3.5999999999999997E-2</v>
      </c>
    </row>
    <row r="80" spans="1:11">
      <c r="A80" s="477" t="s">
        <v>17</v>
      </c>
      <c r="B80" s="484">
        <f t="shared" si="56"/>
        <v>-0.02</v>
      </c>
      <c r="C80" s="485">
        <f t="shared" si="57"/>
        <v>-2.1000000000000001E-2</v>
      </c>
      <c r="D80" s="485">
        <f t="shared" si="58"/>
        <v>-1.4999999999999999E-2</v>
      </c>
      <c r="E80" s="485">
        <f t="shared" si="59"/>
        <v>-1.7000000000000001E-2</v>
      </c>
      <c r="F80" s="485">
        <f t="shared" si="60"/>
        <v>-0.03</v>
      </c>
      <c r="G80" s="485">
        <f t="shared" si="61"/>
        <v>-2.5999999999999999E-2</v>
      </c>
      <c r="H80" s="485">
        <f t="shared" si="62"/>
        <v>-2.7E-2</v>
      </c>
      <c r="I80" s="485">
        <f t="shared" si="63"/>
        <v>-3.3000000000000002E-2</v>
      </c>
      <c r="J80" s="485">
        <f t="shared" si="64"/>
        <v>-3.5999999999999997E-2</v>
      </c>
      <c r="K80" s="486">
        <f t="shared" si="65"/>
        <v>-0.03</v>
      </c>
    </row>
    <row r="81" spans="1:11">
      <c r="A81" s="478" t="s">
        <v>12</v>
      </c>
      <c r="B81" s="487">
        <f t="shared" si="56"/>
        <v>-0.04</v>
      </c>
      <c r="C81" s="481">
        <f t="shared" si="57"/>
        <v>-4.2000000000000003E-2</v>
      </c>
      <c r="D81" s="481">
        <f t="shared" si="58"/>
        <v>-0.03</v>
      </c>
      <c r="E81" s="481">
        <f t="shared" si="59"/>
        <v>-3.4000000000000002E-2</v>
      </c>
      <c r="F81" s="481">
        <f t="shared" si="60"/>
        <v>-0.06</v>
      </c>
      <c r="G81" s="481">
        <f t="shared" si="61"/>
        <v>-5.1999999999999998E-2</v>
      </c>
      <c r="H81" s="481">
        <f t="shared" si="62"/>
        <v>-5.3999999999999999E-2</v>
      </c>
      <c r="I81" s="481">
        <f t="shared" si="63"/>
        <v>-6.6000000000000003E-2</v>
      </c>
      <c r="J81" s="481">
        <f t="shared" si="64"/>
        <v>-7.1999999999999995E-2</v>
      </c>
      <c r="K81" s="488">
        <f t="shared" si="65"/>
        <v>-0.06</v>
      </c>
    </row>
    <row r="82" spans="1:11">
      <c r="A82" s="478" t="s">
        <v>16</v>
      </c>
      <c r="B82" s="487">
        <f t="shared" si="56"/>
        <v>-0.02</v>
      </c>
      <c r="C82" s="481">
        <f t="shared" si="57"/>
        <v>-2.1000000000000001E-2</v>
      </c>
      <c r="D82" s="481">
        <f t="shared" si="58"/>
        <v>-1.4999999999999999E-2</v>
      </c>
      <c r="E82" s="481">
        <f t="shared" si="59"/>
        <v>-1.7000000000000001E-2</v>
      </c>
      <c r="F82" s="481">
        <f t="shared" si="60"/>
        <v>-0.03</v>
      </c>
      <c r="G82" s="481">
        <f t="shared" si="61"/>
        <v>-2.5999999999999999E-2</v>
      </c>
      <c r="H82" s="481">
        <f t="shared" si="62"/>
        <v>-2.7E-2</v>
      </c>
      <c r="I82" s="481">
        <f t="shared" si="63"/>
        <v>-3.3000000000000002E-2</v>
      </c>
      <c r="J82" s="481">
        <f t="shared" si="64"/>
        <v>-3.5999999999999997E-2</v>
      </c>
      <c r="K82" s="488">
        <f t="shared" si="65"/>
        <v>-0.03</v>
      </c>
    </row>
    <row r="83" spans="1:11">
      <c r="A83" s="478" t="s">
        <v>906</v>
      </c>
      <c r="B83" s="487">
        <f t="shared" si="56"/>
        <v>-0.02</v>
      </c>
      <c r="C83" s="481">
        <f t="shared" si="57"/>
        <v>-2.1000000000000001E-2</v>
      </c>
      <c r="D83" s="481">
        <f t="shared" si="58"/>
        <v>-1.4999999999999999E-2</v>
      </c>
      <c r="E83" s="481">
        <f t="shared" si="59"/>
        <v>-1.7000000000000001E-2</v>
      </c>
      <c r="F83" s="481">
        <f t="shared" si="60"/>
        <v>-0.03</v>
      </c>
      <c r="G83" s="481">
        <f t="shared" si="61"/>
        <v>-2.5999999999999999E-2</v>
      </c>
      <c r="H83" s="481">
        <f t="shared" si="62"/>
        <v>-2.7E-2</v>
      </c>
      <c r="I83" s="481">
        <f t="shared" si="63"/>
        <v>-3.3000000000000002E-2</v>
      </c>
      <c r="J83" s="481">
        <f t="shared" si="64"/>
        <v>-3.5999999999999997E-2</v>
      </c>
      <c r="K83" s="488">
        <f t="shared" si="65"/>
        <v>-0.03</v>
      </c>
    </row>
    <row r="84" spans="1:11">
      <c r="A84" s="478" t="s">
        <v>900</v>
      </c>
      <c r="B84" s="487">
        <f t="shared" si="56"/>
        <v>-1.6E-2</v>
      </c>
      <c r="C84" s="481">
        <f t="shared" si="57"/>
        <v>-1.6799999999999999E-2</v>
      </c>
      <c r="D84" s="481">
        <f t="shared" si="58"/>
        <v>-1.2E-2</v>
      </c>
      <c r="E84" s="481">
        <f t="shared" si="59"/>
        <v>-1.3599999999999999E-2</v>
      </c>
      <c r="F84" s="481">
        <f t="shared" si="60"/>
        <v>-2.4E-2</v>
      </c>
      <c r="G84" s="481">
        <f t="shared" si="61"/>
        <v>-2.0799999999999999E-2</v>
      </c>
      <c r="H84" s="481">
        <f t="shared" si="62"/>
        <v>-2.1600000000000001E-2</v>
      </c>
      <c r="I84" s="481">
        <f t="shared" si="63"/>
        <v>-2.64E-2</v>
      </c>
      <c r="J84" s="481">
        <f t="shared" si="64"/>
        <v>-2.8799999999999999E-2</v>
      </c>
      <c r="K84" s="488">
        <f t="shared" si="65"/>
        <v>-2.4E-2</v>
      </c>
    </row>
    <row r="85" spans="1:11">
      <c r="A85" s="478" t="s">
        <v>1315</v>
      </c>
      <c r="B85" s="487">
        <f t="shared" si="56"/>
        <v>-2.4E-2</v>
      </c>
      <c r="C85" s="481">
        <f t="shared" si="57"/>
        <v>-2.52E-2</v>
      </c>
      <c r="D85" s="481">
        <f t="shared" si="58"/>
        <v>-1.7999999999999999E-2</v>
      </c>
      <c r="E85" s="481">
        <f t="shared" si="59"/>
        <v>-2.0400000000000001E-2</v>
      </c>
      <c r="F85" s="481">
        <f t="shared" si="60"/>
        <v>-3.5999999999999997E-2</v>
      </c>
      <c r="G85" s="481">
        <f t="shared" si="61"/>
        <v>-3.1199999999999999E-2</v>
      </c>
      <c r="H85" s="481">
        <f t="shared" si="62"/>
        <v>-3.2399999999999998E-2</v>
      </c>
      <c r="I85" s="481">
        <f t="shared" si="63"/>
        <v>-3.9600000000000003E-2</v>
      </c>
      <c r="J85" s="481">
        <f t="shared" si="64"/>
        <v>-4.3200000000000002E-2</v>
      </c>
      <c r="K85" s="488">
        <f t="shared" si="65"/>
        <v>-3.5999999999999997E-2</v>
      </c>
    </row>
    <row r="86" spans="1:11">
      <c r="A86" s="478" t="s">
        <v>903</v>
      </c>
      <c r="B86" s="487">
        <f t="shared" si="56"/>
        <v>-0.04</v>
      </c>
      <c r="C86" s="481">
        <f t="shared" si="57"/>
        <v>-4.2000000000000003E-2</v>
      </c>
      <c r="D86" s="481">
        <f t="shared" si="58"/>
        <v>-0.03</v>
      </c>
      <c r="E86" s="481">
        <f t="shared" si="59"/>
        <v>-3.4000000000000002E-2</v>
      </c>
      <c r="F86" s="481">
        <f t="shared" si="60"/>
        <v>-0.06</v>
      </c>
      <c r="G86" s="481">
        <f t="shared" si="61"/>
        <v>-5.1999999999999998E-2</v>
      </c>
      <c r="H86" s="481">
        <f t="shared" si="62"/>
        <v>-5.3999999999999999E-2</v>
      </c>
      <c r="I86" s="481">
        <f t="shared" si="63"/>
        <v>-6.6000000000000003E-2</v>
      </c>
      <c r="J86" s="481">
        <f t="shared" si="64"/>
        <v>-7.1999999999999995E-2</v>
      </c>
      <c r="K86" s="488">
        <f t="shared" si="65"/>
        <v>-0.06</v>
      </c>
    </row>
    <row r="87" spans="1:11" ht="12.75" thickBot="1">
      <c r="A87" s="479" t="s">
        <v>1316</v>
      </c>
      <c r="B87" s="489">
        <f t="shared" si="56"/>
        <v>-0.02</v>
      </c>
      <c r="C87" s="490">
        <f t="shared" si="57"/>
        <v>-2.1000000000000001E-2</v>
      </c>
      <c r="D87" s="490">
        <f t="shared" si="58"/>
        <v>-1.4999999999999999E-2</v>
      </c>
      <c r="E87" s="490">
        <f t="shared" si="59"/>
        <v>-1.7000000000000001E-2</v>
      </c>
      <c r="F87" s="490">
        <f t="shared" si="60"/>
        <v>-0.03</v>
      </c>
      <c r="G87" s="490">
        <f t="shared" si="61"/>
        <v>-2.5999999999999999E-2</v>
      </c>
      <c r="H87" s="490">
        <f t="shared" si="62"/>
        <v>-2.7E-2</v>
      </c>
      <c r="I87" s="490">
        <f t="shared" si="63"/>
        <v>-3.3000000000000002E-2</v>
      </c>
      <c r="J87" s="490">
        <f t="shared" si="64"/>
        <v>-3.5999999999999997E-2</v>
      </c>
      <c r="K87" s="491">
        <f t="shared" si="65"/>
        <v>-0.03</v>
      </c>
    </row>
    <row r="88" spans="1:11">
      <c r="A88" s="478" t="s">
        <v>28</v>
      </c>
      <c r="B88" s="483">
        <f t="shared" si="56"/>
        <v>-0.02</v>
      </c>
      <c r="C88" s="483">
        <f t="shared" si="57"/>
        <v>-0.02</v>
      </c>
      <c r="D88" s="483">
        <f t="shared" si="58"/>
        <v>-0.04</v>
      </c>
      <c r="E88" s="483">
        <f t="shared" si="59"/>
        <v>-4.8000000000000001E-2</v>
      </c>
      <c r="F88" s="483">
        <f t="shared" si="60"/>
        <v>-0.05</v>
      </c>
      <c r="G88" s="483">
        <f t="shared" si="61"/>
        <v>-0.04</v>
      </c>
      <c r="H88" s="483">
        <f t="shared" si="62"/>
        <v>-4.5999999999999999E-2</v>
      </c>
      <c r="I88" s="483">
        <f t="shared" si="63"/>
        <v>-5.1999999999999998E-2</v>
      </c>
      <c r="J88" s="483">
        <f t="shared" si="64"/>
        <v>0</v>
      </c>
      <c r="K88" s="483">
        <f t="shared" si="65"/>
        <v>0</v>
      </c>
    </row>
    <row r="89" spans="1:11">
      <c r="A89" s="478" t="s">
        <v>12</v>
      </c>
      <c r="B89" s="481">
        <f t="shared" si="56"/>
        <v>-3.2000000000000001E-2</v>
      </c>
      <c r="C89" s="481">
        <f t="shared" si="57"/>
        <v>-3.2000000000000001E-2</v>
      </c>
      <c r="D89" s="481">
        <f t="shared" si="58"/>
        <v>-6.4000000000000001E-2</v>
      </c>
      <c r="E89" s="481">
        <f t="shared" si="59"/>
        <v>-7.6799999999999993E-2</v>
      </c>
      <c r="F89" s="481">
        <f t="shared" si="60"/>
        <v>-0.08</v>
      </c>
      <c r="G89" s="481">
        <f t="shared" si="61"/>
        <v>-6.4000000000000001E-2</v>
      </c>
      <c r="H89" s="481">
        <f t="shared" si="62"/>
        <v>-7.3599999999999999E-2</v>
      </c>
      <c r="I89" s="481">
        <f t="shared" si="63"/>
        <v>-8.3199999999999996E-2</v>
      </c>
      <c r="J89" s="481">
        <f t="shared" si="64"/>
        <v>0</v>
      </c>
      <c r="K89" s="481">
        <f t="shared" si="65"/>
        <v>0</v>
      </c>
    </row>
    <row r="90" spans="1:11">
      <c r="A90" s="478" t="s">
        <v>16</v>
      </c>
      <c r="B90" s="481">
        <f t="shared" si="56"/>
        <v>-0.01</v>
      </c>
      <c r="C90" s="481">
        <f t="shared" si="57"/>
        <v>-0.01</v>
      </c>
      <c r="D90" s="481">
        <f t="shared" si="58"/>
        <v>-0.02</v>
      </c>
      <c r="E90" s="481">
        <f t="shared" si="59"/>
        <v>-2.4E-2</v>
      </c>
      <c r="F90" s="481">
        <f t="shared" si="60"/>
        <v>-2.5000000000000001E-2</v>
      </c>
      <c r="G90" s="481">
        <f t="shared" si="61"/>
        <v>-0.02</v>
      </c>
      <c r="H90" s="481">
        <f t="shared" si="62"/>
        <v>-2.3E-2</v>
      </c>
      <c r="I90" s="481">
        <f t="shared" si="63"/>
        <v>-2.5999999999999999E-2</v>
      </c>
      <c r="J90" s="481">
        <f t="shared" si="64"/>
        <v>0</v>
      </c>
      <c r="K90" s="481">
        <f t="shared" si="65"/>
        <v>0</v>
      </c>
    </row>
    <row r="91" spans="1:11">
      <c r="A91" s="478" t="s">
        <v>906</v>
      </c>
      <c r="B91" s="481">
        <f t="shared" si="56"/>
        <v>-8.0000000000000002E-3</v>
      </c>
      <c r="C91" s="481">
        <f t="shared" si="57"/>
        <v>-8.0000000000000002E-3</v>
      </c>
      <c r="D91" s="481">
        <f t="shared" si="58"/>
        <v>-1.6E-2</v>
      </c>
      <c r="E91" s="481">
        <f t="shared" si="59"/>
        <v>-1.9199999999999998E-2</v>
      </c>
      <c r="F91" s="481">
        <f t="shared" si="60"/>
        <v>-0.02</v>
      </c>
      <c r="G91" s="481">
        <f t="shared" si="61"/>
        <v>-1.6E-2</v>
      </c>
      <c r="H91" s="481">
        <f t="shared" si="62"/>
        <v>-1.84E-2</v>
      </c>
      <c r="I91" s="481">
        <f t="shared" si="63"/>
        <v>-2.0799999999999999E-2</v>
      </c>
      <c r="J91" s="481">
        <f t="shared" si="64"/>
        <v>0</v>
      </c>
      <c r="K91" s="481">
        <f t="shared" si="65"/>
        <v>0</v>
      </c>
    </row>
    <row r="92" spans="1:11">
      <c r="A92" s="478" t="s">
        <v>900</v>
      </c>
      <c r="B92" s="481">
        <f t="shared" si="56"/>
        <v>-1.2E-2</v>
      </c>
      <c r="C92" s="481">
        <f t="shared" si="57"/>
        <v>-1.2E-2</v>
      </c>
      <c r="D92" s="481">
        <f t="shared" si="58"/>
        <v>-2.4E-2</v>
      </c>
      <c r="E92" s="481">
        <f t="shared" si="59"/>
        <v>-2.8799999999999999E-2</v>
      </c>
      <c r="F92" s="481">
        <f t="shared" si="60"/>
        <v>-0.03</v>
      </c>
      <c r="G92" s="481">
        <f t="shared" si="61"/>
        <v>-2.4E-2</v>
      </c>
      <c r="H92" s="481">
        <f t="shared" si="62"/>
        <v>-2.76E-2</v>
      </c>
      <c r="I92" s="481">
        <f t="shared" si="63"/>
        <v>-3.1199999999999999E-2</v>
      </c>
      <c r="J92" s="481">
        <f t="shared" si="64"/>
        <v>0</v>
      </c>
      <c r="K92" s="481">
        <f t="shared" si="65"/>
        <v>0</v>
      </c>
    </row>
    <row r="93" spans="1:11">
      <c r="A93" s="478" t="s">
        <v>902</v>
      </c>
      <c r="B93" s="481">
        <f t="shared" si="56"/>
        <v>-0.01</v>
      </c>
      <c r="C93" s="481">
        <f t="shared" si="57"/>
        <v>-0.01</v>
      </c>
      <c r="D93" s="481">
        <f t="shared" si="58"/>
        <v>-0.02</v>
      </c>
      <c r="E93" s="481">
        <f t="shared" si="59"/>
        <v>-2.4E-2</v>
      </c>
      <c r="F93" s="481">
        <f t="shared" si="60"/>
        <v>-2.5000000000000001E-2</v>
      </c>
      <c r="G93" s="481">
        <f t="shared" si="61"/>
        <v>-0.02</v>
      </c>
      <c r="H93" s="481">
        <f t="shared" si="62"/>
        <v>-2.3E-2</v>
      </c>
      <c r="I93" s="481">
        <f t="shared" si="63"/>
        <v>-2.5999999999999999E-2</v>
      </c>
      <c r="J93" s="481">
        <f t="shared" si="64"/>
        <v>0</v>
      </c>
      <c r="K93" s="481">
        <f t="shared" si="65"/>
        <v>0</v>
      </c>
    </row>
    <row r="94" spans="1:11" ht="12.75" thickBot="1">
      <c r="A94" s="479" t="s">
        <v>909</v>
      </c>
      <c r="B94" s="481">
        <f t="shared" si="56"/>
        <v>-8.0000000000000002E-3</v>
      </c>
      <c r="C94" s="481">
        <f t="shared" si="57"/>
        <v>-8.0000000000000002E-3</v>
      </c>
      <c r="D94" s="481">
        <f t="shared" si="58"/>
        <v>-1.6E-2</v>
      </c>
      <c r="E94" s="481">
        <f t="shared" si="59"/>
        <v>-1.9199999999999998E-2</v>
      </c>
      <c r="F94" s="481">
        <f t="shared" si="60"/>
        <v>-0.02</v>
      </c>
      <c r="G94" s="481">
        <f t="shared" si="61"/>
        <v>-1.6E-2</v>
      </c>
      <c r="H94" s="481">
        <f t="shared" si="62"/>
        <v>-1.84E-2</v>
      </c>
      <c r="I94" s="481">
        <f t="shared" si="63"/>
        <v>-2.0799999999999999E-2</v>
      </c>
      <c r="J94" s="481">
        <f t="shared" si="64"/>
        <v>0</v>
      </c>
      <c r="K94" s="481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7" t="s">
        <v>1454</v>
      </c>
      <c r="B1" s="572"/>
      <c r="C1" s="1401" t="s">
        <v>1558</v>
      </c>
      <c r="D1" s="639" t="s">
        <v>1419</v>
      </c>
      <c r="E1" s="640"/>
      <c r="F1" s="641"/>
      <c r="G1" s="349"/>
      <c r="H1" s="349"/>
      <c r="I1" s="349"/>
      <c r="J1" s="350"/>
      <c r="AE1" s="445"/>
      <c r="AF1" s="445"/>
    </row>
    <row r="2" spans="1:36" ht="15.75">
      <c r="A2" s="650" t="s">
        <v>910</v>
      </c>
      <c r="B2" s="651" t="str">
        <f>IF(C1="求取熟地价",E27,IF(C1="求取毛地价",E29,"——"))</f>
        <v>——</v>
      </c>
      <c r="C2" s="893" t="s">
        <v>981</v>
      </c>
      <c r="D2" s="1736" t="s">
        <v>1424</v>
      </c>
      <c r="E2" s="1726" t="s">
        <v>1420</v>
      </c>
      <c r="F2" s="617" t="s">
        <v>1423</v>
      </c>
      <c r="G2" s="353"/>
      <c r="H2" s="353"/>
      <c r="I2" s="620"/>
      <c r="J2" s="643"/>
      <c r="AE2" s="445"/>
      <c r="AF2" s="445"/>
    </row>
    <row r="3" spans="1:36" ht="16.5" thickBot="1">
      <c r="A3" s="652" t="s">
        <v>1554</v>
      </c>
      <c r="B3" s="653">
        <f ca="1">IF(C1="求取熟地价",C27,ROUND((C15*B11+C18)*C22/B11,0))</f>
        <v>0</v>
      </c>
      <c r="C3" s="894" t="s">
        <v>914</v>
      </c>
      <c r="D3" s="1737"/>
      <c r="E3" s="1727"/>
      <c r="F3" s="617" t="s">
        <v>1434</v>
      </c>
      <c r="G3" s="353"/>
      <c r="H3" s="353"/>
      <c r="I3" s="620"/>
      <c r="J3" s="643"/>
      <c r="AE3" s="445"/>
      <c r="AF3" s="445"/>
    </row>
    <row r="4" spans="1:36" ht="16.5" thickBot="1">
      <c r="A4" s="648"/>
      <c r="B4" s="613"/>
      <c r="C4" s="649"/>
      <c r="D4" s="1737"/>
      <c r="E4" s="1727"/>
      <c r="F4" s="617" t="s">
        <v>1435</v>
      </c>
      <c r="G4" s="353"/>
      <c r="H4" s="353"/>
      <c r="I4" s="620"/>
      <c r="J4" s="643"/>
      <c r="AE4" s="445"/>
      <c r="AF4" s="445"/>
    </row>
    <row r="5" spans="1:36" ht="14.25">
      <c r="A5" s="654" t="s">
        <v>984</v>
      </c>
      <c r="B5" s="896" t="str">
        <f>主表!B12</f>
        <v>商业</v>
      </c>
      <c r="C5" s="658"/>
      <c r="D5" s="1738"/>
      <c r="E5" s="1728"/>
      <c r="F5" s="617" t="s">
        <v>1436</v>
      </c>
      <c r="G5" s="353"/>
      <c r="H5" s="353"/>
      <c r="I5" s="620"/>
      <c r="J5" s="643"/>
      <c r="AE5" s="445"/>
      <c r="AF5" s="445"/>
    </row>
    <row r="6" spans="1:36" ht="14.25">
      <c r="A6" s="655" t="s">
        <v>1432</v>
      </c>
      <c r="B6" s="1233"/>
      <c r="C6" s="658"/>
      <c r="D6" s="1736" t="s">
        <v>1425</v>
      </c>
      <c r="E6" s="1726" t="s">
        <v>1421</v>
      </c>
      <c r="F6" s="617" t="s">
        <v>1437</v>
      </c>
      <c r="G6" s="353"/>
      <c r="H6" s="353"/>
      <c r="I6" s="620"/>
      <c r="J6" s="643"/>
      <c r="AE6" s="445"/>
      <c r="AF6" s="445"/>
    </row>
    <row r="7" spans="1:36" ht="14.25">
      <c r="A7" s="1266" t="s">
        <v>1433</v>
      </c>
      <c r="B7" s="704" t="str">
        <f>LEFT(主表!B10,1)&amp;"类"</f>
        <v>六类</v>
      </c>
      <c r="C7" s="658"/>
      <c r="D7" s="1737"/>
      <c r="E7" s="1727"/>
      <c r="F7" s="617" t="s">
        <v>1438</v>
      </c>
      <c r="G7" s="353"/>
      <c r="H7" s="353"/>
      <c r="I7" s="620"/>
      <c r="J7" s="643"/>
      <c r="AE7" s="445"/>
      <c r="AF7" s="445"/>
    </row>
    <row r="8" spans="1:36" ht="15">
      <c r="A8" s="655" t="s">
        <v>1559</v>
      </c>
      <c r="B8" s="1298"/>
      <c r="C8" s="658"/>
      <c r="D8" s="1738"/>
      <c r="E8" s="1728"/>
      <c r="F8" s="617" t="s">
        <v>1439</v>
      </c>
      <c r="G8" s="353"/>
      <c r="H8" s="353"/>
      <c r="I8" s="620"/>
      <c r="J8" s="643"/>
      <c r="AE8" s="445"/>
      <c r="AF8" s="445"/>
    </row>
    <row r="9" spans="1:36" ht="15">
      <c r="A9" s="655" t="s">
        <v>1178</v>
      </c>
      <c r="B9" s="656">
        <f>主表!B7</f>
        <v>1406.23</v>
      </c>
      <c r="C9" s="658"/>
      <c r="D9" s="642" t="s">
        <v>1426</v>
      </c>
      <c r="E9" s="619" t="s">
        <v>1402</v>
      </c>
      <c r="F9" s="617" t="s">
        <v>1440</v>
      </c>
      <c r="G9" s="353"/>
      <c r="H9" s="353"/>
      <c r="I9" s="620"/>
      <c r="J9" s="643"/>
      <c r="AE9" s="445"/>
      <c r="AF9" s="445"/>
    </row>
    <row r="10" spans="1:36" ht="15">
      <c r="A10" s="655" t="s">
        <v>1341</v>
      </c>
      <c r="B10" s="656">
        <f>主表!B6</f>
        <v>644.47</v>
      </c>
      <c r="C10" s="658"/>
      <c r="D10" s="1736" t="s">
        <v>1403</v>
      </c>
      <c r="E10" s="1726" t="s">
        <v>1422</v>
      </c>
      <c r="F10" s="617" t="s">
        <v>1441</v>
      </c>
      <c r="G10" s="353"/>
      <c r="H10" s="353"/>
      <c r="I10" s="620"/>
      <c r="J10" s="643"/>
      <c r="AE10" s="445"/>
      <c r="AF10" s="445"/>
    </row>
    <row r="11" spans="1:36" ht="15.75" thickBot="1">
      <c r="A11" s="1378" t="s">
        <v>1219</v>
      </c>
      <c r="B11" s="657">
        <f>IF(A11="容积率",主表!B8,主表!B9)</f>
        <v>2.1800000000000002</v>
      </c>
      <c r="C11" s="658"/>
      <c r="D11" s="1739"/>
      <c r="E11" s="1729"/>
      <c r="F11" s="644" t="s">
        <v>1442</v>
      </c>
      <c r="G11" s="360"/>
      <c r="H11" s="360"/>
      <c r="I11" s="645"/>
      <c r="J11" s="646"/>
      <c r="AE11" s="445"/>
      <c r="AF11" s="445"/>
    </row>
    <row r="12" spans="1:36" ht="15" thickBot="1">
      <c r="A12" s="628"/>
      <c r="B12" s="628"/>
      <c r="C12" s="628"/>
      <c r="D12" s="628"/>
      <c r="E12" s="628"/>
      <c r="F12" s="628"/>
      <c r="G12" s="629"/>
      <c r="H12" s="614"/>
      <c r="I12" s="615"/>
      <c r="J12" s="339"/>
      <c r="AE12" s="445"/>
      <c r="AF12" s="445"/>
    </row>
    <row r="13" spans="1:36" ht="15" thickBot="1">
      <c r="A13" s="636" t="s">
        <v>1449</v>
      </c>
      <c r="B13" s="637"/>
      <c r="C13" s="638" t="s">
        <v>1450</v>
      </c>
      <c r="D13" s="895" t="s">
        <v>1291</v>
      </c>
      <c r="E13" s="896" t="s">
        <v>1443</v>
      </c>
      <c r="F13" s="339"/>
      <c r="G13" s="339"/>
      <c r="H13" s="614"/>
      <c r="I13" s="615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4"/>
      <c r="I14" s="615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4"/>
      <c r="I15" s="615"/>
      <c r="J15" s="339"/>
      <c r="AE15" s="445"/>
      <c r="AF15" s="445"/>
    </row>
    <row r="16" spans="1:36" ht="15.75">
      <c r="A16" s="898">
        <v>1</v>
      </c>
      <c r="B16" s="702" t="s">
        <v>1428</v>
      </c>
      <c r="C16" s="1234"/>
      <c r="D16" s="578">
        <f>SUMPRODUCT((D35:M35=B7)*(B44:B46=B16)*(D44:M46))</f>
        <v>460</v>
      </c>
      <c r="E16" s="581">
        <f>SUMPRODUCT((D35:M35=B7)*(B47:B49=B16)*(D47:M49))</f>
        <v>800</v>
      </c>
      <c r="F16" s="339"/>
      <c r="G16" s="339"/>
      <c r="H16" s="614"/>
      <c r="I16" s="615"/>
      <c r="J16" s="339"/>
      <c r="AE16" s="445"/>
      <c r="AF16" s="445"/>
    </row>
    <row r="17" spans="1:37" ht="15.75" customHeight="1" thickBot="1">
      <c r="A17" s="898">
        <v>2</v>
      </c>
      <c r="B17" s="702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698" t="s">
        <v>1563</v>
      </c>
      <c r="G17" s="339"/>
      <c r="H17" s="614"/>
      <c r="I17" s="615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4"/>
      <c r="I18" s="615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2">
        <f>SUMPRODUCT((D35:M35=B7)*(B44:B46=B19)*(D44:M46))</f>
        <v>5900</v>
      </c>
      <c r="E19" s="592">
        <f>SUMPRODUCT((D35:M35=B7)*(B47:B49=B19)*(D47:M49))</f>
        <v>7800</v>
      </c>
      <c r="F19" s="1296" t="s">
        <v>1448</v>
      </c>
      <c r="G19" s="339"/>
      <c r="H19" s="614"/>
      <c r="I19" s="615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4"/>
      <c r="I20" s="615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>
        <f>IF(B11&lt;1,1,SUMIF(B55:K55,ROUNDDOWN(B11,0),B56:K56)+(SUMIF(B55:K55,ROUNDUP(B11,0),B56:K56)-SUMIF(B55:K55,ROUNDDOWN(B11,0),B56:K56))*(B11-ROUNDDOWN(B11,0)))</f>
        <v>2.0594000000000001</v>
      </c>
      <c r="D21" s="1283"/>
      <c r="E21" s="1284"/>
      <c r="F21" s="339"/>
      <c r="G21" s="339"/>
      <c r="H21" s="614"/>
      <c r="I21" s="615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0.97709999999999997</v>
      </c>
      <c r="D22" s="1278"/>
      <c r="E22" s="1279"/>
      <c r="F22" s="339"/>
      <c r="G22" s="339"/>
      <c r="H22" s="614"/>
      <c r="I22" s="615"/>
      <c r="J22" s="339"/>
      <c r="AE22" s="445"/>
      <c r="AF22" s="445"/>
    </row>
    <row r="23" spans="1:37" ht="15">
      <c r="A23" s="683"/>
      <c r="B23" s="627" t="s">
        <v>936</v>
      </c>
      <c r="C23" s="626">
        <f ca="1">AVERAGE(存贷款利率!G3,存贷款利率!I3)</f>
        <v>4.3650000000000008E-2</v>
      </c>
      <c r="D23" s="579"/>
      <c r="E23" s="580"/>
      <c r="F23" s="339"/>
      <c r="G23" s="339"/>
      <c r="H23" s="614"/>
      <c r="I23" s="615"/>
      <c r="J23" s="339"/>
      <c r="AE23" s="445"/>
      <c r="AF23" s="445"/>
    </row>
    <row r="24" spans="1:37" ht="15">
      <c r="A24" s="683"/>
      <c r="B24" s="1231" t="s">
        <v>1634</v>
      </c>
      <c r="C24" s="578">
        <f>IF(B24="剩余土地使用年限",主表!B15,主表!B16)</f>
        <v>37.69</v>
      </c>
      <c r="D24" s="579"/>
      <c r="E24" s="580"/>
      <c r="F24" s="339"/>
      <c r="G24" s="339"/>
      <c r="H24" s="614"/>
      <c r="I24" s="615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40</v>
      </c>
      <c r="D25" s="1290"/>
      <c r="E25" s="1291"/>
      <c r="F25" s="339"/>
      <c r="G25" s="339"/>
      <c r="H25" s="614"/>
      <c r="I25" s="615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0"/>
      <c r="G26" s="575"/>
      <c r="H26" s="575"/>
      <c r="I26" s="575"/>
      <c r="J26" s="576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8" t="s">
        <v>1338</v>
      </c>
      <c r="B27" s="715" t="s">
        <v>1325</v>
      </c>
      <c r="C27" s="578">
        <f>ROUND(C28/B11,0)</f>
        <v>0</v>
      </c>
      <c r="D27" s="587">
        <f>B9</f>
        <v>1406.23</v>
      </c>
      <c r="E27" s="588">
        <f>ROUND(C27*D27,0)</f>
        <v>0</v>
      </c>
      <c r="F27" s="589"/>
      <c r="G27" s="590"/>
      <c r="H27" s="590"/>
      <c r="I27" s="590"/>
      <c r="J27" s="591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9"/>
      <c r="B28" s="720" t="s">
        <v>1328</v>
      </c>
      <c r="C28" s="578">
        <f>IF(主表!B4&lt;DATE(2002,12,10),ROUND(C14*C21*C22+C15*B11+C18,0),0)</f>
        <v>0</v>
      </c>
      <c r="D28" s="587">
        <f>B10</f>
        <v>644.47</v>
      </c>
      <c r="E28" s="588">
        <f>ROUND(C28*D28,0)</f>
        <v>0</v>
      </c>
      <c r="F28" s="589"/>
      <c r="G28" s="590"/>
      <c r="H28" s="590"/>
      <c r="I28" s="590"/>
      <c r="J28" s="591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20" t="s">
        <v>1451</v>
      </c>
      <c r="B29" s="702" t="s">
        <v>1452</v>
      </c>
      <c r="C29" s="592">
        <f>ROUND(C30/B11,0)</f>
        <v>0</v>
      </c>
      <c r="D29" s="593">
        <f>B9</f>
        <v>1406.23</v>
      </c>
      <c r="E29" s="594">
        <f>ROUND(C29*D29,0)</f>
        <v>0</v>
      </c>
      <c r="F29" s="589"/>
      <c r="G29" s="590"/>
      <c r="H29" s="590"/>
      <c r="I29" s="590"/>
      <c r="J29" s="591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2"/>
      <c r="B30" s="897" t="s">
        <v>1453</v>
      </c>
      <c r="C30" s="583">
        <f>IF(主表!B4&lt;DATE(2002,12,10),ROUND(C14*C21*C22+C15*B11,0),0)</f>
        <v>0</v>
      </c>
      <c r="D30" s="631">
        <f>B10</f>
        <v>644.47</v>
      </c>
      <c r="E30" s="632">
        <f t="shared" ref="E30" si="0">ROUND(C30*D30,0)</f>
        <v>0</v>
      </c>
      <c r="F30" s="633"/>
      <c r="G30" s="634"/>
      <c r="H30" s="634"/>
      <c r="I30" s="634"/>
      <c r="J30" s="635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7"/>
      <c r="D32" s="567"/>
      <c r="E32" s="567"/>
      <c r="F32" s="567"/>
      <c r="G32" s="567"/>
      <c r="H32" s="567"/>
      <c r="I32" s="567"/>
      <c r="J32" s="567"/>
      <c r="K32" s="568"/>
      <c r="L32" s="569"/>
      <c r="M32" s="569"/>
      <c r="N32" s="569"/>
      <c r="O32" s="569"/>
      <c r="P32" s="569"/>
      <c r="Q32" s="569"/>
      <c r="R32" s="569"/>
      <c r="S32" s="569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6"/>
      <c r="B35" s="616" t="s">
        <v>1391</v>
      </c>
      <c r="C35" s="616"/>
      <c r="D35" s="616" t="s">
        <v>1392</v>
      </c>
      <c r="E35" s="616" t="s">
        <v>1393</v>
      </c>
      <c r="F35" s="616" t="s">
        <v>1394</v>
      </c>
      <c r="G35" s="616" t="s">
        <v>1395</v>
      </c>
      <c r="H35" s="616" t="s">
        <v>1396</v>
      </c>
      <c r="I35" s="616" t="s">
        <v>1397</v>
      </c>
      <c r="J35" s="616" t="s">
        <v>1398</v>
      </c>
      <c r="K35" s="616" t="s">
        <v>1399</v>
      </c>
      <c r="L35" s="616" t="s">
        <v>1400</v>
      </c>
      <c r="M35" s="616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0" t="s">
        <v>1404</v>
      </c>
      <c r="B36" s="900" t="s">
        <v>1405</v>
      </c>
      <c r="C36" s="901" t="s">
        <v>1406</v>
      </c>
      <c r="D36" s="902">
        <v>3200</v>
      </c>
      <c r="E36" s="902">
        <v>2400</v>
      </c>
      <c r="F36" s="902">
        <v>2000</v>
      </c>
      <c r="G36" s="902">
        <v>1500</v>
      </c>
      <c r="H36" s="902">
        <v>1000</v>
      </c>
      <c r="I36" s="902">
        <v>500</v>
      </c>
      <c r="J36" s="902">
        <v>400</v>
      </c>
      <c r="K36" s="902">
        <v>70</v>
      </c>
      <c r="L36" s="902">
        <v>50</v>
      </c>
      <c r="M36" s="903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1"/>
      <c r="B37" s="904" t="s">
        <v>1408</v>
      </c>
      <c r="C37" s="905" t="s">
        <v>1406</v>
      </c>
      <c r="D37" s="615">
        <v>3000</v>
      </c>
      <c r="E37" s="615">
        <v>2200</v>
      </c>
      <c r="F37" s="615">
        <v>1800</v>
      </c>
      <c r="G37" s="615">
        <v>1400</v>
      </c>
      <c r="H37" s="615">
        <v>1000</v>
      </c>
      <c r="I37" s="615">
        <v>500</v>
      </c>
      <c r="J37" s="615">
        <v>300</v>
      </c>
      <c r="K37" s="615">
        <v>70</v>
      </c>
      <c r="L37" s="615">
        <v>40</v>
      </c>
      <c r="M37" s="906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1"/>
      <c r="B38" s="904" t="s">
        <v>1409</v>
      </c>
      <c r="C38" s="905" t="s">
        <v>1406</v>
      </c>
      <c r="D38" s="615">
        <v>2000</v>
      </c>
      <c r="E38" s="615">
        <v>1500</v>
      </c>
      <c r="F38" s="615">
        <v>1000</v>
      </c>
      <c r="G38" s="615">
        <v>800</v>
      </c>
      <c r="H38" s="615">
        <v>600</v>
      </c>
      <c r="I38" s="615">
        <v>400</v>
      </c>
      <c r="J38" s="615">
        <v>150</v>
      </c>
      <c r="K38" s="615">
        <v>50</v>
      </c>
      <c r="L38" s="615">
        <v>30</v>
      </c>
      <c r="M38" s="906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1"/>
      <c r="B39" s="907" t="s">
        <v>1410</v>
      </c>
      <c r="C39" s="908" t="s">
        <v>1406</v>
      </c>
      <c r="D39" s="909">
        <v>320</v>
      </c>
      <c r="E39" s="909">
        <v>240</v>
      </c>
      <c r="F39" s="909">
        <v>180</v>
      </c>
      <c r="G39" s="909">
        <v>140</v>
      </c>
      <c r="H39" s="909">
        <v>100</v>
      </c>
      <c r="I39" s="909">
        <v>70</v>
      </c>
      <c r="J39" s="909">
        <v>30</v>
      </c>
      <c r="K39" s="909">
        <v>25</v>
      </c>
      <c r="L39" s="909">
        <v>20</v>
      </c>
      <c r="M39" s="910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1"/>
      <c r="B40" s="900" t="s">
        <v>1405</v>
      </c>
      <c r="C40" s="901" t="s">
        <v>1407</v>
      </c>
      <c r="D40" s="615">
        <v>5400</v>
      </c>
      <c r="E40" s="615">
        <v>3200</v>
      </c>
      <c r="F40" s="615">
        <v>2400</v>
      </c>
      <c r="G40" s="615">
        <v>2000</v>
      </c>
      <c r="H40" s="615">
        <v>1500</v>
      </c>
      <c r="I40" s="615">
        <v>1000</v>
      </c>
      <c r="J40" s="615">
        <v>500</v>
      </c>
      <c r="K40" s="615">
        <v>400</v>
      </c>
      <c r="L40" s="615">
        <v>70</v>
      </c>
      <c r="M40" s="906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1"/>
      <c r="B41" s="904" t="s">
        <v>1408</v>
      </c>
      <c r="C41" s="905" t="s">
        <v>1407</v>
      </c>
      <c r="D41" s="615">
        <v>4600</v>
      </c>
      <c r="E41" s="615">
        <v>3000</v>
      </c>
      <c r="F41" s="615">
        <v>2200</v>
      </c>
      <c r="G41" s="615">
        <v>1800</v>
      </c>
      <c r="H41" s="615">
        <v>1400</v>
      </c>
      <c r="I41" s="615">
        <v>1000</v>
      </c>
      <c r="J41" s="615">
        <v>500</v>
      </c>
      <c r="K41" s="615">
        <v>300</v>
      </c>
      <c r="L41" s="615">
        <v>70</v>
      </c>
      <c r="M41" s="615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1"/>
      <c r="B42" s="904" t="s">
        <v>1409</v>
      </c>
      <c r="C42" s="905" t="s">
        <v>1407</v>
      </c>
      <c r="D42" s="615">
        <v>2700</v>
      </c>
      <c r="E42" s="615">
        <v>2000</v>
      </c>
      <c r="F42" s="615">
        <v>1500</v>
      </c>
      <c r="G42" s="615">
        <v>1000</v>
      </c>
      <c r="H42" s="615">
        <v>800</v>
      </c>
      <c r="I42" s="615">
        <v>600</v>
      </c>
      <c r="J42" s="615">
        <v>400</v>
      </c>
      <c r="K42" s="615">
        <v>150</v>
      </c>
      <c r="L42" s="615">
        <v>50</v>
      </c>
      <c r="M42" s="615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1"/>
      <c r="B43" s="907" t="s">
        <v>1410</v>
      </c>
      <c r="C43" s="908" t="s">
        <v>1407</v>
      </c>
      <c r="D43" s="615">
        <v>540</v>
      </c>
      <c r="E43" s="615">
        <v>320</v>
      </c>
      <c r="F43" s="615">
        <v>240</v>
      </c>
      <c r="G43" s="615">
        <v>180</v>
      </c>
      <c r="H43" s="615">
        <v>140</v>
      </c>
      <c r="I43" s="615">
        <v>100</v>
      </c>
      <c r="J43" s="615">
        <v>70</v>
      </c>
      <c r="K43" s="615">
        <v>30</v>
      </c>
      <c r="L43" s="615">
        <v>25</v>
      </c>
      <c r="M43" s="906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3" t="s">
        <v>1411</v>
      </c>
      <c r="B44" s="911" t="s">
        <v>1412</v>
      </c>
      <c r="C44" s="901" t="s">
        <v>1406</v>
      </c>
      <c r="D44" s="902">
        <v>460</v>
      </c>
      <c r="E44" s="902">
        <v>460</v>
      </c>
      <c r="F44" s="902">
        <v>460</v>
      </c>
      <c r="G44" s="902">
        <v>460</v>
      </c>
      <c r="H44" s="902">
        <v>460</v>
      </c>
      <c r="I44" s="902">
        <v>460</v>
      </c>
      <c r="J44" s="902">
        <v>460</v>
      </c>
      <c r="K44" s="902">
        <v>460</v>
      </c>
      <c r="L44" s="902">
        <v>460</v>
      </c>
      <c r="M44" s="903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4"/>
      <c r="B45" s="912" t="s">
        <v>1413</v>
      </c>
      <c r="C45" s="905" t="s">
        <v>1406</v>
      </c>
      <c r="D45" s="615">
        <v>150</v>
      </c>
      <c r="E45" s="615">
        <v>150</v>
      </c>
      <c r="F45" s="615">
        <v>150</v>
      </c>
      <c r="G45" s="615">
        <v>150</v>
      </c>
      <c r="H45" s="615">
        <v>150</v>
      </c>
      <c r="I45" s="615">
        <v>150</v>
      </c>
      <c r="J45" s="615">
        <v>150</v>
      </c>
      <c r="K45" s="615">
        <v>150</v>
      </c>
      <c r="L45" s="615">
        <v>150</v>
      </c>
      <c r="M45" s="906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4"/>
      <c r="B46" s="913" t="s">
        <v>1414</v>
      </c>
      <c r="C46" s="908" t="s">
        <v>1406</v>
      </c>
      <c r="D46" s="909">
        <v>5900</v>
      </c>
      <c r="E46" s="909">
        <v>5900</v>
      </c>
      <c r="F46" s="909">
        <v>5900</v>
      </c>
      <c r="G46" s="909">
        <v>5900</v>
      </c>
      <c r="H46" s="909">
        <v>5900</v>
      </c>
      <c r="I46" s="909">
        <v>5900</v>
      </c>
      <c r="J46" s="909">
        <v>5900</v>
      </c>
      <c r="K46" s="909"/>
      <c r="L46" s="909"/>
      <c r="M46" s="910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4"/>
      <c r="B47" s="911" t="s">
        <v>1412</v>
      </c>
      <c r="C47" s="901" t="s">
        <v>1407</v>
      </c>
      <c r="D47" s="902">
        <v>800</v>
      </c>
      <c r="E47" s="902">
        <v>800</v>
      </c>
      <c r="F47" s="902">
        <v>800</v>
      </c>
      <c r="G47" s="902">
        <v>800</v>
      </c>
      <c r="H47" s="902">
        <v>800</v>
      </c>
      <c r="I47" s="902">
        <v>800</v>
      </c>
      <c r="J47" s="902">
        <v>800</v>
      </c>
      <c r="K47" s="902">
        <v>800</v>
      </c>
      <c r="L47" s="902">
        <v>800</v>
      </c>
      <c r="M47" s="903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4"/>
      <c r="B48" s="912" t="s">
        <v>1413</v>
      </c>
      <c r="C48" s="905" t="s">
        <v>1407</v>
      </c>
      <c r="D48" s="615">
        <v>400</v>
      </c>
      <c r="E48" s="615">
        <v>400</v>
      </c>
      <c r="F48" s="615">
        <v>400</v>
      </c>
      <c r="G48" s="615">
        <v>400</v>
      </c>
      <c r="H48" s="615">
        <v>400</v>
      </c>
      <c r="I48" s="615">
        <v>400</v>
      </c>
      <c r="J48" s="615">
        <v>400</v>
      </c>
      <c r="K48" s="615">
        <v>400</v>
      </c>
      <c r="L48" s="615">
        <v>400</v>
      </c>
      <c r="M48" s="906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5"/>
      <c r="B49" s="913" t="s">
        <v>1414</v>
      </c>
      <c r="C49" s="908" t="s">
        <v>1407</v>
      </c>
      <c r="D49" s="909">
        <v>7800</v>
      </c>
      <c r="E49" s="909">
        <v>7800</v>
      </c>
      <c r="F49" s="909">
        <v>7800</v>
      </c>
      <c r="G49" s="909">
        <v>7800</v>
      </c>
      <c r="H49" s="909">
        <v>7800</v>
      </c>
      <c r="I49" s="909">
        <v>7800</v>
      </c>
      <c r="J49" s="909">
        <v>7800</v>
      </c>
      <c r="K49" s="909"/>
      <c r="L49" s="909"/>
      <c r="M49" s="910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4" t="s">
        <v>1415</v>
      </c>
      <c r="B50" s="911" t="s">
        <v>1444</v>
      </c>
      <c r="C50" s="901" t="s">
        <v>1406</v>
      </c>
      <c r="D50" s="902">
        <v>150</v>
      </c>
      <c r="E50" s="902">
        <v>150</v>
      </c>
      <c r="F50" s="902">
        <v>150</v>
      </c>
      <c r="G50" s="902">
        <v>150</v>
      </c>
      <c r="H50" s="902">
        <v>150</v>
      </c>
      <c r="I50" s="902">
        <v>150</v>
      </c>
      <c r="J50" s="902">
        <v>150</v>
      </c>
      <c r="K50" s="902"/>
      <c r="L50" s="902"/>
      <c r="M50" s="903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4"/>
      <c r="B51" s="913" t="s">
        <v>1418</v>
      </c>
      <c r="C51" s="908" t="s">
        <v>1406</v>
      </c>
      <c r="D51" s="909"/>
      <c r="E51" s="909"/>
      <c r="F51" s="909"/>
      <c r="G51" s="909"/>
      <c r="H51" s="909"/>
      <c r="I51" s="909">
        <v>75</v>
      </c>
      <c r="J51" s="909">
        <v>75</v>
      </c>
      <c r="K51" s="909">
        <v>75</v>
      </c>
      <c r="L51" s="909">
        <v>75</v>
      </c>
      <c r="M51" s="910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4"/>
      <c r="B52" s="911" t="s">
        <v>1417</v>
      </c>
      <c r="C52" s="901" t="s">
        <v>1407</v>
      </c>
      <c r="D52" s="902">
        <v>450</v>
      </c>
      <c r="E52" s="902">
        <v>450</v>
      </c>
      <c r="F52" s="902">
        <v>450</v>
      </c>
      <c r="G52" s="902">
        <v>450</v>
      </c>
      <c r="H52" s="902">
        <v>450</v>
      </c>
      <c r="I52" s="902">
        <v>450</v>
      </c>
      <c r="J52" s="902">
        <v>450</v>
      </c>
      <c r="K52" s="902"/>
      <c r="L52" s="902"/>
      <c r="M52" s="903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5"/>
      <c r="B53" s="913" t="s">
        <v>1418</v>
      </c>
      <c r="C53" s="908" t="s">
        <v>1407</v>
      </c>
      <c r="D53" s="909"/>
      <c r="E53" s="909"/>
      <c r="F53" s="909"/>
      <c r="G53" s="909"/>
      <c r="H53" s="909"/>
      <c r="I53" s="909">
        <v>180</v>
      </c>
      <c r="J53" s="909">
        <v>180</v>
      </c>
      <c r="K53" s="909">
        <v>180</v>
      </c>
      <c r="L53" s="909">
        <v>180</v>
      </c>
      <c r="M53" s="910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1"/>
      <c r="C54" s="611"/>
      <c r="D54" s="611"/>
      <c r="E54" s="611"/>
      <c r="F54" s="611"/>
      <c r="G54" s="611"/>
      <c r="H54" s="611"/>
      <c r="I54" s="611"/>
      <c r="J54" s="611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899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899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2" t="s">
        <v>91</v>
      </c>
      <c r="D4" s="1753"/>
      <c r="E4" s="1754" t="s">
        <v>92</v>
      </c>
      <c r="F4" s="1755"/>
      <c r="G4" s="1752" t="s">
        <v>93</v>
      </c>
      <c r="H4" s="1753"/>
      <c r="I4" s="1752" t="s">
        <v>94</v>
      </c>
      <c r="J4" s="1753"/>
      <c r="K4" s="137" t="s">
        <v>95</v>
      </c>
      <c r="L4" s="417"/>
      <c r="M4" s="418"/>
      <c r="N4" s="418"/>
      <c r="O4" s="418"/>
      <c r="P4" s="1756" t="s">
        <v>96</v>
      </c>
      <c r="Q4" s="1757"/>
      <c r="R4" s="1762" t="s">
        <v>92</v>
      </c>
      <c r="S4" s="1763"/>
      <c r="T4" s="1762" t="s">
        <v>93</v>
      </c>
      <c r="U4" s="1763"/>
      <c r="V4" s="1768" t="s">
        <v>94</v>
      </c>
      <c r="W4" s="1768"/>
      <c r="X4" s="193"/>
      <c r="Y4" s="1762" t="s">
        <v>96</v>
      </c>
      <c r="Z4" s="1763"/>
      <c r="AA4" s="1749" t="s">
        <v>92</v>
      </c>
      <c r="AB4" s="1750" t="s">
        <v>93</v>
      </c>
      <c r="AC4" s="1749" t="s">
        <v>94</v>
      </c>
    </row>
    <row r="5" spans="1:29" ht="15">
      <c r="A5" s="39"/>
      <c r="B5" s="40"/>
      <c r="C5" s="1745" t="s">
        <v>227</v>
      </c>
      <c r="D5" s="1746"/>
      <c r="E5" s="1769" t="s">
        <v>228</v>
      </c>
      <c r="F5" s="1770"/>
      <c r="G5" s="1745" t="s">
        <v>231</v>
      </c>
      <c r="H5" s="1746"/>
      <c r="I5" s="1745" t="s">
        <v>229</v>
      </c>
      <c r="J5" s="1746"/>
      <c r="K5" s="137"/>
      <c r="L5" s="417"/>
      <c r="M5" s="418"/>
      <c r="N5" s="418"/>
      <c r="O5" s="418"/>
      <c r="P5" s="1758"/>
      <c r="Q5" s="1759"/>
      <c r="R5" s="1764"/>
      <c r="S5" s="1765"/>
      <c r="T5" s="1764"/>
      <c r="U5" s="1765"/>
      <c r="V5" s="1768"/>
      <c r="W5" s="1768"/>
      <c r="X5" s="193"/>
      <c r="Y5" s="1764"/>
      <c r="Z5" s="1765"/>
      <c r="AA5" s="1750"/>
      <c r="AB5" s="1750"/>
      <c r="AC5" s="1750"/>
    </row>
    <row r="6" spans="1:29" ht="15.75" thickBot="1">
      <c r="A6" s="41"/>
      <c r="B6" s="42"/>
      <c r="C6" s="1742" t="s">
        <v>230</v>
      </c>
      <c r="D6" s="1743"/>
      <c r="E6" s="1740" t="s">
        <v>230</v>
      </c>
      <c r="F6" s="1741"/>
      <c r="G6" s="1742" t="s">
        <v>230</v>
      </c>
      <c r="H6" s="1743"/>
      <c r="I6" s="1742" t="s">
        <v>230</v>
      </c>
      <c r="J6" s="1743"/>
      <c r="K6" s="137" t="s">
        <v>97</v>
      </c>
      <c r="L6" s="417"/>
      <c r="M6" s="418"/>
      <c r="N6" s="418"/>
      <c r="O6" s="418"/>
      <c r="P6" s="1760"/>
      <c r="Q6" s="1761"/>
      <c r="R6" s="1764"/>
      <c r="S6" s="1765"/>
      <c r="T6" s="1766"/>
      <c r="U6" s="1767"/>
      <c r="V6" s="1768"/>
      <c r="W6" s="1768"/>
      <c r="X6" s="193"/>
      <c r="Y6" s="1766"/>
      <c r="Z6" s="1767"/>
      <c r="AA6" s="1751"/>
      <c r="AB6" s="1751"/>
      <c r="AC6" s="1751"/>
    </row>
    <row r="7" spans="1:29" s="21" customFormat="1" ht="15.75" thickBot="1">
      <c r="A7" s="43" t="s">
        <v>98</v>
      </c>
      <c r="B7" s="44"/>
      <c r="C7" s="1264">
        <f>主表!B4</f>
        <v>40427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7" t="s">
        <v>99</v>
      </c>
      <c r="Q7" s="1771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7" t="s">
        <v>99</v>
      </c>
      <c r="Z7" s="1748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598" t="s">
        <v>27</v>
      </c>
      <c r="D8" s="599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7" t="s">
        <v>125</v>
      </c>
      <c r="Q8" s="1748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7" t="s">
        <v>125</v>
      </c>
      <c r="Z8" s="1748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0" t="str">
        <f>主表!B12</f>
        <v>商业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4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4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44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4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>
        <f>IF(B11="容积率",主表!B8,主表!B9)</f>
        <v>2.1800000000000002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4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4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六级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4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4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44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4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44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4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2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2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73"/>
      <c r="Q16" s="197"/>
      <c r="R16" s="198"/>
      <c r="S16" s="199"/>
      <c r="T16" s="198"/>
      <c r="U16" s="199"/>
      <c r="V16" s="198"/>
      <c r="W16" s="199"/>
      <c r="X16" s="193"/>
      <c r="Y16" s="1773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3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3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73"/>
      <c r="Q18" s="197"/>
      <c r="R18" s="198"/>
      <c r="S18" s="199"/>
      <c r="T18" s="198"/>
      <c r="U18" s="199"/>
      <c r="V18" s="198"/>
      <c r="W18" s="199"/>
      <c r="X18" s="193"/>
      <c r="Y18" s="1773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3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3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73"/>
      <c r="Q20" s="197"/>
      <c r="R20" s="198"/>
      <c r="S20" s="199"/>
      <c r="T20" s="198"/>
      <c r="U20" s="199"/>
      <c r="V20" s="198"/>
      <c r="W20" s="199"/>
      <c r="X20" s="193"/>
      <c r="Y20" s="1773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3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3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73"/>
      <c r="Q22" s="197"/>
      <c r="R22" s="198"/>
      <c r="S22" s="199"/>
      <c r="T22" s="198"/>
      <c r="U22" s="199"/>
      <c r="V22" s="198"/>
      <c r="W22" s="199"/>
      <c r="X22" s="193"/>
      <c r="Y22" s="1773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3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3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73"/>
      <c r="Q24" s="197"/>
      <c r="R24" s="198"/>
      <c r="S24" s="199"/>
      <c r="T24" s="198"/>
      <c r="U24" s="199"/>
      <c r="V24" s="198"/>
      <c r="W24" s="199"/>
      <c r="X24" s="193"/>
      <c r="Y24" s="1773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3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3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73"/>
      <c r="Q26" s="197"/>
      <c r="R26" s="198"/>
      <c r="S26" s="199"/>
      <c r="T26" s="198"/>
      <c r="U26" s="199"/>
      <c r="V26" s="198"/>
      <c r="W26" s="199"/>
      <c r="X26" s="193"/>
      <c r="Y26" s="1773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3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3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73"/>
      <c r="Q28" s="17"/>
      <c r="R28" s="194"/>
      <c r="S28" s="195"/>
      <c r="T28" s="194"/>
      <c r="U28" s="195"/>
      <c r="V28" s="194"/>
      <c r="W28" s="195"/>
      <c r="X28" s="196"/>
      <c r="Y28" s="1773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3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3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73"/>
      <c r="Q30" s="17"/>
      <c r="R30" s="194"/>
      <c r="S30" s="195"/>
      <c r="T30" s="194"/>
      <c r="U30" s="195"/>
      <c r="V30" s="194"/>
      <c r="W30" s="195"/>
      <c r="X30" s="196"/>
      <c r="Y30" s="1773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3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3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3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3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73"/>
      <c r="Q33" s="197"/>
      <c r="R33" s="198"/>
      <c r="S33" s="199"/>
      <c r="T33" s="198"/>
      <c r="U33" s="199"/>
      <c r="V33" s="198"/>
      <c r="W33" s="199"/>
      <c r="X33" s="193"/>
      <c r="Y33" s="1773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73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3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73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3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75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6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76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6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6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6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6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6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6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6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6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6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6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6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6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6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6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6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6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6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4" t="str">
        <f>A46</f>
        <v>成交单价</v>
      </c>
      <c r="Q46" s="1744"/>
      <c r="R46" s="1768">
        <f>E46</f>
        <v>0</v>
      </c>
      <c r="S46" s="1768"/>
      <c r="T46" s="1768">
        <f>G46</f>
        <v>0</v>
      </c>
      <c r="U46" s="1768"/>
      <c r="V46" s="1768">
        <f>I46</f>
        <v>0</v>
      </c>
      <c r="W46" s="1768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4" t="str">
        <f>A47</f>
        <v>比较价值（元/平方米）</v>
      </c>
      <c r="Q47" s="1744"/>
      <c r="R47" s="1777" t="e">
        <f>ROUND(PRODUCT(R46,AA7:AA45),0)</f>
        <v>#DIV/0!</v>
      </c>
      <c r="S47" s="1777"/>
      <c r="T47" s="1777" t="e">
        <f>ROUND(PRODUCT(T46,AB7:AB45),0)</f>
        <v>#DIV/0!</v>
      </c>
      <c r="U47" s="1777"/>
      <c r="V47" s="1777" t="e">
        <f>ROUND(PRODUCT(V46,AC7:AC45),0)</f>
        <v>#DIV/0!</v>
      </c>
      <c r="W47" s="1777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8" t="str">
        <f>A48</f>
        <v>估价对象比较价值（单价内涵，元/平方米）</v>
      </c>
      <c r="Q48" s="1779"/>
      <c r="R48" s="1780" t="e">
        <f>ROUND(AVERAGE(R47:V47),0)</f>
        <v>#DIV/0!</v>
      </c>
      <c r="S48" s="1780"/>
      <c r="T48" s="1780"/>
      <c r="U48" s="1780"/>
      <c r="V48" s="1780"/>
      <c r="W48" s="1780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2010-9-1</v>
      </c>
      <c r="D56" s="1447">
        <f>EDATE(C56,-3)</f>
        <v>40330</v>
      </c>
      <c r="E56" s="1447">
        <f t="shared" ref="E56:O56" si="15">EDATE(D56,-3)</f>
        <v>40238</v>
      </c>
      <c r="F56" s="1447">
        <f t="shared" si="15"/>
        <v>40148</v>
      </c>
      <c r="G56" s="1447">
        <f t="shared" si="15"/>
        <v>40057</v>
      </c>
      <c r="H56" s="1447">
        <f t="shared" si="15"/>
        <v>39965</v>
      </c>
      <c r="I56" s="1447">
        <f t="shared" si="15"/>
        <v>39873</v>
      </c>
      <c r="J56" s="1447">
        <f t="shared" si="15"/>
        <v>39783</v>
      </c>
      <c r="K56" s="1447">
        <f t="shared" si="15"/>
        <v>39692</v>
      </c>
      <c r="L56" s="1447">
        <f t="shared" si="15"/>
        <v>39600</v>
      </c>
      <c r="M56" s="1447">
        <f t="shared" si="15"/>
        <v>39508</v>
      </c>
      <c r="N56" s="1447">
        <f t="shared" si="15"/>
        <v>39417</v>
      </c>
      <c r="O56" s="1447">
        <f t="shared" si="15"/>
        <v>39326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2010-3</v>
      </c>
      <c r="D58" s="1446" t="str">
        <f t="shared" ref="D58:O58" si="16">YEAR(D56)&amp;"-"&amp;ROUNDUP(MONTH(D56)/3,0)</f>
        <v>2010-2</v>
      </c>
      <c r="E58" s="1446" t="str">
        <f t="shared" si="16"/>
        <v>2010-1</v>
      </c>
      <c r="F58" s="1446" t="str">
        <f t="shared" si="16"/>
        <v>2009-4</v>
      </c>
      <c r="G58" s="1446" t="str">
        <f t="shared" si="16"/>
        <v>2009-3</v>
      </c>
      <c r="H58" s="1446" t="str">
        <f t="shared" si="16"/>
        <v>2009-2</v>
      </c>
      <c r="I58" s="1446" t="str">
        <f t="shared" si="16"/>
        <v>2009-1</v>
      </c>
      <c r="J58" s="1446" t="str">
        <f t="shared" si="16"/>
        <v>2008-4</v>
      </c>
      <c r="K58" s="1446" t="str">
        <f t="shared" si="16"/>
        <v>2008-3</v>
      </c>
      <c r="L58" s="1446" t="str">
        <f t="shared" si="16"/>
        <v>2008-2</v>
      </c>
      <c r="M58" s="1446" t="str">
        <f t="shared" si="16"/>
        <v>2008-1</v>
      </c>
      <c r="N58" s="1446" t="str">
        <f t="shared" si="16"/>
        <v>2007-4</v>
      </c>
      <c r="O58" s="1446" t="str">
        <f t="shared" si="16"/>
        <v>2007-3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1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4">
        <f>C103-$K37</f>
        <v>100</v>
      </c>
      <c r="E103" s="964">
        <f>D103-$K37</f>
        <v>100</v>
      </c>
      <c r="F103" s="964">
        <f>E103-$K37</f>
        <v>100</v>
      </c>
      <c r="G103" s="964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4">
        <v>101</v>
      </c>
      <c r="E106" s="964">
        <v>102</v>
      </c>
      <c r="F106" s="964">
        <v>103</v>
      </c>
      <c r="G106" s="964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1">
        <f t="shared" si="24"/>
        <v>100</v>
      </c>
      <c r="I108" s="601">
        <f t="shared" si="24"/>
        <v>100</v>
      </c>
      <c r="J108" s="601">
        <f t="shared" si="24"/>
        <v>100</v>
      </c>
      <c r="K108" s="601">
        <f t="shared" si="24"/>
        <v>100</v>
      </c>
      <c r="L108" s="601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1">
        <f t="shared" si="25"/>
        <v>100</v>
      </c>
      <c r="I110" s="601">
        <f t="shared" si="25"/>
        <v>100</v>
      </c>
      <c r="J110" s="601">
        <f t="shared" si="25"/>
        <v>100</v>
      </c>
      <c r="K110" s="601">
        <f t="shared" si="25"/>
        <v>100</v>
      </c>
      <c r="L110" s="601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1">
        <f t="shared" si="26"/>
        <v>100</v>
      </c>
      <c r="I112" s="601">
        <f t="shared" si="26"/>
        <v>100</v>
      </c>
      <c r="J112" s="601">
        <f t="shared" si="26"/>
        <v>100</v>
      </c>
      <c r="K112" s="601">
        <f t="shared" si="26"/>
        <v>100</v>
      </c>
      <c r="L112" s="601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1">
        <f t="shared" si="27"/>
        <v>100</v>
      </c>
      <c r="I114" s="601">
        <f t="shared" si="27"/>
        <v>100</v>
      </c>
      <c r="J114" s="601">
        <f t="shared" si="27"/>
        <v>100</v>
      </c>
      <c r="K114" s="601">
        <f t="shared" si="27"/>
        <v>100</v>
      </c>
      <c r="L114" s="601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4">
        <f>C120-$K45</f>
        <v>100</v>
      </c>
      <c r="E120" s="964">
        <f>D120-$K45</f>
        <v>100</v>
      </c>
      <c r="F120" s="964">
        <f>E120-$K45</f>
        <v>100</v>
      </c>
      <c r="G120" s="964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G1" sqref="G1"/>
    </sheetView>
  </sheetViews>
  <sheetFormatPr defaultRowHeight="12"/>
  <cols>
    <col min="1" max="1" width="4.875" style="917" customWidth="1"/>
    <col min="2" max="2" width="18.5" style="918" customWidth="1"/>
    <col min="3" max="3" width="15.625" style="918" customWidth="1"/>
    <col min="4" max="4" width="9.375" style="918" bestFit="1" customWidth="1"/>
    <col min="5" max="6" width="9" style="918"/>
    <col min="7" max="7" width="9.375" style="918" bestFit="1" customWidth="1"/>
    <col min="8" max="9" width="9" style="918"/>
    <col min="10" max="10" width="9.375" style="918" bestFit="1" customWidth="1"/>
    <col min="11" max="11" width="4" style="917" customWidth="1"/>
    <col min="12" max="12" width="5.125" style="918" customWidth="1"/>
    <col min="13" max="13" width="13.75" style="918" customWidth="1"/>
    <col min="14" max="256" width="9" style="918"/>
    <col min="257" max="257" width="4.875" style="918" customWidth="1"/>
    <col min="258" max="258" width="11.75" style="918" customWidth="1"/>
    <col min="259" max="259" width="17.75" style="918" customWidth="1"/>
    <col min="260" max="260" width="9.375" style="918" bestFit="1" customWidth="1"/>
    <col min="261" max="262" width="9" style="918"/>
    <col min="263" max="263" width="9.375" style="918" bestFit="1" customWidth="1"/>
    <col min="264" max="266" width="9" style="918"/>
    <col min="267" max="267" width="2.625" style="918" customWidth="1"/>
    <col min="268" max="268" width="5.125" style="918" customWidth="1"/>
    <col min="269" max="269" width="13.75" style="918" customWidth="1"/>
    <col min="270" max="512" width="9" style="918"/>
    <col min="513" max="513" width="4.875" style="918" customWidth="1"/>
    <col min="514" max="514" width="11.75" style="918" customWidth="1"/>
    <col min="515" max="515" width="17.75" style="918" customWidth="1"/>
    <col min="516" max="516" width="9.375" style="918" bestFit="1" customWidth="1"/>
    <col min="517" max="518" width="9" style="918"/>
    <col min="519" max="519" width="9.375" style="918" bestFit="1" customWidth="1"/>
    <col min="520" max="522" width="9" style="918"/>
    <col min="523" max="523" width="2.625" style="918" customWidth="1"/>
    <col min="524" max="524" width="5.125" style="918" customWidth="1"/>
    <col min="525" max="525" width="13.75" style="918" customWidth="1"/>
    <col min="526" max="768" width="9" style="918"/>
    <col min="769" max="769" width="4.875" style="918" customWidth="1"/>
    <col min="770" max="770" width="11.75" style="918" customWidth="1"/>
    <col min="771" max="771" width="17.75" style="918" customWidth="1"/>
    <col min="772" max="772" width="9.375" style="918" bestFit="1" customWidth="1"/>
    <col min="773" max="774" width="9" style="918"/>
    <col min="775" max="775" width="9.375" style="918" bestFit="1" customWidth="1"/>
    <col min="776" max="778" width="9" style="918"/>
    <col min="779" max="779" width="2.625" style="918" customWidth="1"/>
    <col min="780" max="780" width="5.125" style="918" customWidth="1"/>
    <col min="781" max="781" width="13.75" style="918" customWidth="1"/>
    <col min="782" max="1024" width="9" style="918"/>
    <col min="1025" max="1025" width="4.875" style="918" customWidth="1"/>
    <col min="1026" max="1026" width="11.75" style="918" customWidth="1"/>
    <col min="1027" max="1027" width="17.75" style="918" customWidth="1"/>
    <col min="1028" max="1028" width="9.375" style="918" bestFit="1" customWidth="1"/>
    <col min="1029" max="1030" width="9" style="918"/>
    <col min="1031" max="1031" width="9.375" style="918" bestFit="1" customWidth="1"/>
    <col min="1032" max="1034" width="9" style="918"/>
    <col min="1035" max="1035" width="2.625" style="918" customWidth="1"/>
    <col min="1036" max="1036" width="5.125" style="918" customWidth="1"/>
    <col min="1037" max="1037" width="13.75" style="918" customWidth="1"/>
    <col min="1038" max="1280" width="9" style="918"/>
    <col min="1281" max="1281" width="4.875" style="918" customWidth="1"/>
    <col min="1282" max="1282" width="11.75" style="918" customWidth="1"/>
    <col min="1283" max="1283" width="17.75" style="918" customWidth="1"/>
    <col min="1284" max="1284" width="9.375" style="918" bestFit="1" customWidth="1"/>
    <col min="1285" max="1286" width="9" style="918"/>
    <col min="1287" max="1287" width="9.375" style="918" bestFit="1" customWidth="1"/>
    <col min="1288" max="1290" width="9" style="918"/>
    <col min="1291" max="1291" width="2.625" style="918" customWidth="1"/>
    <col min="1292" max="1292" width="5.125" style="918" customWidth="1"/>
    <col min="1293" max="1293" width="13.75" style="918" customWidth="1"/>
    <col min="1294" max="1536" width="9" style="918"/>
    <col min="1537" max="1537" width="4.875" style="918" customWidth="1"/>
    <col min="1538" max="1538" width="11.75" style="918" customWidth="1"/>
    <col min="1539" max="1539" width="17.75" style="918" customWidth="1"/>
    <col min="1540" max="1540" width="9.375" style="918" bestFit="1" customWidth="1"/>
    <col min="1541" max="1542" width="9" style="918"/>
    <col min="1543" max="1543" width="9.375" style="918" bestFit="1" customWidth="1"/>
    <col min="1544" max="1546" width="9" style="918"/>
    <col min="1547" max="1547" width="2.625" style="918" customWidth="1"/>
    <col min="1548" max="1548" width="5.125" style="918" customWidth="1"/>
    <col min="1549" max="1549" width="13.75" style="918" customWidth="1"/>
    <col min="1550" max="1792" width="9" style="918"/>
    <col min="1793" max="1793" width="4.875" style="918" customWidth="1"/>
    <col min="1794" max="1794" width="11.75" style="918" customWidth="1"/>
    <col min="1795" max="1795" width="17.75" style="918" customWidth="1"/>
    <col min="1796" max="1796" width="9.375" style="918" bestFit="1" customWidth="1"/>
    <col min="1797" max="1798" width="9" style="918"/>
    <col min="1799" max="1799" width="9.375" style="918" bestFit="1" customWidth="1"/>
    <col min="1800" max="1802" width="9" style="918"/>
    <col min="1803" max="1803" width="2.625" style="918" customWidth="1"/>
    <col min="1804" max="1804" width="5.125" style="918" customWidth="1"/>
    <col min="1805" max="1805" width="13.75" style="918" customWidth="1"/>
    <col min="1806" max="2048" width="9" style="918"/>
    <col min="2049" max="2049" width="4.875" style="918" customWidth="1"/>
    <col min="2050" max="2050" width="11.75" style="918" customWidth="1"/>
    <col min="2051" max="2051" width="17.75" style="918" customWidth="1"/>
    <col min="2052" max="2052" width="9.375" style="918" bestFit="1" customWidth="1"/>
    <col min="2053" max="2054" width="9" style="918"/>
    <col min="2055" max="2055" width="9.375" style="918" bestFit="1" customWidth="1"/>
    <col min="2056" max="2058" width="9" style="918"/>
    <col min="2059" max="2059" width="2.625" style="918" customWidth="1"/>
    <col min="2060" max="2060" width="5.125" style="918" customWidth="1"/>
    <col min="2061" max="2061" width="13.75" style="918" customWidth="1"/>
    <col min="2062" max="2304" width="9" style="918"/>
    <col min="2305" max="2305" width="4.875" style="918" customWidth="1"/>
    <col min="2306" max="2306" width="11.75" style="918" customWidth="1"/>
    <col min="2307" max="2307" width="17.75" style="918" customWidth="1"/>
    <col min="2308" max="2308" width="9.375" style="918" bestFit="1" customWidth="1"/>
    <col min="2309" max="2310" width="9" style="918"/>
    <col min="2311" max="2311" width="9.375" style="918" bestFit="1" customWidth="1"/>
    <col min="2312" max="2314" width="9" style="918"/>
    <col min="2315" max="2315" width="2.625" style="918" customWidth="1"/>
    <col min="2316" max="2316" width="5.125" style="918" customWidth="1"/>
    <col min="2317" max="2317" width="13.75" style="918" customWidth="1"/>
    <col min="2318" max="2560" width="9" style="918"/>
    <col min="2561" max="2561" width="4.875" style="918" customWidth="1"/>
    <col min="2562" max="2562" width="11.75" style="918" customWidth="1"/>
    <col min="2563" max="2563" width="17.75" style="918" customWidth="1"/>
    <col min="2564" max="2564" width="9.375" style="918" bestFit="1" customWidth="1"/>
    <col min="2565" max="2566" width="9" style="918"/>
    <col min="2567" max="2567" width="9.375" style="918" bestFit="1" customWidth="1"/>
    <col min="2568" max="2570" width="9" style="918"/>
    <col min="2571" max="2571" width="2.625" style="918" customWidth="1"/>
    <col min="2572" max="2572" width="5.125" style="918" customWidth="1"/>
    <col min="2573" max="2573" width="13.75" style="918" customWidth="1"/>
    <col min="2574" max="2816" width="9" style="918"/>
    <col min="2817" max="2817" width="4.875" style="918" customWidth="1"/>
    <col min="2818" max="2818" width="11.75" style="918" customWidth="1"/>
    <col min="2819" max="2819" width="17.75" style="918" customWidth="1"/>
    <col min="2820" max="2820" width="9.375" style="918" bestFit="1" customWidth="1"/>
    <col min="2821" max="2822" width="9" style="918"/>
    <col min="2823" max="2823" width="9.375" style="918" bestFit="1" customWidth="1"/>
    <col min="2824" max="2826" width="9" style="918"/>
    <col min="2827" max="2827" width="2.625" style="918" customWidth="1"/>
    <col min="2828" max="2828" width="5.125" style="918" customWidth="1"/>
    <col min="2829" max="2829" width="13.75" style="918" customWidth="1"/>
    <col min="2830" max="3072" width="9" style="918"/>
    <col min="3073" max="3073" width="4.875" style="918" customWidth="1"/>
    <col min="3074" max="3074" width="11.75" style="918" customWidth="1"/>
    <col min="3075" max="3075" width="17.75" style="918" customWidth="1"/>
    <col min="3076" max="3076" width="9.375" style="918" bestFit="1" customWidth="1"/>
    <col min="3077" max="3078" width="9" style="918"/>
    <col min="3079" max="3079" width="9.375" style="918" bestFit="1" customWidth="1"/>
    <col min="3080" max="3082" width="9" style="918"/>
    <col min="3083" max="3083" width="2.625" style="918" customWidth="1"/>
    <col min="3084" max="3084" width="5.125" style="918" customWidth="1"/>
    <col min="3085" max="3085" width="13.75" style="918" customWidth="1"/>
    <col min="3086" max="3328" width="9" style="918"/>
    <col min="3329" max="3329" width="4.875" style="918" customWidth="1"/>
    <col min="3330" max="3330" width="11.75" style="918" customWidth="1"/>
    <col min="3331" max="3331" width="17.75" style="918" customWidth="1"/>
    <col min="3332" max="3332" width="9.375" style="918" bestFit="1" customWidth="1"/>
    <col min="3333" max="3334" width="9" style="918"/>
    <col min="3335" max="3335" width="9.375" style="918" bestFit="1" customWidth="1"/>
    <col min="3336" max="3338" width="9" style="918"/>
    <col min="3339" max="3339" width="2.625" style="918" customWidth="1"/>
    <col min="3340" max="3340" width="5.125" style="918" customWidth="1"/>
    <col min="3341" max="3341" width="13.75" style="918" customWidth="1"/>
    <col min="3342" max="3584" width="9" style="918"/>
    <col min="3585" max="3585" width="4.875" style="918" customWidth="1"/>
    <col min="3586" max="3586" width="11.75" style="918" customWidth="1"/>
    <col min="3587" max="3587" width="17.75" style="918" customWidth="1"/>
    <col min="3588" max="3588" width="9.375" style="918" bestFit="1" customWidth="1"/>
    <col min="3589" max="3590" width="9" style="918"/>
    <col min="3591" max="3591" width="9.375" style="918" bestFit="1" customWidth="1"/>
    <col min="3592" max="3594" width="9" style="918"/>
    <col min="3595" max="3595" width="2.625" style="918" customWidth="1"/>
    <col min="3596" max="3596" width="5.125" style="918" customWidth="1"/>
    <col min="3597" max="3597" width="13.75" style="918" customWidth="1"/>
    <col min="3598" max="3840" width="9" style="918"/>
    <col min="3841" max="3841" width="4.875" style="918" customWidth="1"/>
    <col min="3842" max="3842" width="11.75" style="918" customWidth="1"/>
    <col min="3843" max="3843" width="17.75" style="918" customWidth="1"/>
    <col min="3844" max="3844" width="9.375" style="918" bestFit="1" customWidth="1"/>
    <col min="3845" max="3846" width="9" style="918"/>
    <col min="3847" max="3847" width="9.375" style="918" bestFit="1" customWidth="1"/>
    <col min="3848" max="3850" width="9" style="918"/>
    <col min="3851" max="3851" width="2.625" style="918" customWidth="1"/>
    <col min="3852" max="3852" width="5.125" style="918" customWidth="1"/>
    <col min="3853" max="3853" width="13.75" style="918" customWidth="1"/>
    <col min="3854" max="4096" width="9" style="918"/>
    <col min="4097" max="4097" width="4.875" style="918" customWidth="1"/>
    <col min="4098" max="4098" width="11.75" style="918" customWidth="1"/>
    <col min="4099" max="4099" width="17.75" style="918" customWidth="1"/>
    <col min="4100" max="4100" width="9.375" style="918" bestFit="1" customWidth="1"/>
    <col min="4101" max="4102" width="9" style="918"/>
    <col min="4103" max="4103" width="9.375" style="918" bestFit="1" customWidth="1"/>
    <col min="4104" max="4106" width="9" style="918"/>
    <col min="4107" max="4107" width="2.625" style="918" customWidth="1"/>
    <col min="4108" max="4108" width="5.125" style="918" customWidth="1"/>
    <col min="4109" max="4109" width="13.75" style="918" customWidth="1"/>
    <col min="4110" max="4352" width="9" style="918"/>
    <col min="4353" max="4353" width="4.875" style="918" customWidth="1"/>
    <col min="4354" max="4354" width="11.75" style="918" customWidth="1"/>
    <col min="4355" max="4355" width="17.75" style="918" customWidth="1"/>
    <col min="4356" max="4356" width="9.375" style="918" bestFit="1" customWidth="1"/>
    <col min="4357" max="4358" width="9" style="918"/>
    <col min="4359" max="4359" width="9.375" style="918" bestFit="1" customWidth="1"/>
    <col min="4360" max="4362" width="9" style="918"/>
    <col min="4363" max="4363" width="2.625" style="918" customWidth="1"/>
    <col min="4364" max="4364" width="5.125" style="918" customWidth="1"/>
    <col min="4365" max="4365" width="13.75" style="918" customWidth="1"/>
    <col min="4366" max="4608" width="9" style="918"/>
    <col min="4609" max="4609" width="4.875" style="918" customWidth="1"/>
    <col min="4610" max="4610" width="11.75" style="918" customWidth="1"/>
    <col min="4611" max="4611" width="17.75" style="918" customWidth="1"/>
    <col min="4612" max="4612" width="9.375" style="918" bestFit="1" customWidth="1"/>
    <col min="4613" max="4614" width="9" style="918"/>
    <col min="4615" max="4615" width="9.375" style="918" bestFit="1" customWidth="1"/>
    <col min="4616" max="4618" width="9" style="918"/>
    <col min="4619" max="4619" width="2.625" style="918" customWidth="1"/>
    <col min="4620" max="4620" width="5.125" style="918" customWidth="1"/>
    <col min="4621" max="4621" width="13.75" style="918" customWidth="1"/>
    <col min="4622" max="4864" width="9" style="918"/>
    <col min="4865" max="4865" width="4.875" style="918" customWidth="1"/>
    <col min="4866" max="4866" width="11.75" style="918" customWidth="1"/>
    <col min="4867" max="4867" width="17.75" style="918" customWidth="1"/>
    <col min="4868" max="4868" width="9.375" style="918" bestFit="1" customWidth="1"/>
    <col min="4869" max="4870" width="9" style="918"/>
    <col min="4871" max="4871" width="9.375" style="918" bestFit="1" customWidth="1"/>
    <col min="4872" max="4874" width="9" style="918"/>
    <col min="4875" max="4875" width="2.625" style="918" customWidth="1"/>
    <col min="4876" max="4876" width="5.125" style="918" customWidth="1"/>
    <col min="4877" max="4877" width="13.75" style="918" customWidth="1"/>
    <col min="4878" max="5120" width="9" style="918"/>
    <col min="5121" max="5121" width="4.875" style="918" customWidth="1"/>
    <col min="5122" max="5122" width="11.75" style="918" customWidth="1"/>
    <col min="5123" max="5123" width="17.75" style="918" customWidth="1"/>
    <col min="5124" max="5124" width="9.375" style="918" bestFit="1" customWidth="1"/>
    <col min="5125" max="5126" width="9" style="918"/>
    <col min="5127" max="5127" width="9.375" style="918" bestFit="1" customWidth="1"/>
    <col min="5128" max="5130" width="9" style="918"/>
    <col min="5131" max="5131" width="2.625" style="918" customWidth="1"/>
    <col min="5132" max="5132" width="5.125" style="918" customWidth="1"/>
    <col min="5133" max="5133" width="13.75" style="918" customWidth="1"/>
    <col min="5134" max="5376" width="9" style="918"/>
    <col min="5377" max="5377" width="4.875" style="918" customWidth="1"/>
    <col min="5378" max="5378" width="11.75" style="918" customWidth="1"/>
    <col min="5379" max="5379" width="17.75" style="918" customWidth="1"/>
    <col min="5380" max="5380" width="9.375" style="918" bestFit="1" customWidth="1"/>
    <col min="5381" max="5382" width="9" style="918"/>
    <col min="5383" max="5383" width="9.375" style="918" bestFit="1" customWidth="1"/>
    <col min="5384" max="5386" width="9" style="918"/>
    <col min="5387" max="5387" width="2.625" style="918" customWidth="1"/>
    <col min="5388" max="5388" width="5.125" style="918" customWidth="1"/>
    <col min="5389" max="5389" width="13.75" style="918" customWidth="1"/>
    <col min="5390" max="5632" width="9" style="918"/>
    <col min="5633" max="5633" width="4.875" style="918" customWidth="1"/>
    <col min="5634" max="5634" width="11.75" style="918" customWidth="1"/>
    <col min="5635" max="5635" width="17.75" style="918" customWidth="1"/>
    <col min="5636" max="5636" width="9.375" style="918" bestFit="1" customWidth="1"/>
    <col min="5637" max="5638" width="9" style="918"/>
    <col min="5639" max="5639" width="9.375" style="918" bestFit="1" customWidth="1"/>
    <col min="5640" max="5642" width="9" style="918"/>
    <col min="5643" max="5643" width="2.625" style="918" customWidth="1"/>
    <col min="5644" max="5644" width="5.125" style="918" customWidth="1"/>
    <col min="5645" max="5645" width="13.75" style="918" customWidth="1"/>
    <col min="5646" max="5888" width="9" style="918"/>
    <col min="5889" max="5889" width="4.875" style="918" customWidth="1"/>
    <col min="5890" max="5890" width="11.75" style="918" customWidth="1"/>
    <col min="5891" max="5891" width="17.75" style="918" customWidth="1"/>
    <col min="5892" max="5892" width="9.375" style="918" bestFit="1" customWidth="1"/>
    <col min="5893" max="5894" width="9" style="918"/>
    <col min="5895" max="5895" width="9.375" style="918" bestFit="1" customWidth="1"/>
    <col min="5896" max="5898" width="9" style="918"/>
    <col min="5899" max="5899" width="2.625" style="918" customWidth="1"/>
    <col min="5900" max="5900" width="5.125" style="918" customWidth="1"/>
    <col min="5901" max="5901" width="13.75" style="918" customWidth="1"/>
    <col min="5902" max="6144" width="9" style="918"/>
    <col min="6145" max="6145" width="4.875" style="918" customWidth="1"/>
    <col min="6146" max="6146" width="11.75" style="918" customWidth="1"/>
    <col min="6147" max="6147" width="17.75" style="918" customWidth="1"/>
    <col min="6148" max="6148" width="9.375" style="918" bestFit="1" customWidth="1"/>
    <col min="6149" max="6150" width="9" style="918"/>
    <col min="6151" max="6151" width="9.375" style="918" bestFit="1" customWidth="1"/>
    <col min="6152" max="6154" width="9" style="918"/>
    <col min="6155" max="6155" width="2.625" style="918" customWidth="1"/>
    <col min="6156" max="6156" width="5.125" style="918" customWidth="1"/>
    <col min="6157" max="6157" width="13.75" style="918" customWidth="1"/>
    <col min="6158" max="6400" width="9" style="918"/>
    <col min="6401" max="6401" width="4.875" style="918" customWidth="1"/>
    <col min="6402" max="6402" width="11.75" style="918" customWidth="1"/>
    <col min="6403" max="6403" width="17.75" style="918" customWidth="1"/>
    <col min="6404" max="6404" width="9.375" style="918" bestFit="1" customWidth="1"/>
    <col min="6405" max="6406" width="9" style="918"/>
    <col min="6407" max="6407" width="9.375" style="918" bestFit="1" customWidth="1"/>
    <col min="6408" max="6410" width="9" style="918"/>
    <col min="6411" max="6411" width="2.625" style="918" customWidth="1"/>
    <col min="6412" max="6412" width="5.125" style="918" customWidth="1"/>
    <col min="6413" max="6413" width="13.75" style="918" customWidth="1"/>
    <col min="6414" max="6656" width="9" style="918"/>
    <col min="6657" max="6657" width="4.875" style="918" customWidth="1"/>
    <col min="6658" max="6658" width="11.75" style="918" customWidth="1"/>
    <col min="6659" max="6659" width="17.75" style="918" customWidth="1"/>
    <col min="6660" max="6660" width="9.375" style="918" bestFit="1" customWidth="1"/>
    <col min="6661" max="6662" width="9" style="918"/>
    <col min="6663" max="6663" width="9.375" style="918" bestFit="1" customWidth="1"/>
    <col min="6664" max="6666" width="9" style="918"/>
    <col min="6667" max="6667" width="2.625" style="918" customWidth="1"/>
    <col min="6668" max="6668" width="5.125" style="918" customWidth="1"/>
    <col min="6669" max="6669" width="13.75" style="918" customWidth="1"/>
    <col min="6670" max="6912" width="9" style="918"/>
    <col min="6913" max="6913" width="4.875" style="918" customWidth="1"/>
    <col min="6914" max="6914" width="11.75" style="918" customWidth="1"/>
    <col min="6915" max="6915" width="17.75" style="918" customWidth="1"/>
    <col min="6916" max="6916" width="9.375" style="918" bestFit="1" customWidth="1"/>
    <col min="6917" max="6918" width="9" style="918"/>
    <col min="6919" max="6919" width="9.375" style="918" bestFit="1" customWidth="1"/>
    <col min="6920" max="6922" width="9" style="918"/>
    <col min="6923" max="6923" width="2.625" style="918" customWidth="1"/>
    <col min="6924" max="6924" width="5.125" style="918" customWidth="1"/>
    <col min="6925" max="6925" width="13.75" style="918" customWidth="1"/>
    <col min="6926" max="7168" width="9" style="918"/>
    <col min="7169" max="7169" width="4.875" style="918" customWidth="1"/>
    <col min="7170" max="7170" width="11.75" style="918" customWidth="1"/>
    <col min="7171" max="7171" width="17.75" style="918" customWidth="1"/>
    <col min="7172" max="7172" width="9.375" style="918" bestFit="1" customWidth="1"/>
    <col min="7173" max="7174" width="9" style="918"/>
    <col min="7175" max="7175" width="9.375" style="918" bestFit="1" customWidth="1"/>
    <col min="7176" max="7178" width="9" style="918"/>
    <col min="7179" max="7179" width="2.625" style="918" customWidth="1"/>
    <col min="7180" max="7180" width="5.125" style="918" customWidth="1"/>
    <col min="7181" max="7181" width="13.75" style="918" customWidth="1"/>
    <col min="7182" max="7424" width="9" style="918"/>
    <col min="7425" max="7425" width="4.875" style="918" customWidth="1"/>
    <col min="7426" max="7426" width="11.75" style="918" customWidth="1"/>
    <col min="7427" max="7427" width="17.75" style="918" customWidth="1"/>
    <col min="7428" max="7428" width="9.375" style="918" bestFit="1" customWidth="1"/>
    <col min="7429" max="7430" width="9" style="918"/>
    <col min="7431" max="7431" width="9.375" style="918" bestFit="1" customWidth="1"/>
    <col min="7432" max="7434" width="9" style="918"/>
    <col min="7435" max="7435" width="2.625" style="918" customWidth="1"/>
    <col min="7436" max="7436" width="5.125" style="918" customWidth="1"/>
    <col min="7437" max="7437" width="13.75" style="918" customWidth="1"/>
    <col min="7438" max="7680" width="9" style="918"/>
    <col min="7681" max="7681" width="4.875" style="918" customWidth="1"/>
    <col min="7682" max="7682" width="11.75" style="918" customWidth="1"/>
    <col min="7683" max="7683" width="17.75" style="918" customWidth="1"/>
    <col min="7684" max="7684" width="9.375" style="918" bestFit="1" customWidth="1"/>
    <col min="7685" max="7686" width="9" style="918"/>
    <col min="7687" max="7687" width="9.375" style="918" bestFit="1" customWidth="1"/>
    <col min="7688" max="7690" width="9" style="918"/>
    <col min="7691" max="7691" width="2.625" style="918" customWidth="1"/>
    <col min="7692" max="7692" width="5.125" style="918" customWidth="1"/>
    <col min="7693" max="7693" width="13.75" style="918" customWidth="1"/>
    <col min="7694" max="7936" width="9" style="918"/>
    <col min="7937" max="7937" width="4.875" style="918" customWidth="1"/>
    <col min="7938" max="7938" width="11.75" style="918" customWidth="1"/>
    <col min="7939" max="7939" width="17.75" style="918" customWidth="1"/>
    <col min="7940" max="7940" width="9.375" style="918" bestFit="1" customWidth="1"/>
    <col min="7941" max="7942" width="9" style="918"/>
    <col min="7943" max="7943" width="9.375" style="918" bestFit="1" customWidth="1"/>
    <col min="7944" max="7946" width="9" style="918"/>
    <col min="7947" max="7947" width="2.625" style="918" customWidth="1"/>
    <col min="7948" max="7948" width="5.125" style="918" customWidth="1"/>
    <col min="7949" max="7949" width="13.75" style="918" customWidth="1"/>
    <col min="7950" max="8192" width="9" style="918"/>
    <col min="8193" max="8193" width="4.875" style="918" customWidth="1"/>
    <col min="8194" max="8194" width="11.75" style="918" customWidth="1"/>
    <col min="8195" max="8195" width="17.75" style="918" customWidth="1"/>
    <col min="8196" max="8196" width="9.375" style="918" bestFit="1" customWidth="1"/>
    <col min="8197" max="8198" width="9" style="918"/>
    <col min="8199" max="8199" width="9.375" style="918" bestFit="1" customWidth="1"/>
    <col min="8200" max="8202" width="9" style="918"/>
    <col min="8203" max="8203" width="2.625" style="918" customWidth="1"/>
    <col min="8204" max="8204" width="5.125" style="918" customWidth="1"/>
    <col min="8205" max="8205" width="13.75" style="918" customWidth="1"/>
    <col min="8206" max="8448" width="9" style="918"/>
    <col min="8449" max="8449" width="4.875" style="918" customWidth="1"/>
    <col min="8450" max="8450" width="11.75" style="918" customWidth="1"/>
    <col min="8451" max="8451" width="17.75" style="918" customWidth="1"/>
    <col min="8452" max="8452" width="9.375" style="918" bestFit="1" customWidth="1"/>
    <col min="8453" max="8454" width="9" style="918"/>
    <col min="8455" max="8455" width="9.375" style="918" bestFit="1" customWidth="1"/>
    <col min="8456" max="8458" width="9" style="918"/>
    <col min="8459" max="8459" width="2.625" style="918" customWidth="1"/>
    <col min="8460" max="8460" width="5.125" style="918" customWidth="1"/>
    <col min="8461" max="8461" width="13.75" style="918" customWidth="1"/>
    <col min="8462" max="8704" width="9" style="918"/>
    <col min="8705" max="8705" width="4.875" style="918" customWidth="1"/>
    <col min="8706" max="8706" width="11.75" style="918" customWidth="1"/>
    <col min="8707" max="8707" width="17.75" style="918" customWidth="1"/>
    <col min="8708" max="8708" width="9.375" style="918" bestFit="1" customWidth="1"/>
    <col min="8709" max="8710" width="9" style="918"/>
    <col min="8711" max="8711" width="9.375" style="918" bestFit="1" customWidth="1"/>
    <col min="8712" max="8714" width="9" style="918"/>
    <col min="8715" max="8715" width="2.625" style="918" customWidth="1"/>
    <col min="8716" max="8716" width="5.125" style="918" customWidth="1"/>
    <col min="8717" max="8717" width="13.75" style="918" customWidth="1"/>
    <col min="8718" max="8960" width="9" style="918"/>
    <col min="8961" max="8961" width="4.875" style="918" customWidth="1"/>
    <col min="8962" max="8962" width="11.75" style="918" customWidth="1"/>
    <col min="8963" max="8963" width="17.75" style="918" customWidth="1"/>
    <col min="8964" max="8964" width="9.375" style="918" bestFit="1" customWidth="1"/>
    <col min="8965" max="8966" width="9" style="918"/>
    <col min="8967" max="8967" width="9.375" style="918" bestFit="1" customWidth="1"/>
    <col min="8968" max="8970" width="9" style="918"/>
    <col min="8971" max="8971" width="2.625" style="918" customWidth="1"/>
    <col min="8972" max="8972" width="5.125" style="918" customWidth="1"/>
    <col min="8973" max="8973" width="13.75" style="918" customWidth="1"/>
    <col min="8974" max="9216" width="9" style="918"/>
    <col min="9217" max="9217" width="4.875" style="918" customWidth="1"/>
    <col min="9218" max="9218" width="11.75" style="918" customWidth="1"/>
    <col min="9219" max="9219" width="17.75" style="918" customWidth="1"/>
    <col min="9220" max="9220" width="9.375" style="918" bestFit="1" customWidth="1"/>
    <col min="9221" max="9222" width="9" style="918"/>
    <col min="9223" max="9223" width="9.375" style="918" bestFit="1" customWidth="1"/>
    <col min="9224" max="9226" width="9" style="918"/>
    <col min="9227" max="9227" width="2.625" style="918" customWidth="1"/>
    <col min="9228" max="9228" width="5.125" style="918" customWidth="1"/>
    <col min="9229" max="9229" width="13.75" style="918" customWidth="1"/>
    <col min="9230" max="9472" width="9" style="918"/>
    <col min="9473" max="9473" width="4.875" style="918" customWidth="1"/>
    <col min="9474" max="9474" width="11.75" style="918" customWidth="1"/>
    <col min="9475" max="9475" width="17.75" style="918" customWidth="1"/>
    <col min="9476" max="9476" width="9.375" style="918" bestFit="1" customWidth="1"/>
    <col min="9477" max="9478" width="9" style="918"/>
    <col min="9479" max="9479" width="9.375" style="918" bestFit="1" customWidth="1"/>
    <col min="9480" max="9482" width="9" style="918"/>
    <col min="9483" max="9483" width="2.625" style="918" customWidth="1"/>
    <col min="9484" max="9484" width="5.125" style="918" customWidth="1"/>
    <col min="9485" max="9485" width="13.75" style="918" customWidth="1"/>
    <col min="9486" max="9728" width="9" style="918"/>
    <col min="9729" max="9729" width="4.875" style="918" customWidth="1"/>
    <col min="9730" max="9730" width="11.75" style="918" customWidth="1"/>
    <col min="9731" max="9731" width="17.75" style="918" customWidth="1"/>
    <col min="9732" max="9732" width="9.375" style="918" bestFit="1" customWidth="1"/>
    <col min="9733" max="9734" width="9" style="918"/>
    <col min="9735" max="9735" width="9.375" style="918" bestFit="1" customWidth="1"/>
    <col min="9736" max="9738" width="9" style="918"/>
    <col min="9739" max="9739" width="2.625" style="918" customWidth="1"/>
    <col min="9740" max="9740" width="5.125" style="918" customWidth="1"/>
    <col min="9741" max="9741" width="13.75" style="918" customWidth="1"/>
    <col min="9742" max="9984" width="9" style="918"/>
    <col min="9985" max="9985" width="4.875" style="918" customWidth="1"/>
    <col min="9986" max="9986" width="11.75" style="918" customWidth="1"/>
    <col min="9987" max="9987" width="17.75" style="918" customWidth="1"/>
    <col min="9988" max="9988" width="9.375" style="918" bestFit="1" customWidth="1"/>
    <col min="9989" max="9990" width="9" style="918"/>
    <col min="9991" max="9991" width="9.375" style="918" bestFit="1" customWidth="1"/>
    <col min="9992" max="9994" width="9" style="918"/>
    <col min="9995" max="9995" width="2.625" style="918" customWidth="1"/>
    <col min="9996" max="9996" width="5.125" style="918" customWidth="1"/>
    <col min="9997" max="9997" width="13.75" style="918" customWidth="1"/>
    <col min="9998" max="10240" width="9" style="918"/>
    <col min="10241" max="10241" width="4.875" style="918" customWidth="1"/>
    <col min="10242" max="10242" width="11.75" style="918" customWidth="1"/>
    <col min="10243" max="10243" width="17.75" style="918" customWidth="1"/>
    <col min="10244" max="10244" width="9.375" style="918" bestFit="1" customWidth="1"/>
    <col min="10245" max="10246" width="9" style="918"/>
    <col min="10247" max="10247" width="9.375" style="918" bestFit="1" customWidth="1"/>
    <col min="10248" max="10250" width="9" style="918"/>
    <col min="10251" max="10251" width="2.625" style="918" customWidth="1"/>
    <col min="10252" max="10252" width="5.125" style="918" customWidth="1"/>
    <col min="10253" max="10253" width="13.75" style="918" customWidth="1"/>
    <col min="10254" max="10496" width="9" style="918"/>
    <col min="10497" max="10497" width="4.875" style="918" customWidth="1"/>
    <col min="10498" max="10498" width="11.75" style="918" customWidth="1"/>
    <col min="10499" max="10499" width="17.75" style="918" customWidth="1"/>
    <col min="10500" max="10500" width="9.375" style="918" bestFit="1" customWidth="1"/>
    <col min="10501" max="10502" width="9" style="918"/>
    <col min="10503" max="10503" width="9.375" style="918" bestFit="1" customWidth="1"/>
    <col min="10504" max="10506" width="9" style="918"/>
    <col min="10507" max="10507" width="2.625" style="918" customWidth="1"/>
    <col min="10508" max="10508" width="5.125" style="918" customWidth="1"/>
    <col min="10509" max="10509" width="13.75" style="918" customWidth="1"/>
    <col min="10510" max="10752" width="9" style="918"/>
    <col min="10753" max="10753" width="4.875" style="918" customWidth="1"/>
    <col min="10754" max="10754" width="11.75" style="918" customWidth="1"/>
    <col min="10755" max="10755" width="17.75" style="918" customWidth="1"/>
    <col min="10756" max="10756" width="9.375" style="918" bestFit="1" customWidth="1"/>
    <col min="10757" max="10758" width="9" style="918"/>
    <col min="10759" max="10759" width="9.375" style="918" bestFit="1" customWidth="1"/>
    <col min="10760" max="10762" width="9" style="918"/>
    <col min="10763" max="10763" width="2.625" style="918" customWidth="1"/>
    <col min="10764" max="10764" width="5.125" style="918" customWidth="1"/>
    <col min="10765" max="10765" width="13.75" style="918" customWidth="1"/>
    <col min="10766" max="11008" width="9" style="918"/>
    <col min="11009" max="11009" width="4.875" style="918" customWidth="1"/>
    <col min="11010" max="11010" width="11.75" style="918" customWidth="1"/>
    <col min="11011" max="11011" width="17.75" style="918" customWidth="1"/>
    <col min="11012" max="11012" width="9.375" style="918" bestFit="1" customWidth="1"/>
    <col min="11013" max="11014" width="9" style="918"/>
    <col min="11015" max="11015" width="9.375" style="918" bestFit="1" customWidth="1"/>
    <col min="11016" max="11018" width="9" style="918"/>
    <col min="11019" max="11019" width="2.625" style="918" customWidth="1"/>
    <col min="11020" max="11020" width="5.125" style="918" customWidth="1"/>
    <col min="11021" max="11021" width="13.75" style="918" customWidth="1"/>
    <col min="11022" max="11264" width="9" style="918"/>
    <col min="11265" max="11265" width="4.875" style="918" customWidth="1"/>
    <col min="11266" max="11266" width="11.75" style="918" customWidth="1"/>
    <col min="11267" max="11267" width="17.75" style="918" customWidth="1"/>
    <col min="11268" max="11268" width="9.375" style="918" bestFit="1" customWidth="1"/>
    <col min="11269" max="11270" width="9" style="918"/>
    <col min="11271" max="11271" width="9.375" style="918" bestFit="1" customWidth="1"/>
    <col min="11272" max="11274" width="9" style="918"/>
    <col min="11275" max="11275" width="2.625" style="918" customWidth="1"/>
    <col min="11276" max="11276" width="5.125" style="918" customWidth="1"/>
    <col min="11277" max="11277" width="13.75" style="918" customWidth="1"/>
    <col min="11278" max="11520" width="9" style="918"/>
    <col min="11521" max="11521" width="4.875" style="918" customWidth="1"/>
    <col min="11522" max="11522" width="11.75" style="918" customWidth="1"/>
    <col min="11523" max="11523" width="17.75" style="918" customWidth="1"/>
    <col min="11524" max="11524" width="9.375" style="918" bestFit="1" customWidth="1"/>
    <col min="11525" max="11526" width="9" style="918"/>
    <col min="11527" max="11527" width="9.375" style="918" bestFit="1" customWidth="1"/>
    <col min="11528" max="11530" width="9" style="918"/>
    <col min="11531" max="11531" width="2.625" style="918" customWidth="1"/>
    <col min="11532" max="11532" width="5.125" style="918" customWidth="1"/>
    <col min="11533" max="11533" width="13.75" style="918" customWidth="1"/>
    <col min="11534" max="11776" width="9" style="918"/>
    <col min="11777" max="11777" width="4.875" style="918" customWidth="1"/>
    <col min="11778" max="11778" width="11.75" style="918" customWidth="1"/>
    <col min="11779" max="11779" width="17.75" style="918" customWidth="1"/>
    <col min="11780" max="11780" width="9.375" style="918" bestFit="1" customWidth="1"/>
    <col min="11781" max="11782" width="9" style="918"/>
    <col min="11783" max="11783" width="9.375" style="918" bestFit="1" customWidth="1"/>
    <col min="11784" max="11786" width="9" style="918"/>
    <col min="11787" max="11787" width="2.625" style="918" customWidth="1"/>
    <col min="11788" max="11788" width="5.125" style="918" customWidth="1"/>
    <col min="11789" max="11789" width="13.75" style="918" customWidth="1"/>
    <col min="11790" max="12032" width="9" style="918"/>
    <col min="12033" max="12033" width="4.875" style="918" customWidth="1"/>
    <col min="12034" max="12034" width="11.75" style="918" customWidth="1"/>
    <col min="12035" max="12035" width="17.75" style="918" customWidth="1"/>
    <col min="12036" max="12036" width="9.375" style="918" bestFit="1" customWidth="1"/>
    <col min="12037" max="12038" width="9" style="918"/>
    <col min="12039" max="12039" width="9.375" style="918" bestFit="1" customWidth="1"/>
    <col min="12040" max="12042" width="9" style="918"/>
    <col min="12043" max="12043" width="2.625" style="918" customWidth="1"/>
    <col min="12044" max="12044" width="5.125" style="918" customWidth="1"/>
    <col min="12045" max="12045" width="13.75" style="918" customWidth="1"/>
    <col min="12046" max="12288" width="9" style="918"/>
    <col min="12289" max="12289" width="4.875" style="918" customWidth="1"/>
    <col min="12290" max="12290" width="11.75" style="918" customWidth="1"/>
    <col min="12291" max="12291" width="17.75" style="918" customWidth="1"/>
    <col min="12292" max="12292" width="9.375" style="918" bestFit="1" customWidth="1"/>
    <col min="12293" max="12294" width="9" style="918"/>
    <col min="12295" max="12295" width="9.375" style="918" bestFit="1" customWidth="1"/>
    <col min="12296" max="12298" width="9" style="918"/>
    <col min="12299" max="12299" width="2.625" style="918" customWidth="1"/>
    <col min="12300" max="12300" width="5.125" style="918" customWidth="1"/>
    <col min="12301" max="12301" width="13.75" style="918" customWidth="1"/>
    <col min="12302" max="12544" width="9" style="918"/>
    <col min="12545" max="12545" width="4.875" style="918" customWidth="1"/>
    <col min="12546" max="12546" width="11.75" style="918" customWidth="1"/>
    <col min="12547" max="12547" width="17.75" style="918" customWidth="1"/>
    <col min="12548" max="12548" width="9.375" style="918" bestFit="1" customWidth="1"/>
    <col min="12549" max="12550" width="9" style="918"/>
    <col min="12551" max="12551" width="9.375" style="918" bestFit="1" customWidth="1"/>
    <col min="12552" max="12554" width="9" style="918"/>
    <col min="12555" max="12555" width="2.625" style="918" customWidth="1"/>
    <col min="12556" max="12556" width="5.125" style="918" customWidth="1"/>
    <col min="12557" max="12557" width="13.75" style="918" customWidth="1"/>
    <col min="12558" max="12800" width="9" style="918"/>
    <col min="12801" max="12801" width="4.875" style="918" customWidth="1"/>
    <col min="12802" max="12802" width="11.75" style="918" customWidth="1"/>
    <col min="12803" max="12803" width="17.75" style="918" customWidth="1"/>
    <col min="12804" max="12804" width="9.375" style="918" bestFit="1" customWidth="1"/>
    <col min="12805" max="12806" width="9" style="918"/>
    <col min="12807" max="12807" width="9.375" style="918" bestFit="1" customWidth="1"/>
    <col min="12808" max="12810" width="9" style="918"/>
    <col min="12811" max="12811" width="2.625" style="918" customWidth="1"/>
    <col min="12812" max="12812" width="5.125" style="918" customWidth="1"/>
    <col min="12813" max="12813" width="13.75" style="918" customWidth="1"/>
    <col min="12814" max="13056" width="9" style="918"/>
    <col min="13057" max="13057" width="4.875" style="918" customWidth="1"/>
    <col min="13058" max="13058" width="11.75" style="918" customWidth="1"/>
    <col min="13059" max="13059" width="17.75" style="918" customWidth="1"/>
    <col min="13060" max="13060" width="9.375" style="918" bestFit="1" customWidth="1"/>
    <col min="13061" max="13062" width="9" style="918"/>
    <col min="13063" max="13063" width="9.375" style="918" bestFit="1" customWidth="1"/>
    <col min="13064" max="13066" width="9" style="918"/>
    <col min="13067" max="13067" width="2.625" style="918" customWidth="1"/>
    <col min="13068" max="13068" width="5.125" style="918" customWidth="1"/>
    <col min="13069" max="13069" width="13.75" style="918" customWidth="1"/>
    <col min="13070" max="13312" width="9" style="918"/>
    <col min="13313" max="13313" width="4.875" style="918" customWidth="1"/>
    <col min="13314" max="13314" width="11.75" style="918" customWidth="1"/>
    <col min="13315" max="13315" width="17.75" style="918" customWidth="1"/>
    <col min="13316" max="13316" width="9.375" style="918" bestFit="1" customWidth="1"/>
    <col min="13317" max="13318" width="9" style="918"/>
    <col min="13319" max="13319" width="9.375" style="918" bestFit="1" customWidth="1"/>
    <col min="13320" max="13322" width="9" style="918"/>
    <col min="13323" max="13323" width="2.625" style="918" customWidth="1"/>
    <col min="13324" max="13324" width="5.125" style="918" customWidth="1"/>
    <col min="13325" max="13325" width="13.75" style="918" customWidth="1"/>
    <col min="13326" max="13568" width="9" style="918"/>
    <col min="13569" max="13569" width="4.875" style="918" customWidth="1"/>
    <col min="13570" max="13570" width="11.75" style="918" customWidth="1"/>
    <col min="13571" max="13571" width="17.75" style="918" customWidth="1"/>
    <col min="13572" max="13572" width="9.375" style="918" bestFit="1" customWidth="1"/>
    <col min="13573" max="13574" width="9" style="918"/>
    <col min="13575" max="13575" width="9.375" style="918" bestFit="1" customWidth="1"/>
    <col min="13576" max="13578" width="9" style="918"/>
    <col min="13579" max="13579" width="2.625" style="918" customWidth="1"/>
    <col min="13580" max="13580" width="5.125" style="918" customWidth="1"/>
    <col min="13581" max="13581" width="13.75" style="918" customWidth="1"/>
    <col min="13582" max="13824" width="9" style="918"/>
    <col min="13825" max="13825" width="4.875" style="918" customWidth="1"/>
    <col min="13826" max="13826" width="11.75" style="918" customWidth="1"/>
    <col min="13827" max="13827" width="17.75" style="918" customWidth="1"/>
    <col min="13828" max="13828" width="9.375" style="918" bestFit="1" customWidth="1"/>
    <col min="13829" max="13830" width="9" style="918"/>
    <col min="13831" max="13831" width="9.375" style="918" bestFit="1" customWidth="1"/>
    <col min="13832" max="13834" width="9" style="918"/>
    <col min="13835" max="13835" width="2.625" style="918" customWidth="1"/>
    <col min="13836" max="13836" width="5.125" style="918" customWidth="1"/>
    <col min="13837" max="13837" width="13.75" style="918" customWidth="1"/>
    <col min="13838" max="14080" width="9" style="918"/>
    <col min="14081" max="14081" width="4.875" style="918" customWidth="1"/>
    <col min="14082" max="14082" width="11.75" style="918" customWidth="1"/>
    <col min="14083" max="14083" width="17.75" style="918" customWidth="1"/>
    <col min="14084" max="14084" width="9.375" style="918" bestFit="1" customWidth="1"/>
    <col min="14085" max="14086" width="9" style="918"/>
    <col min="14087" max="14087" width="9.375" style="918" bestFit="1" customWidth="1"/>
    <col min="14088" max="14090" width="9" style="918"/>
    <col min="14091" max="14091" width="2.625" style="918" customWidth="1"/>
    <col min="14092" max="14092" width="5.125" style="918" customWidth="1"/>
    <col min="14093" max="14093" width="13.75" style="918" customWidth="1"/>
    <col min="14094" max="14336" width="9" style="918"/>
    <col min="14337" max="14337" width="4.875" style="918" customWidth="1"/>
    <col min="14338" max="14338" width="11.75" style="918" customWidth="1"/>
    <col min="14339" max="14339" width="17.75" style="918" customWidth="1"/>
    <col min="14340" max="14340" width="9.375" style="918" bestFit="1" customWidth="1"/>
    <col min="14341" max="14342" width="9" style="918"/>
    <col min="14343" max="14343" width="9.375" style="918" bestFit="1" customWidth="1"/>
    <col min="14344" max="14346" width="9" style="918"/>
    <col min="14347" max="14347" width="2.625" style="918" customWidth="1"/>
    <col min="14348" max="14348" width="5.125" style="918" customWidth="1"/>
    <col min="14349" max="14349" width="13.75" style="918" customWidth="1"/>
    <col min="14350" max="14592" width="9" style="918"/>
    <col min="14593" max="14593" width="4.875" style="918" customWidth="1"/>
    <col min="14594" max="14594" width="11.75" style="918" customWidth="1"/>
    <col min="14595" max="14595" width="17.75" style="918" customWidth="1"/>
    <col min="14596" max="14596" width="9.375" style="918" bestFit="1" customWidth="1"/>
    <col min="14597" max="14598" width="9" style="918"/>
    <col min="14599" max="14599" width="9.375" style="918" bestFit="1" customWidth="1"/>
    <col min="14600" max="14602" width="9" style="918"/>
    <col min="14603" max="14603" width="2.625" style="918" customWidth="1"/>
    <col min="14604" max="14604" width="5.125" style="918" customWidth="1"/>
    <col min="14605" max="14605" width="13.75" style="918" customWidth="1"/>
    <col min="14606" max="14848" width="9" style="918"/>
    <col min="14849" max="14849" width="4.875" style="918" customWidth="1"/>
    <col min="14850" max="14850" width="11.75" style="918" customWidth="1"/>
    <col min="14851" max="14851" width="17.75" style="918" customWidth="1"/>
    <col min="14852" max="14852" width="9.375" style="918" bestFit="1" customWidth="1"/>
    <col min="14853" max="14854" width="9" style="918"/>
    <col min="14855" max="14855" width="9.375" style="918" bestFit="1" customWidth="1"/>
    <col min="14856" max="14858" width="9" style="918"/>
    <col min="14859" max="14859" width="2.625" style="918" customWidth="1"/>
    <col min="14860" max="14860" width="5.125" style="918" customWidth="1"/>
    <col min="14861" max="14861" width="13.75" style="918" customWidth="1"/>
    <col min="14862" max="15104" width="9" style="918"/>
    <col min="15105" max="15105" width="4.875" style="918" customWidth="1"/>
    <col min="15106" max="15106" width="11.75" style="918" customWidth="1"/>
    <col min="15107" max="15107" width="17.75" style="918" customWidth="1"/>
    <col min="15108" max="15108" width="9.375" style="918" bestFit="1" customWidth="1"/>
    <col min="15109" max="15110" width="9" style="918"/>
    <col min="15111" max="15111" width="9.375" style="918" bestFit="1" customWidth="1"/>
    <col min="15112" max="15114" width="9" style="918"/>
    <col min="15115" max="15115" width="2.625" style="918" customWidth="1"/>
    <col min="15116" max="15116" width="5.125" style="918" customWidth="1"/>
    <col min="15117" max="15117" width="13.75" style="918" customWidth="1"/>
    <col min="15118" max="15360" width="9" style="918"/>
    <col min="15361" max="15361" width="4.875" style="918" customWidth="1"/>
    <col min="15362" max="15362" width="11.75" style="918" customWidth="1"/>
    <col min="15363" max="15363" width="17.75" style="918" customWidth="1"/>
    <col min="15364" max="15364" width="9.375" style="918" bestFit="1" customWidth="1"/>
    <col min="15365" max="15366" width="9" style="918"/>
    <col min="15367" max="15367" width="9.375" style="918" bestFit="1" customWidth="1"/>
    <col min="15368" max="15370" width="9" style="918"/>
    <col min="15371" max="15371" width="2.625" style="918" customWidth="1"/>
    <col min="15372" max="15372" width="5.125" style="918" customWidth="1"/>
    <col min="15373" max="15373" width="13.75" style="918" customWidth="1"/>
    <col min="15374" max="15616" width="9" style="918"/>
    <col min="15617" max="15617" width="4.875" style="918" customWidth="1"/>
    <col min="15618" max="15618" width="11.75" style="918" customWidth="1"/>
    <col min="15619" max="15619" width="17.75" style="918" customWidth="1"/>
    <col min="15620" max="15620" width="9.375" style="918" bestFit="1" customWidth="1"/>
    <col min="15621" max="15622" width="9" style="918"/>
    <col min="15623" max="15623" width="9.375" style="918" bestFit="1" customWidth="1"/>
    <col min="15624" max="15626" width="9" style="918"/>
    <col min="15627" max="15627" width="2.625" style="918" customWidth="1"/>
    <col min="15628" max="15628" width="5.125" style="918" customWidth="1"/>
    <col min="15629" max="15629" width="13.75" style="918" customWidth="1"/>
    <col min="15630" max="15872" width="9" style="918"/>
    <col min="15873" max="15873" width="4.875" style="918" customWidth="1"/>
    <col min="15874" max="15874" width="11.75" style="918" customWidth="1"/>
    <col min="15875" max="15875" width="17.75" style="918" customWidth="1"/>
    <col min="15876" max="15876" width="9.375" style="918" bestFit="1" customWidth="1"/>
    <col min="15877" max="15878" width="9" style="918"/>
    <col min="15879" max="15879" width="9.375" style="918" bestFit="1" customWidth="1"/>
    <col min="15880" max="15882" width="9" style="918"/>
    <col min="15883" max="15883" width="2.625" style="918" customWidth="1"/>
    <col min="15884" max="15884" width="5.125" style="918" customWidth="1"/>
    <col min="15885" max="15885" width="13.75" style="918" customWidth="1"/>
    <col min="15886" max="16128" width="9" style="918"/>
    <col min="16129" max="16129" width="4.875" style="918" customWidth="1"/>
    <col min="16130" max="16130" width="11.75" style="918" customWidth="1"/>
    <col min="16131" max="16131" width="17.75" style="918" customWidth="1"/>
    <col min="16132" max="16132" width="9.375" style="918" bestFit="1" customWidth="1"/>
    <col min="16133" max="16134" width="9" style="918"/>
    <col min="16135" max="16135" width="9.375" style="918" bestFit="1" customWidth="1"/>
    <col min="16136" max="16138" width="9" style="918"/>
    <col min="16139" max="16139" width="2.625" style="918" customWidth="1"/>
    <col min="16140" max="16140" width="5.125" style="918" customWidth="1"/>
    <col min="16141" max="16141" width="13.75" style="918" customWidth="1"/>
    <col min="16142" max="16384" width="9" style="918"/>
  </cols>
  <sheetData>
    <row r="1" spans="1:26">
      <c r="B1" s="950" t="s">
        <v>1506</v>
      </c>
      <c r="C1" s="954">
        <f>主表!B3</f>
        <v>45271</v>
      </c>
      <c r="D1" s="915" t="str">
        <f>主表!A23</f>
        <v>建设期</v>
      </c>
      <c r="E1" s="915">
        <f>主表!B23</f>
        <v>1</v>
      </c>
      <c r="F1" s="915" t="s">
        <v>1507</v>
      </c>
      <c r="G1" s="916">
        <f ca="1">INDIRECT("d"&amp;$K$1)/100</f>
        <v>3.6499999999999998E-2</v>
      </c>
      <c r="H1" s="915" t="s">
        <v>1508</v>
      </c>
      <c r="I1" s="916">
        <f ca="1">SUMIF(F4:F8,E1,G4:G8)/100</f>
        <v>1.4999999999999999E-2</v>
      </c>
      <c r="J1" s="1075">
        <f>IF(C1&gt;C14,0,MATCH(C1,C$14:C$68,-1))+IF(SUMIF(C14:C68,C1,D14:D68)=0,14,13)</f>
        <v>14</v>
      </c>
      <c r="K1" s="1075">
        <f ca="1">MATCH(E1,C4:C8,1)+IF(SUMIF(C4:C8,E1,D4:D8)=0,3,2)</f>
        <v>5</v>
      </c>
      <c r="L1" s="1075">
        <f>IF(C1&gt;M14,0,MATCH(C1,M$14:M$52,-1))+IF(SUMIF(M14:M52,C1,N14:N52)=0,14,13)</f>
        <v>14</v>
      </c>
      <c r="M1" s="917"/>
      <c r="N1" s="917"/>
      <c r="O1" s="917"/>
      <c r="P1" s="917"/>
      <c r="Q1" s="917"/>
      <c r="R1" s="917"/>
      <c r="S1" s="917"/>
      <c r="T1" s="917"/>
      <c r="U1" s="917"/>
      <c r="V1" s="917"/>
      <c r="W1" s="917"/>
      <c r="X1" s="917"/>
      <c r="Y1" s="917"/>
      <c r="Z1" s="917"/>
    </row>
    <row r="2" spans="1:26">
      <c r="B2" s="952" t="s">
        <v>1201</v>
      </c>
      <c r="C2" s="954">
        <f>主表!B4</f>
        <v>40427</v>
      </c>
      <c r="D2" s="953" t="str">
        <f>主表!A24</f>
        <v>土地开发期</v>
      </c>
      <c r="E2" s="915">
        <f>主表!B24</f>
        <v>0.5</v>
      </c>
      <c r="F2" s="915" t="s">
        <v>1507</v>
      </c>
      <c r="G2" s="916">
        <f ca="1">INDIRECT("e"&amp;$K$2)/100</f>
        <v>4.8600000000000004E-2</v>
      </c>
      <c r="H2" s="915" t="s">
        <v>1508</v>
      </c>
      <c r="I2" s="916">
        <f ca="1">SUMIF(F4:F8,E2,G4:G8)/100</f>
        <v>1.3000000000000001E-2</v>
      </c>
      <c r="J2" s="1075">
        <f>IF(C2&gt;C14,0,MATCH(C2,C$14:C$68,-1))+IF(SUMIF(C14:C68,C2,D14:D68)=0,14,13)</f>
        <v>36</v>
      </c>
      <c r="K2" s="1075">
        <f ca="1">MATCH(E2,C4:C8,1)+IF(SUMIF(C4:C8,E2,D4:D8)=0,3,2)</f>
        <v>4</v>
      </c>
      <c r="L2" s="1075">
        <f>IF(C2&gt;M14,0,MATCH(C2,M$14:M$52,-1))+IF(SUMIF(M14:M52,C2,N14:N52)=0,14,13)</f>
        <v>27</v>
      </c>
      <c r="M2" s="917"/>
      <c r="N2" s="917"/>
      <c r="O2" s="917"/>
      <c r="P2" s="917"/>
      <c r="Q2" s="917"/>
      <c r="R2" s="917"/>
      <c r="S2" s="917"/>
      <c r="T2" s="917"/>
      <c r="U2" s="917"/>
      <c r="V2" s="917"/>
      <c r="W2" s="917"/>
      <c r="X2" s="917"/>
      <c r="Y2" s="917"/>
      <c r="Z2" s="917"/>
    </row>
    <row r="3" spans="1:26" ht="12.75" thickBot="1">
      <c r="A3" s="914"/>
      <c r="B3" s="956"/>
      <c r="C3" s="957"/>
      <c r="D3" s="958"/>
      <c r="E3" s="959">
        <v>3</v>
      </c>
      <c r="F3" s="959" t="s">
        <v>1507</v>
      </c>
      <c r="G3" s="960">
        <f ca="1">INDIRECT("e"&amp;$K$3)/100</f>
        <v>5.4000000000000006E-2</v>
      </c>
      <c r="H3" s="959" t="s">
        <v>1508</v>
      </c>
      <c r="I3" s="960">
        <f ca="1">SUMIF(F4:F8,E3,H4:H8)/100</f>
        <v>3.3300000000000003E-2</v>
      </c>
      <c r="J3" s="1076"/>
      <c r="K3" s="1075">
        <f ca="1">MATCH(E3,C4:C8,1)+IF(SUMIF(C4:C8,E3,D4:D8)=0,3,2)</f>
        <v>6</v>
      </c>
      <c r="L3" s="1076"/>
      <c r="M3" s="917"/>
      <c r="N3" s="917"/>
      <c r="O3" s="917"/>
      <c r="P3" s="917"/>
      <c r="Q3" s="917"/>
      <c r="R3" s="917"/>
      <c r="S3" s="917"/>
      <c r="T3" s="917"/>
      <c r="U3" s="917"/>
      <c r="V3" s="917"/>
      <c r="W3" s="917"/>
      <c r="X3" s="917"/>
      <c r="Y3" s="917"/>
      <c r="Z3" s="917"/>
    </row>
    <row r="4" spans="1:26" ht="12.75" thickTop="1">
      <c r="B4" s="951" t="s">
        <v>1509</v>
      </c>
      <c r="C4" s="948">
        <v>0</v>
      </c>
      <c r="D4" s="947">
        <f ca="1">INDIRECT("d"&amp;$J$1)</f>
        <v>3.65</v>
      </c>
      <c r="E4" s="947">
        <f ca="1">INDIRECT("d"&amp;$J$2)</f>
        <v>4.8600000000000003</v>
      </c>
      <c r="F4" s="948">
        <v>0.5</v>
      </c>
      <c r="G4" s="949">
        <f ca="1">INDIRECT("p"&amp;$L$1)</f>
        <v>1.3</v>
      </c>
      <c r="H4" s="949">
        <f ca="1">INDIRECT("p"&amp;$L$2)</f>
        <v>1.98</v>
      </c>
      <c r="I4" s="917"/>
      <c r="J4" s="917"/>
      <c r="K4" s="917">
        <f ca="1">MATCH(1,C4:C8,1)+IF(SUMIF(C4:C8,1,D4:D8)=0,3,2)</f>
        <v>5</v>
      </c>
      <c r="L4" s="917"/>
      <c r="M4" s="917"/>
      <c r="N4" s="917"/>
      <c r="O4" s="917"/>
      <c r="P4" s="917"/>
      <c r="Q4" s="917"/>
      <c r="R4" s="917"/>
      <c r="S4" s="917"/>
      <c r="T4" s="917"/>
      <c r="U4" s="917"/>
      <c r="V4" s="917"/>
      <c r="W4" s="917"/>
      <c r="X4" s="917"/>
      <c r="Y4" s="917"/>
      <c r="Z4" s="917"/>
    </row>
    <row r="5" spans="1:26">
      <c r="B5" s="921" t="s">
        <v>1510</v>
      </c>
      <c r="C5" s="922">
        <v>0.5</v>
      </c>
      <c r="D5" s="923">
        <f ca="1">INDIRECT("e"&amp;$J$1)</f>
        <v>3.65</v>
      </c>
      <c r="E5" s="923">
        <f ca="1">INDIRECT("e"&amp;$J$2)</f>
        <v>5.31</v>
      </c>
      <c r="F5" s="922">
        <v>1</v>
      </c>
      <c r="G5" s="915">
        <f ca="1">INDIRECT("q"&amp;$L$1)</f>
        <v>1.5</v>
      </c>
      <c r="H5" s="915">
        <f ca="1">INDIRECT("q"&amp;$L$2)</f>
        <v>2.25</v>
      </c>
      <c r="I5" s="917"/>
      <c r="J5" s="917"/>
      <c r="L5" s="917"/>
      <c r="M5" s="917"/>
      <c r="N5" s="917"/>
      <c r="O5" s="917"/>
      <c r="P5" s="917"/>
      <c r="Q5" s="917"/>
      <c r="R5" s="917"/>
      <c r="S5" s="917"/>
      <c r="T5" s="917"/>
      <c r="U5" s="917"/>
      <c r="V5" s="917"/>
      <c r="W5" s="917"/>
      <c r="X5" s="917"/>
      <c r="Y5" s="917"/>
      <c r="Z5" s="917"/>
    </row>
    <row r="6" spans="1:26">
      <c r="B6" s="921" t="s">
        <v>1511</v>
      </c>
      <c r="C6" s="922">
        <v>1</v>
      </c>
      <c r="D6" s="923">
        <f ca="1">INDIRECT("f"&amp;$J$1)</f>
        <v>3.65</v>
      </c>
      <c r="E6" s="923">
        <f ca="1">INDIRECT("f"&amp;$J$2)</f>
        <v>5.4</v>
      </c>
      <c r="F6" s="922">
        <v>2</v>
      </c>
      <c r="G6" s="915">
        <f ca="1">INDIRECT("r"&amp;$L$1)</f>
        <v>2.1</v>
      </c>
      <c r="H6" s="915">
        <f ca="1">INDIRECT("r"&amp;$L$2)</f>
        <v>2.79</v>
      </c>
      <c r="I6" s="917"/>
      <c r="J6" s="917"/>
      <c r="L6" s="917"/>
      <c r="M6" s="917"/>
      <c r="N6" s="917"/>
      <c r="O6" s="917"/>
      <c r="P6" s="917"/>
      <c r="Q6" s="917"/>
      <c r="R6" s="917"/>
      <c r="S6" s="917"/>
      <c r="T6" s="917"/>
      <c r="U6" s="917"/>
      <c r="V6" s="917"/>
      <c r="W6" s="917"/>
      <c r="X6" s="917"/>
      <c r="Y6" s="917"/>
      <c r="Z6" s="917"/>
    </row>
    <row r="7" spans="1:26">
      <c r="B7" s="921" t="s">
        <v>1512</v>
      </c>
      <c r="C7" s="922">
        <v>3</v>
      </c>
      <c r="D7" s="923">
        <f ca="1">INDIRECT("g"&amp;$J$1)</f>
        <v>3.65</v>
      </c>
      <c r="E7" s="923">
        <f ca="1">INDIRECT("g"&amp;$J$2)</f>
        <v>5.76</v>
      </c>
      <c r="F7" s="922">
        <v>3</v>
      </c>
      <c r="G7" s="915">
        <f ca="1">INDIRECT("s"&amp;$L$1)</f>
        <v>2.75</v>
      </c>
      <c r="H7" s="915">
        <f ca="1">INDIRECT("s"&amp;$L$2)</f>
        <v>3.33</v>
      </c>
      <c r="I7" s="917"/>
      <c r="J7" s="917"/>
      <c r="L7" s="917"/>
      <c r="M7" s="917"/>
      <c r="N7" s="917"/>
      <c r="O7" s="917"/>
      <c r="P7" s="917"/>
      <c r="Q7" s="917"/>
      <c r="R7" s="917"/>
      <c r="S7" s="917"/>
      <c r="T7" s="917"/>
      <c r="U7" s="917"/>
      <c r="V7" s="917"/>
      <c r="W7" s="917"/>
      <c r="X7" s="917"/>
      <c r="Y7" s="917"/>
      <c r="Z7" s="917"/>
    </row>
    <row r="8" spans="1:26">
      <c r="B8" s="921" t="s">
        <v>1513</v>
      </c>
      <c r="C8" s="922">
        <v>5</v>
      </c>
      <c r="D8" s="923">
        <f ca="1">INDIRECT("h"&amp;$J$1)</f>
        <v>4.3</v>
      </c>
      <c r="E8" s="923">
        <f ca="1">INDIRECT("h"&amp;$J$2)</f>
        <v>5.94</v>
      </c>
      <c r="F8" s="922">
        <v>5</v>
      </c>
      <c r="G8" s="915">
        <f ca="1">INDIRECT("t"&amp;$L$1)</f>
        <v>0</v>
      </c>
      <c r="H8" s="915">
        <f ca="1">INDIRECT("t"&amp;$L$2)</f>
        <v>3.6</v>
      </c>
      <c r="I8" s="917"/>
      <c r="J8" s="917"/>
      <c r="L8" s="917"/>
      <c r="M8" s="917"/>
      <c r="N8" s="917"/>
      <c r="O8" s="917"/>
      <c r="P8" s="917"/>
      <c r="Q8" s="917"/>
      <c r="R8" s="917"/>
      <c r="S8" s="917"/>
      <c r="T8" s="917"/>
      <c r="U8" s="917"/>
      <c r="V8" s="917"/>
      <c r="W8" s="917"/>
      <c r="X8" s="917"/>
      <c r="Y8" s="917"/>
      <c r="Z8" s="917"/>
    </row>
    <row r="9" spans="1:26">
      <c r="A9" s="914"/>
      <c r="B9" s="919"/>
      <c r="C9" s="920"/>
      <c r="D9" s="917"/>
      <c r="E9" s="917"/>
      <c r="F9" s="917"/>
      <c r="G9" s="917"/>
      <c r="H9" s="917"/>
      <c r="I9" s="917"/>
      <c r="J9" s="917"/>
      <c r="L9" s="917"/>
      <c r="M9" s="917"/>
      <c r="N9" s="917"/>
      <c r="O9" s="917"/>
      <c r="P9" s="917"/>
      <c r="Q9" s="917"/>
      <c r="R9" s="917"/>
      <c r="S9" s="917"/>
      <c r="T9" s="917"/>
      <c r="U9" s="917"/>
      <c r="V9" s="917"/>
      <c r="W9" s="917"/>
      <c r="X9" s="917"/>
      <c r="Y9" s="917"/>
      <c r="Z9" s="917"/>
    </row>
    <row r="10" spans="1:26">
      <c r="A10" s="914"/>
      <c r="B10" s="919"/>
      <c r="C10" s="920"/>
      <c r="D10" s="917"/>
      <c r="E10" s="917"/>
      <c r="F10" s="917"/>
      <c r="G10" s="917"/>
      <c r="H10" s="917"/>
      <c r="I10" s="917"/>
      <c r="J10" s="917"/>
      <c r="L10" s="917"/>
      <c r="M10" s="917"/>
      <c r="N10" s="917"/>
      <c r="O10" s="917"/>
      <c r="P10" s="917"/>
      <c r="Q10" s="917"/>
      <c r="R10" s="917"/>
      <c r="S10" s="917"/>
      <c r="T10" s="917"/>
      <c r="U10" s="917"/>
      <c r="V10" s="917"/>
      <c r="W10" s="917"/>
      <c r="X10" s="917"/>
      <c r="Y10" s="917"/>
      <c r="Z10" s="917"/>
    </row>
    <row r="11" spans="1:26" s="926" customFormat="1" ht="22.5">
      <c r="A11" s="924"/>
      <c r="B11" s="925" t="s">
        <v>1514</v>
      </c>
      <c r="C11" s="924"/>
      <c r="D11" s="924"/>
      <c r="E11" s="924"/>
      <c r="F11" s="924"/>
      <c r="G11" s="924"/>
      <c r="H11" s="924"/>
      <c r="I11" s="917"/>
      <c r="J11" s="917"/>
      <c r="K11" s="924"/>
      <c r="L11" s="925" t="s">
        <v>1515</v>
      </c>
      <c r="M11" s="924"/>
      <c r="N11" s="924"/>
      <c r="O11" s="924"/>
      <c r="P11" s="924"/>
      <c r="Q11" s="924"/>
      <c r="R11" s="924"/>
      <c r="S11" s="924"/>
      <c r="T11" s="924"/>
      <c r="U11" s="924"/>
      <c r="V11" s="924"/>
      <c r="W11" s="924"/>
      <c r="X11" s="924"/>
      <c r="Y11" s="924"/>
      <c r="Z11" s="924"/>
    </row>
    <row r="12" spans="1:26" s="933" customFormat="1">
      <c r="A12" s="927"/>
      <c r="B12" s="928" t="s">
        <v>1516</v>
      </c>
      <c r="C12" s="929" t="s">
        <v>1517</v>
      </c>
      <c r="D12" s="930" t="s">
        <v>1518</v>
      </c>
      <c r="E12" s="931"/>
      <c r="F12" s="930" t="s">
        <v>1519</v>
      </c>
      <c r="G12" s="932"/>
      <c r="H12" s="931"/>
      <c r="I12" s="930" t="s">
        <v>1520</v>
      </c>
      <c r="J12" s="931"/>
      <c r="K12" s="927"/>
      <c r="L12" s="928" t="s">
        <v>1516</v>
      </c>
      <c r="M12" s="929" t="s">
        <v>1517</v>
      </c>
      <c r="N12" s="928" t="s">
        <v>1521</v>
      </c>
      <c r="O12" s="930" t="s">
        <v>1522</v>
      </c>
      <c r="P12" s="932"/>
      <c r="Q12" s="932"/>
      <c r="R12" s="932"/>
      <c r="S12" s="932"/>
      <c r="T12" s="931"/>
      <c r="U12" s="930" t="s">
        <v>1523</v>
      </c>
      <c r="V12" s="932"/>
      <c r="W12" s="931"/>
      <c r="X12" s="928" t="s">
        <v>1524</v>
      </c>
      <c r="Y12" s="928" t="s">
        <v>1525</v>
      </c>
      <c r="Z12" s="928" t="s">
        <v>1526</v>
      </c>
    </row>
    <row r="13" spans="1:26" s="933" customFormat="1">
      <c r="A13" s="927"/>
      <c r="B13" s="934"/>
      <c r="C13" s="935"/>
      <c r="D13" s="921" t="s">
        <v>1509</v>
      </c>
      <c r="E13" s="921" t="s">
        <v>1510</v>
      </c>
      <c r="F13" s="921" t="s">
        <v>1511</v>
      </c>
      <c r="G13" s="921" t="s">
        <v>1512</v>
      </c>
      <c r="H13" s="921" t="s">
        <v>1513</v>
      </c>
      <c r="I13" s="936" t="s">
        <v>1527</v>
      </c>
      <c r="J13" s="936" t="s">
        <v>1527</v>
      </c>
      <c r="K13" s="927"/>
      <c r="L13" s="934"/>
      <c r="M13" s="935"/>
      <c r="N13" s="934"/>
      <c r="O13" s="936" t="s">
        <v>1528</v>
      </c>
      <c r="P13" s="936">
        <v>0.5</v>
      </c>
      <c r="Q13" s="936">
        <v>1</v>
      </c>
      <c r="R13" s="936">
        <v>2</v>
      </c>
      <c r="S13" s="936">
        <v>3</v>
      </c>
      <c r="T13" s="936">
        <v>5</v>
      </c>
      <c r="U13" s="936">
        <v>1</v>
      </c>
      <c r="V13" s="936">
        <v>3</v>
      </c>
      <c r="W13" s="936">
        <v>5</v>
      </c>
      <c r="X13" s="934"/>
      <c r="Y13" s="934"/>
      <c r="Z13" s="934"/>
    </row>
    <row r="14" spans="1:26" s="941" customFormat="1" ht="14.25">
      <c r="A14" s="937"/>
      <c r="B14" s="938" t="s">
        <v>1529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39"/>
      <c r="J14" s="939"/>
      <c r="K14" s="955"/>
      <c r="L14" s="938" t="s">
        <v>1529</v>
      </c>
      <c r="M14" s="940">
        <v>42301</v>
      </c>
      <c r="N14" s="939">
        <v>0.35</v>
      </c>
      <c r="O14" s="939">
        <v>1.1000000000000001</v>
      </c>
      <c r="P14" s="939">
        <v>1.3</v>
      </c>
      <c r="Q14" s="939">
        <v>1.5</v>
      </c>
      <c r="R14" s="939">
        <v>2.1</v>
      </c>
      <c r="S14" s="939">
        <v>2.75</v>
      </c>
      <c r="T14" s="939"/>
      <c r="U14" s="939"/>
      <c r="V14" s="939"/>
      <c r="W14" s="939"/>
      <c r="X14" s="939"/>
      <c r="Y14" s="939"/>
      <c r="Z14" s="939"/>
    </row>
    <row r="15" spans="1:26" ht="14.25">
      <c r="A15" s="937"/>
      <c r="B15" s="938"/>
      <c r="C15" s="943">
        <v>44701</v>
      </c>
      <c r="D15" s="942">
        <v>3.7</v>
      </c>
      <c r="E15" s="942">
        <f t="shared" ref="E15" si="3">D15</f>
        <v>3.7</v>
      </c>
      <c r="F15" s="942">
        <f t="shared" ref="F15" si="4">D15</f>
        <v>3.7</v>
      </c>
      <c r="G15" s="942">
        <f t="shared" ref="G15" si="5">D15</f>
        <v>3.7</v>
      </c>
      <c r="H15" s="942">
        <v>4.45</v>
      </c>
      <c r="I15" s="939"/>
      <c r="J15" s="939"/>
      <c r="K15" s="955"/>
      <c r="L15" s="942"/>
      <c r="M15" s="943">
        <v>42242</v>
      </c>
      <c r="N15" s="942">
        <v>0.35</v>
      </c>
      <c r="O15" s="942">
        <v>1.35</v>
      </c>
      <c r="P15" s="942">
        <v>1.55</v>
      </c>
      <c r="Q15" s="942">
        <v>1.75</v>
      </c>
      <c r="R15" s="942">
        <v>2.35</v>
      </c>
      <c r="S15" s="942">
        <v>3</v>
      </c>
      <c r="T15" s="942"/>
      <c r="U15" s="942"/>
      <c r="V15" s="942"/>
      <c r="W15" s="942"/>
      <c r="X15" s="942"/>
      <c r="Y15" s="942"/>
      <c r="Z15" s="942"/>
    </row>
    <row r="16" spans="1:26" ht="14.25">
      <c r="A16" s="937"/>
      <c r="B16" s="938"/>
      <c r="C16" s="943">
        <v>44581</v>
      </c>
      <c r="D16" s="942">
        <v>3.7</v>
      </c>
      <c r="E16" s="942">
        <f t="shared" ref="E16" si="6">D16</f>
        <v>3.7</v>
      </c>
      <c r="F16" s="942">
        <f t="shared" ref="F16" si="7">D16</f>
        <v>3.7</v>
      </c>
      <c r="G16" s="942">
        <f t="shared" ref="G16" si="8">D16</f>
        <v>3.7</v>
      </c>
      <c r="H16" s="942">
        <v>4.5999999999999996</v>
      </c>
      <c r="I16" s="939"/>
      <c r="J16" s="939"/>
      <c r="K16" s="955"/>
      <c r="L16" s="942"/>
      <c r="M16" s="943">
        <v>42183</v>
      </c>
      <c r="N16" s="942">
        <v>0.35</v>
      </c>
      <c r="O16" s="942">
        <v>1.6</v>
      </c>
      <c r="P16" s="942">
        <v>1.8</v>
      </c>
      <c r="Q16" s="942">
        <v>2</v>
      </c>
      <c r="R16" s="942">
        <v>2.6</v>
      </c>
      <c r="S16" s="942">
        <v>3.25</v>
      </c>
      <c r="T16" s="942"/>
      <c r="U16" s="942"/>
      <c r="V16" s="942"/>
      <c r="W16" s="942"/>
      <c r="X16" s="942"/>
      <c r="Y16" s="942"/>
      <c r="Z16" s="942"/>
    </row>
    <row r="17" spans="1:26" ht="14.25">
      <c r="A17" s="937"/>
      <c r="B17" s="942"/>
      <c r="C17" s="943">
        <v>44550</v>
      </c>
      <c r="D17" s="942">
        <v>3.8</v>
      </c>
      <c r="E17" s="942">
        <f t="shared" si="0"/>
        <v>3.8</v>
      </c>
      <c r="F17" s="942">
        <f t="shared" si="1"/>
        <v>3.8</v>
      </c>
      <c r="G17" s="942">
        <f t="shared" si="2"/>
        <v>3.8</v>
      </c>
      <c r="H17" s="942">
        <v>4.6500000000000004</v>
      </c>
      <c r="I17" s="939"/>
      <c r="J17" s="939"/>
      <c r="K17" s="955"/>
      <c r="L17" s="942"/>
      <c r="M17" s="943">
        <v>42135</v>
      </c>
      <c r="N17" s="942">
        <v>0.35</v>
      </c>
      <c r="O17" s="942">
        <v>1.85</v>
      </c>
      <c r="P17" s="942">
        <v>2.0499999999999998</v>
      </c>
      <c r="Q17" s="942">
        <v>2.25</v>
      </c>
      <c r="R17" s="942">
        <v>2.85</v>
      </c>
      <c r="S17" s="942">
        <v>3.5</v>
      </c>
      <c r="T17" s="942"/>
      <c r="U17" s="942"/>
      <c r="V17" s="942"/>
      <c r="W17" s="942"/>
      <c r="X17" s="942"/>
      <c r="Y17" s="942"/>
      <c r="Z17" s="942"/>
    </row>
    <row r="18" spans="1:26" ht="14.25">
      <c r="A18" s="937"/>
      <c r="B18" s="942"/>
      <c r="C18" s="943">
        <v>43941</v>
      </c>
      <c r="D18" s="942">
        <v>3.85</v>
      </c>
      <c r="E18" s="942">
        <f t="shared" si="0"/>
        <v>3.85</v>
      </c>
      <c r="F18" s="942">
        <f t="shared" si="1"/>
        <v>3.85</v>
      </c>
      <c r="G18" s="942">
        <f t="shared" si="2"/>
        <v>3.85</v>
      </c>
      <c r="H18" s="942">
        <v>4.6500000000000004</v>
      </c>
      <c r="I18" s="939"/>
      <c r="J18" s="939"/>
      <c r="K18" s="955"/>
      <c r="L18" s="942"/>
      <c r="M18" s="943">
        <v>42064</v>
      </c>
      <c r="N18" s="942">
        <v>0.35</v>
      </c>
      <c r="O18" s="942">
        <v>2.1</v>
      </c>
      <c r="P18" s="942">
        <v>2.2999999999999998</v>
      </c>
      <c r="Q18" s="942">
        <v>2.5</v>
      </c>
      <c r="R18" s="942">
        <v>3.1</v>
      </c>
      <c r="S18" s="942">
        <v>3.75</v>
      </c>
      <c r="T18" s="942">
        <v>4.5</v>
      </c>
      <c r="U18" s="942">
        <v>2.35</v>
      </c>
      <c r="V18" s="942">
        <v>2.5499999999999998</v>
      </c>
      <c r="W18" s="942">
        <v>2.75</v>
      </c>
      <c r="X18" s="942"/>
      <c r="Y18" s="942">
        <v>0.8</v>
      </c>
      <c r="Z18" s="942">
        <v>1.35</v>
      </c>
    </row>
    <row r="19" spans="1:26" s="933" customFormat="1" ht="15">
      <c r="A19" s="937"/>
      <c r="B19" s="942"/>
      <c r="C19" s="943">
        <v>43881</v>
      </c>
      <c r="D19" s="942">
        <v>4.05</v>
      </c>
      <c r="E19" s="942">
        <f t="shared" si="0"/>
        <v>4.05</v>
      </c>
      <c r="F19" s="942">
        <f t="shared" si="1"/>
        <v>4.05</v>
      </c>
      <c r="G19" s="942">
        <f t="shared" si="2"/>
        <v>4.05</v>
      </c>
      <c r="H19" s="942">
        <v>4.75</v>
      </c>
      <c r="I19" s="942"/>
      <c r="J19" s="942"/>
      <c r="K19" s="955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7"/>
      <c r="B20" s="942"/>
      <c r="C20" s="943">
        <v>43789</v>
      </c>
      <c r="D20" s="942">
        <v>4.1500000000000004</v>
      </c>
      <c r="E20" s="942">
        <f t="shared" si="0"/>
        <v>4.1500000000000004</v>
      </c>
      <c r="F20" s="942">
        <f t="shared" si="1"/>
        <v>4.1500000000000004</v>
      </c>
      <c r="G20" s="942">
        <f t="shared" si="2"/>
        <v>4.1500000000000004</v>
      </c>
      <c r="H20" s="942">
        <v>4.8</v>
      </c>
      <c r="I20" s="942"/>
      <c r="J20" s="942"/>
      <c r="K20" s="1648"/>
      <c r="L20" s="942"/>
      <c r="M20" s="943">
        <v>41096</v>
      </c>
      <c r="N20" s="942">
        <v>0.35</v>
      </c>
      <c r="O20" s="942">
        <v>2.6</v>
      </c>
      <c r="P20" s="942">
        <v>2.8</v>
      </c>
      <c r="Q20" s="942">
        <v>3</v>
      </c>
      <c r="R20" s="942">
        <v>3.75</v>
      </c>
      <c r="S20" s="942">
        <v>4.25</v>
      </c>
      <c r="T20" s="942">
        <v>4.75</v>
      </c>
      <c r="U20" s="942">
        <v>2.85</v>
      </c>
      <c r="V20" s="942">
        <v>2.9</v>
      </c>
      <c r="W20" s="942">
        <v>3</v>
      </c>
      <c r="X20" s="942">
        <v>1.1499999999999999</v>
      </c>
      <c r="Y20" s="942">
        <v>0.8</v>
      </c>
      <c r="Z20" s="942">
        <v>1.35</v>
      </c>
    </row>
    <row r="21" spans="1:26" ht="14.25">
      <c r="A21" s="1648"/>
      <c r="B21" s="942"/>
      <c r="C21" s="943">
        <v>43728</v>
      </c>
      <c r="D21" s="942">
        <v>4.2</v>
      </c>
      <c r="E21" s="942">
        <f t="shared" si="0"/>
        <v>4.2</v>
      </c>
      <c r="F21" s="942">
        <f t="shared" si="1"/>
        <v>4.2</v>
      </c>
      <c r="G21" s="942">
        <f t="shared" si="2"/>
        <v>4.2</v>
      </c>
      <c r="H21" s="942">
        <v>4.8499999999999996</v>
      </c>
      <c r="I21" s="942"/>
      <c r="J21" s="942"/>
      <c r="L21" s="942"/>
      <c r="M21" s="943">
        <v>41068</v>
      </c>
      <c r="N21" s="942">
        <v>0.4</v>
      </c>
      <c r="O21" s="942">
        <v>2.85</v>
      </c>
      <c r="P21" s="942">
        <v>3.05</v>
      </c>
      <c r="Q21" s="942">
        <v>3.25</v>
      </c>
      <c r="R21" s="942">
        <v>4.0999999999999996</v>
      </c>
      <c r="S21" s="942">
        <v>4.6500000000000004</v>
      </c>
      <c r="T21" s="942">
        <v>5.0999999999999996</v>
      </c>
      <c r="U21" s="942">
        <v>3.1</v>
      </c>
      <c r="V21" s="942">
        <v>3.15</v>
      </c>
      <c r="W21" s="942">
        <v>3.25</v>
      </c>
      <c r="X21" s="942">
        <v>1.31</v>
      </c>
      <c r="Y21" s="942">
        <v>0.94</v>
      </c>
      <c r="Z21" s="942">
        <v>1.49</v>
      </c>
    </row>
    <row r="22" spans="1:26" ht="14.25">
      <c r="B22" s="1644" t="s">
        <v>1786</v>
      </c>
      <c r="C22" s="944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2"/>
      <c r="M22" s="943">
        <v>40731</v>
      </c>
      <c r="N22" s="942">
        <v>0.5</v>
      </c>
      <c r="O22" s="942">
        <v>3.1</v>
      </c>
      <c r="P22" s="942">
        <v>3.3</v>
      </c>
      <c r="Q22" s="942">
        <v>3.5</v>
      </c>
      <c r="R22" s="942">
        <v>4.4000000000000004</v>
      </c>
      <c r="S22" s="942">
        <v>5</v>
      </c>
      <c r="T22" s="942">
        <v>5.5</v>
      </c>
      <c r="U22" s="942">
        <v>3.1</v>
      </c>
      <c r="V22" s="942">
        <v>3.3</v>
      </c>
      <c r="W22" s="942">
        <v>3.5</v>
      </c>
      <c r="X22" s="942">
        <v>1.31</v>
      </c>
      <c r="Y22" s="942">
        <v>0.95</v>
      </c>
      <c r="Z22" s="942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2"/>
      <c r="M23" s="943">
        <v>40639</v>
      </c>
      <c r="N23" s="942">
        <v>0.5</v>
      </c>
      <c r="O23" s="942">
        <v>2.85</v>
      </c>
      <c r="P23" s="942">
        <v>3.05</v>
      </c>
      <c r="Q23" s="942">
        <v>3.25</v>
      </c>
      <c r="R23" s="942">
        <v>4.1500000000000004</v>
      </c>
      <c r="S23" s="942">
        <v>4.75</v>
      </c>
      <c r="T23" s="942">
        <v>5.25</v>
      </c>
      <c r="U23" s="942">
        <v>2.85</v>
      </c>
      <c r="V23" s="942">
        <v>3.05</v>
      </c>
      <c r="W23" s="942">
        <v>3.25</v>
      </c>
      <c r="X23" s="942">
        <v>1.31</v>
      </c>
      <c r="Y23" s="942">
        <v>0.95</v>
      </c>
      <c r="Z23" s="942">
        <v>1.49</v>
      </c>
    </row>
    <row r="24" spans="1:26">
      <c r="B24" s="942"/>
      <c r="C24" s="943">
        <v>42242</v>
      </c>
      <c r="D24" s="942">
        <v>4.5999999999999996</v>
      </c>
      <c r="E24" s="942">
        <v>4.5999999999999996</v>
      </c>
      <c r="F24" s="942">
        <v>5</v>
      </c>
      <c r="G24" s="942">
        <v>5</v>
      </c>
      <c r="H24" s="942">
        <v>5.15</v>
      </c>
      <c r="I24" s="942">
        <v>2.75</v>
      </c>
      <c r="J24" s="942">
        <v>3.25</v>
      </c>
      <c r="L24" s="942"/>
      <c r="M24" s="943">
        <v>40583</v>
      </c>
      <c r="N24" s="942">
        <v>0.4</v>
      </c>
      <c r="O24" s="942">
        <v>2.6</v>
      </c>
      <c r="P24" s="942">
        <v>2.8</v>
      </c>
      <c r="Q24" s="942">
        <v>3</v>
      </c>
      <c r="R24" s="942">
        <v>3.9</v>
      </c>
      <c r="S24" s="942">
        <v>4.5</v>
      </c>
      <c r="T24" s="942">
        <v>5</v>
      </c>
      <c r="U24" s="942">
        <v>2.6</v>
      </c>
      <c r="V24" s="942">
        <v>2.8</v>
      </c>
      <c r="W24" s="942">
        <v>3</v>
      </c>
      <c r="X24" s="942">
        <v>1.21</v>
      </c>
      <c r="Y24" s="942">
        <v>0.85</v>
      </c>
      <c r="Z24" s="942">
        <v>1.39</v>
      </c>
    </row>
    <row r="25" spans="1:26">
      <c r="B25" s="942"/>
      <c r="C25" s="943">
        <v>42183</v>
      </c>
      <c r="D25" s="942">
        <v>4.8499999999999996</v>
      </c>
      <c r="E25" s="942">
        <v>4.8499999999999996</v>
      </c>
      <c r="F25" s="942">
        <v>5.25</v>
      </c>
      <c r="G25" s="942">
        <v>5.25</v>
      </c>
      <c r="H25" s="942">
        <v>5.4</v>
      </c>
      <c r="I25" s="942">
        <v>3</v>
      </c>
      <c r="J25" s="942">
        <v>3.5</v>
      </c>
      <c r="L25" s="942"/>
      <c r="M25" s="943">
        <v>40538</v>
      </c>
      <c r="N25" s="942">
        <v>0.36</v>
      </c>
      <c r="O25" s="942">
        <v>2.25</v>
      </c>
      <c r="P25" s="942">
        <v>2.5</v>
      </c>
      <c r="Q25" s="942">
        <v>2.75</v>
      </c>
      <c r="R25" s="942">
        <v>3.55</v>
      </c>
      <c r="S25" s="942">
        <v>4.1500000000000004</v>
      </c>
      <c r="T25" s="942">
        <v>4.55</v>
      </c>
      <c r="U25" s="942">
        <v>2.16</v>
      </c>
      <c r="V25" s="942">
        <v>2.5</v>
      </c>
      <c r="W25" s="942">
        <v>2.85</v>
      </c>
      <c r="X25" s="942">
        <v>1.17</v>
      </c>
      <c r="Y25" s="942">
        <v>0.81</v>
      </c>
      <c r="Z25" s="942">
        <v>1.35</v>
      </c>
    </row>
    <row r="26" spans="1:26">
      <c r="B26" s="942"/>
      <c r="C26" s="943">
        <v>42135</v>
      </c>
      <c r="D26" s="942">
        <v>5.0999999999999996</v>
      </c>
      <c r="E26" s="942">
        <v>5.0999999999999996</v>
      </c>
      <c r="F26" s="942">
        <v>5.5</v>
      </c>
      <c r="G26" s="942">
        <v>5.5</v>
      </c>
      <c r="H26" s="942">
        <v>5.65</v>
      </c>
      <c r="I26" s="942">
        <v>3.25</v>
      </c>
      <c r="J26" s="942">
        <v>3.75</v>
      </c>
      <c r="L26" s="942"/>
      <c r="M26" s="943">
        <v>40471</v>
      </c>
      <c r="N26" s="942">
        <v>0.36</v>
      </c>
      <c r="O26" s="942">
        <v>1.91</v>
      </c>
      <c r="P26" s="942">
        <v>2.2000000000000002</v>
      </c>
      <c r="Q26" s="942">
        <v>2.5</v>
      </c>
      <c r="R26" s="942">
        <v>3.25</v>
      </c>
      <c r="S26" s="942">
        <v>3.85</v>
      </c>
      <c r="T26" s="942">
        <v>4.2</v>
      </c>
      <c r="U26" s="942">
        <v>1.91</v>
      </c>
      <c r="V26" s="942">
        <v>2.2000000000000002</v>
      </c>
      <c r="W26" s="942">
        <v>2.5</v>
      </c>
      <c r="X26" s="942">
        <v>1.17</v>
      </c>
      <c r="Y26" s="942">
        <v>0.81</v>
      </c>
      <c r="Z26" s="942">
        <v>1.35</v>
      </c>
    </row>
    <row r="27" spans="1:26">
      <c r="B27" s="942"/>
      <c r="C27" s="943">
        <v>42064</v>
      </c>
      <c r="D27" s="942">
        <v>5.35</v>
      </c>
      <c r="E27" s="942">
        <v>5.35</v>
      </c>
      <c r="F27" s="942">
        <v>5.75</v>
      </c>
      <c r="G27" s="942">
        <v>5.75</v>
      </c>
      <c r="H27" s="942">
        <v>5.9</v>
      </c>
      <c r="I27" s="942"/>
      <c r="J27" s="942"/>
      <c r="L27" s="942"/>
      <c r="M27" s="943">
        <v>39805</v>
      </c>
      <c r="N27" s="942">
        <v>0.36</v>
      </c>
      <c r="O27" s="942">
        <v>1.71</v>
      </c>
      <c r="P27" s="942">
        <v>1.98</v>
      </c>
      <c r="Q27" s="942">
        <v>2.25</v>
      </c>
      <c r="R27" s="942">
        <v>2.79</v>
      </c>
      <c r="S27" s="942">
        <v>3.33</v>
      </c>
      <c r="T27" s="942">
        <v>3.6</v>
      </c>
      <c r="U27" s="942">
        <v>1.71</v>
      </c>
      <c r="V27" s="942">
        <v>1.98</v>
      </c>
      <c r="W27" s="942">
        <v>2.25</v>
      </c>
      <c r="X27" s="942">
        <v>1.17</v>
      </c>
      <c r="Y27" s="942">
        <v>0.81</v>
      </c>
      <c r="Z27" s="942">
        <v>1.35</v>
      </c>
    </row>
    <row r="28" spans="1:26">
      <c r="B28" s="942"/>
      <c r="C28" s="943">
        <v>41965</v>
      </c>
      <c r="D28" s="942">
        <v>5.6</v>
      </c>
      <c r="E28" s="942">
        <v>5.6</v>
      </c>
      <c r="F28" s="942">
        <v>6</v>
      </c>
      <c r="G28" s="942">
        <v>6</v>
      </c>
      <c r="H28" s="942">
        <v>6.15</v>
      </c>
      <c r="I28" s="942"/>
      <c r="J28" s="942"/>
      <c r="L28" s="942"/>
      <c r="M28" s="943">
        <v>39779</v>
      </c>
      <c r="N28" s="942">
        <v>0.36</v>
      </c>
      <c r="O28" s="942">
        <v>1.98</v>
      </c>
      <c r="P28" s="942">
        <v>2.25</v>
      </c>
      <c r="Q28" s="942">
        <v>2.52</v>
      </c>
      <c r="R28" s="942">
        <v>3.06</v>
      </c>
      <c r="S28" s="942">
        <v>3.6</v>
      </c>
      <c r="T28" s="942">
        <v>3.87</v>
      </c>
      <c r="U28" s="942">
        <v>1.98</v>
      </c>
      <c r="V28" s="942">
        <v>2.25</v>
      </c>
      <c r="W28" s="942">
        <v>2.52</v>
      </c>
      <c r="X28" s="942">
        <v>1.17</v>
      </c>
      <c r="Y28" s="942">
        <v>0.81</v>
      </c>
      <c r="Z28" s="942">
        <v>1.35</v>
      </c>
    </row>
    <row r="29" spans="1:26">
      <c r="B29" s="942"/>
      <c r="C29" s="943">
        <v>41096</v>
      </c>
      <c r="D29" s="942">
        <v>5.6</v>
      </c>
      <c r="E29" s="942">
        <v>6</v>
      </c>
      <c r="F29" s="942">
        <v>6.15</v>
      </c>
      <c r="G29" s="942">
        <v>6.4</v>
      </c>
      <c r="H29" s="942">
        <v>6.55</v>
      </c>
      <c r="I29" s="942">
        <v>4</v>
      </c>
      <c r="J29" s="942">
        <v>4.5</v>
      </c>
      <c r="L29" s="942"/>
      <c r="M29" s="943">
        <v>39751</v>
      </c>
      <c r="N29" s="942">
        <v>0.72</v>
      </c>
      <c r="O29" s="942">
        <v>2.88</v>
      </c>
      <c r="P29" s="942">
        <v>3.24</v>
      </c>
      <c r="Q29" s="942">
        <v>3.6</v>
      </c>
      <c r="R29" s="942">
        <v>4.1399999999999997</v>
      </c>
      <c r="S29" s="942">
        <v>4.7699999999999996</v>
      </c>
      <c r="T29" s="942">
        <v>5.13</v>
      </c>
      <c r="U29" s="942">
        <v>2.88</v>
      </c>
      <c r="V29" s="942">
        <v>3.24</v>
      </c>
      <c r="W29" s="942">
        <v>3.6</v>
      </c>
      <c r="X29" s="942">
        <v>1.53</v>
      </c>
      <c r="Y29" s="942">
        <v>1.17</v>
      </c>
      <c r="Z29" s="942">
        <v>1.71</v>
      </c>
    </row>
    <row r="30" spans="1:26">
      <c r="B30" s="942"/>
      <c r="C30" s="943">
        <v>41068</v>
      </c>
      <c r="D30" s="942">
        <v>5.85</v>
      </c>
      <c r="E30" s="942">
        <v>6.31</v>
      </c>
      <c r="F30" s="942">
        <v>6.4</v>
      </c>
      <c r="G30" s="942">
        <v>6.65</v>
      </c>
      <c r="H30" s="942">
        <v>6.8</v>
      </c>
      <c r="I30" s="942">
        <v>4.2</v>
      </c>
      <c r="J30" s="942">
        <v>4.7</v>
      </c>
      <c r="L30" s="942"/>
      <c r="M30" s="944">
        <v>39736</v>
      </c>
      <c r="N30" s="942">
        <v>0.72</v>
      </c>
      <c r="O30" s="942">
        <v>3.15</v>
      </c>
      <c r="P30" s="942">
        <v>3.51</v>
      </c>
      <c r="Q30" s="942">
        <v>3.87</v>
      </c>
      <c r="R30" s="942">
        <v>4.41</v>
      </c>
      <c r="S30" s="942">
        <v>5.13</v>
      </c>
      <c r="T30" s="942">
        <v>5.58</v>
      </c>
      <c r="U30" s="942">
        <v>3.15</v>
      </c>
      <c r="V30" s="942">
        <v>3.51</v>
      </c>
      <c r="W30" s="942">
        <v>3.87</v>
      </c>
      <c r="X30" s="942">
        <v>1.53</v>
      </c>
      <c r="Y30" s="942">
        <v>1.17</v>
      </c>
      <c r="Z30" s="942">
        <v>1.71</v>
      </c>
    </row>
    <row r="31" spans="1:26">
      <c r="B31" s="942"/>
      <c r="C31" s="943">
        <v>40731</v>
      </c>
      <c r="D31" s="942">
        <v>6.1</v>
      </c>
      <c r="E31" s="942">
        <v>6.56</v>
      </c>
      <c r="F31" s="942">
        <v>6.65</v>
      </c>
      <c r="G31" s="942">
        <v>6.9</v>
      </c>
      <c r="H31" s="942">
        <v>7.05</v>
      </c>
      <c r="I31" s="942">
        <v>4.45</v>
      </c>
      <c r="J31" s="942">
        <v>4.9000000000000004</v>
      </c>
      <c r="L31" s="942"/>
      <c r="M31" s="943">
        <v>39730</v>
      </c>
      <c r="N31" s="942">
        <v>0.72</v>
      </c>
      <c r="O31" s="942">
        <v>3.15</v>
      </c>
      <c r="P31" s="942">
        <v>3.51</v>
      </c>
      <c r="Q31" s="942">
        <v>3.87</v>
      </c>
      <c r="R31" s="942">
        <v>4.41</v>
      </c>
      <c r="S31" s="942">
        <v>5.13</v>
      </c>
      <c r="T31" s="942">
        <v>5.58</v>
      </c>
      <c r="U31" s="942">
        <v>3.15</v>
      </c>
      <c r="V31" s="942">
        <v>3.51</v>
      </c>
      <c r="W31" s="942">
        <v>3.87</v>
      </c>
      <c r="X31" s="942">
        <v>1.53</v>
      </c>
      <c r="Y31" s="942">
        <v>1.17</v>
      </c>
      <c r="Z31" s="942">
        <v>1.71</v>
      </c>
    </row>
    <row r="32" spans="1:26">
      <c r="B32" s="942"/>
      <c r="C32" s="943">
        <v>40639</v>
      </c>
      <c r="D32" s="942">
        <v>5.85</v>
      </c>
      <c r="E32" s="942">
        <v>6.31</v>
      </c>
      <c r="F32" s="942">
        <v>6.4</v>
      </c>
      <c r="G32" s="942">
        <v>6.65</v>
      </c>
      <c r="H32" s="942">
        <v>6.8</v>
      </c>
      <c r="I32" s="942">
        <v>4.2</v>
      </c>
      <c r="J32" s="942">
        <v>4.7</v>
      </c>
      <c r="L32" s="942"/>
      <c r="M32" s="943">
        <v>39437</v>
      </c>
      <c r="N32" s="942">
        <v>0.72</v>
      </c>
      <c r="O32" s="942">
        <v>3.33</v>
      </c>
      <c r="P32" s="942">
        <v>3.78</v>
      </c>
      <c r="Q32" s="942">
        <v>4.1399999999999997</v>
      </c>
      <c r="R32" s="942">
        <v>4.68</v>
      </c>
      <c r="S32" s="942">
        <v>5.4</v>
      </c>
      <c r="T32" s="942">
        <v>5.85</v>
      </c>
      <c r="U32" s="942">
        <v>3.33</v>
      </c>
      <c r="V32" s="942">
        <v>3.78</v>
      </c>
      <c r="W32" s="942">
        <v>4.1399999999999997</v>
      </c>
      <c r="X32" s="942">
        <v>1.53</v>
      </c>
      <c r="Y32" s="942">
        <v>1.17</v>
      </c>
      <c r="Z32" s="942">
        <v>1.71</v>
      </c>
    </row>
    <row r="33" spans="2:26">
      <c r="B33" s="942"/>
      <c r="C33" s="943">
        <v>40583</v>
      </c>
      <c r="D33" s="942">
        <v>5.6</v>
      </c>
      <c r="E33" s="942">
        <v>6.06</v>
      </c>
      <c r="F33" s="942">
        <v>6.1</v>
      </c>
      <c r="G33" s="942">
        <v>6.45</v>
      </c>
      <c r="H33" s="942">
        <v>6.6</v>
      </c>
      <c r="I33" s="942">
        <v>4</v>
      </c>
      <c r="J33" s="942">
        <v>4.5</v>
      </c>
      <c r="L33" s="942"/>
      <c r="M33" s="943">
        <v>39340</v>
      </c>
      <c r="N33" s="942">
        <v>0.81</v>
      </c>
      <c r="O33" s="942">
        <v>2.88</v>
      </c>
      <c r="P33" s="942">
        <v>3.42</v>
      </c>
      <c r="Q33" s="942">
        <v>3.87</v>
      </c>
      <c r="R33" s="942">
        <v>4.5</v>
      </c>
      <c r="S33" s="942">
        <v>5.22</v>
      </c>
      <c r="T33" s="942">
        <v>5.76</v>
      </c>
      <c r="U33" s="942">
        <v>2.88</v>
      </c>
      <c r="V33" s="942">
        <v>3.42</v>
      </c>
      <c r="W33" s="942">
        <v>3.87</v>
      </c>
      <c r="X33" s="942">
        <v>1.53</v>
      </c>
      <c r="Y33" s="942">
        <v>1.17</v>
      </c>
      <c r="Z33" s="942">
        <v>1.71</v>
      </c>
    </row>
    <row r="34" spans="2:26">
      <c r="B34" s="942"/>
      <c r="C34" s="943">
        <v>40538</v>
      </c>
      <c r="D34" s="942">
        <v>5.35</v>
      </c>
      <c r="E34" s="942">
        <v>5.81</v>
      </c>
      <c r="F34" s="942">
        <v>5.85</v>
      </c>
      <c r="G34" s="942">
        <v>6.22</v>
      </c>
      <c r="H34" s="942">
        <v>6.4</v>
      </c>
      <c r="I34" s="942">
        <v>3.75</v>
      </c>
      <c r="J34" s="942">
        <v>4.3</v>
      </c>
      <c r="L34" s="942"/>
      <c r="M34" s="943">
        <v>39316</v>
      </c>
      <c r="N34" s="942">
        <v>0.81</v>
      </c>
      <c r="O34" s="942">
        <v>2.61</v>
      </c>
      <c r="P34" s="942">
        <v>3.15</v>
      </c>
      <c r="Q34" s="942">
        <v>3.6</v>
      </c>
      <c r="R34" s="942">
        <v>4.2300000000000004</v>
      </c>
      <c r="S34" s="942">
        <v>4.95</v>
      </c>
      <c r="T34" s="942">
        <v>5.49</v>
      </c>
      <c r="U34" s="942">
        <v>2.61</v>
      </c>
      <c r="V34" s="942">
        <v>3.15</v>
      </c>
      <c r="W34" s="942">
        <v>3.6</v>
      </c>
      <c r="X34" s="942">
        <v>1.53</v>
      </c>
      <c r="Y34" s="942">
        <v>1.17</v>
      </c>
      <c r="Z34" s="942">
        <v>1.71</v>
      </c>
    </row>
    <row r="35" spans="2:26">
      <c r="B35" s="942"/>
      <c r="C35" s="943">
        <v>40471</v>
      </c>
      <c r="D35" s="942">
        <v>5.0999999999999996</v>
      </c>
      <c r="E35" s="942">
        <v>5.56</v>
      </c>
      <c r="F35" s="942">
        <v>5.6</v>
      </c>
      <c r="G35" s="942">
        <v>5.96</v>
      </c>
      <c r="H35" s="942">
        <v>6.14</v>
      </c>
      <c r="I35" s="942">
        <v>3.5</v>
      </c>
      <c r="J35" s="942">
        <v>4.05</v>
      </c>
      <c r="L35" s="942"/>
      <c r="M35" s="943">
        <v>39284</v>
      </c>
      <c r="N35" s="942">
        <v>0.81</v>
      </c>
      <c r="O35" s="942">
        <v>2.34</v>
      </c>
      <c r="P35" s="942">
        <v>2.88</v>
      </c>
      <c r="Q35" s="942">
        <v>3.33</v>
      </c>
      <c r="R35" s="942">
        <v>3.96</v>
      </c>
      <c r="S35" s="942">
        <v>4.68</v>
      </c>
      <c r="T35" s="942">
        <v>5.22</v>
      </c>
      <c r="U35" s="942">
        <v>2.34</v>
      </c>
      <c r="V35" s="942">
        <v>2.88</v>
      </c>
      <c r="W35" s="942">
        <v>3.33</v>
      </c>
      <c r="X35" s="942">
        <v>1.53</v>
      </c>
      <c r="Y35" s="942">
        <v>1.17</v>
      </c>
      <c r="Z35" s="942">
        <v>1.71</v>
      </c>
    </row>
    <row r="36" spans="2:26">
      <c r="B36" s="942"/>
      <c r="C36" s="943">
        <v>39805</v>
      </c>
      <c r="D36" s="942">
        <v>4.8600000000000003</v>
      </c>
      <c r="E36" s="942">
        <v>5.31</v>
      </c>
      <c r="F36" s="942">
        <v>5.4</v>
      </c>
      <c r="G36" s="942">
        <v>5.76</v>
      </c>
      <c r="H36" s="942">
        <v>5.94</v>
      </c>
      <c r="I36" s="942">
        <v>3.33</v>
      </c>
      <c r="J36" s="942">
        <v>3.87</v>
      </c>
      <c r="L36" s="942"/>
      <c r="M36" s="943">
        <v>39221</v>
      </c>
      <c r="N36" s="942">
        <v>0.72</v>
      </c>
      <c r="O36" s="942">
        <v>2.0699999999999998</v>
      </c>
      <c r="P36" s="942">
        <v>2.61</v>
      </c>
      <c r="Q36" s="942">
        <v>3.06</v>
      </c>
      <c r="R36" s="942">
        <v>3.69</v>
      </c>
      <c r="S36" s="942">
        <v>4.41</v>
      </c>
      <c r="T36" s="942">
        <v>4.95</v>
      </c>
      <c r="U36" s="942">
        <v>2.0699999999999998</v>
      </c>
      <c r="V36" s="942">
        <v>2.61</v>
      </c>
      <c r="W36" s="942">
        <v>3.06</v>
      </c>
      <c r="X36" s="942">
        <v>1.44</v>
      </c>
      <c r="Y36" s="942">
        <v>1.08</v>
      </c>
      <c r="Z36" s="942">
        <v>1.62</v>
      </c>
    </row>
    <row r="37" spans="2:26">
      <c r="B37" s="942"/>
      <c r="C37" s="943">
        <v>39779</v>
      </c>
      <c r="D37" s="942">
        <v>5.04</v>
      </c>
      <c r="E37" s="942">
        <v>5.58</v>
      </c>
      <c r="F37" s="942">
        <v>5.67</v>
      </c>
      <c r="G37" s="942">
        <v>5.94</v>
      </c>
      <c r="H37" s="942">
        <v>6.12</v>
      </c>
      <c r="I37" s="942">
        <v>3.51</v>
      </c>
      <c r="J37" s="942">
        <v>4.05</v>
      </c>
      <c r="L37" s="942"/>
      <c r="M37" s="943">
        <v>39159</v>
      </c>
      <c r="N37" s="942">
        <v>0.72</v>
      </c>
      <c r="O37" s="942">
        <v>1.98</v>
      </c>
      <c r="P37" s="942">
        <v>2.4300000000000002</v>
      </c>
      <c r="Q37" s="942">
        <v>2.79</v>
      </c>
      <c r="R37" s="942">
        <v>3.33</v>
      </c>
      <c r="S37" s="942">
        <v>3.96</v>
      </c>
      <c r="T37" s="942">
        <v>4.41</v>
      </c>
      <c r="U37" s="942">
        <v>1.98</v>
      </c>
      <c r="V37" s="942">
        <v>2.4300000000000002</v>
      </c>
      <c r="W37" s="942">
        <v>2.79</v>
      </c>
      <c r="X37" s="942">
        <v>1.44</v>
      </c>
      <c r="Y37" s="942">
        <v>1.08</v>
      </c>
      <c r="Z37" s="942">
        <v>1.62</v>
      </c>
    </row>
    <row r="38" spans="2:26">
      <c r="B38" s="942"/>
      <c r="C38" s="943">
        <v>39751</v>
      </c>
      <c r="D38" s="942">
        <v>6.03</v>
      </c>
      <c r="E38" s="942">
        <v>6.66</v>
      </c>
      <c r="F38" s="942">
        <v>6.75</v>
      </c>
      <c r="G38" s="942">
        <v>7.02</v>
      </c>
      <c r="H38" s="942">
        <v>7.2</v>
      </c>
      <c r="I38" s="942">
        <v>4.05</v>
      </c>
      <c r="J38" s="942">
        <v>4.59</v>
      </c>
      <c r="L38" s="942"/>
      <c r="M38" s="943">
        <v>38948</v>
      </c>
      <c r="N38" s="942">
        <v>0.72</v>
      </c>
      <c r="O38" s="942">
        <v>1.8</v>
      </c>
      <c r="P38" s="942">
        <v>2.25</v>
      </c>
      <c r="Q38" s="942">
        <v>2.52</v>
      </c>
      <c r="R38" s="942">
        <v>3.06</v>
      </c>
      <c r="S38" s="942">
        <v>3.69</v>
      </c>
      <c r="T38" s="942">
        <v>4.1399999999999997</v>
      </c>
      <c r="U38" s="942">
        <v>1.8</v>
      </c>
      <c r="V38" s="942">
        <v>2.25</v>
      </c>
      <c r="W38" s="942">
        <v>2.52</v>
      </c>
      <c r="X38" s="942">
        <v>1.44</v>
      </c>
      <c r="Y38" s="942">
        <v>1.08</v>
      </c>
      <c r="Z38" s="942">
        <v>1.62</v>
      </c>
    </row>
    <row r="39" spans="2:26">
      <c r="B39" s="942"/>
      <c r="C39" s="944">
        <v>39748</v>
      </c>
      <c r="D39" s="942">
        <v>6.12</v>
      </c>
      <c r="E39" s="942">
        <v>6.93</v>
      </c>
      <c r="F39" s="942">
        <v>7.02</v>
      </c>
      <c r="G39" s="942">
        <v>7.29</v>
      </c>
      <c r="H39" s="942">
        <v>7.47</v>
      </c>
      <c r="I39" s="942">
        <v>4.05</v>
      </c>
      <c r="J39" s="942">
        <v>4.59</v>
      </c>
      <c r="L39" s="942"/>
      <c r="M39" s="943">
        <v>38289</v>
      </c>
      <c r="N39" s="942">
        <v>0.72</v>
      </c>
      <c r="O39" s="942">
        <v>1.71</v>
      </c>
      <c r="P39" s="942">
        <v>2.0699999999999998</v>
      </c>
      <c r="Q39" s="942">
        <v>2.25</v>
      </c>
      <c r="R39" s="942">
        <v>2.7</v>
      </c>
      <c r="S39" s="942">
        <v>3.24</v>
      </c>
      <c r="T39" s="942">
        <v>3.6</v>
      </c>
      <c r="U39" s="942">
        <v>1.71</v>
      </c>
      <c r="V39" s="942">
        <v>2.0699999999999998</v>
      </c>
      <c r="W39" s="942">
        <v>2.25</v>
      </c>
      <c r="X39" s="942">
        <v>1.44</v>
      </c>
      <c r="Y39" s="942">
        <v>1.08</v>
      </c>
      <c r="Z39" s="942">
        <v>1.62</v>
      </c>
    </row>
    <row r="40" spans="2:26">
      <c r="B40" s="942"/>
      <c r="C40" s="943">
        <v>39730</v>
      </c>
      <c r="D40" s="942">
        <v>6.12</v>
      </c>
      <c r="E40" s="942">
        <v>6.93</v>
      </c>
      <c r="F40" s="942">
        <v>7.02</v>
      </c>
      <c r="G40" s="942">
        <v>7.29</v>
      </c>
      <c r="H40" s="942">
        <v>7.47</v>
      </c>
      <c r="I40" s="942">
        <v>4.32</v>
      </c>
      <c r="J40" s="942">
        <v>4.8600000000000003</v>
      </c>
      <c r="L40" s="942"/>
      <c r="M40" s="943">
        <v>37308</v>
      </c>
      <c r="N40" s="942">
        <v>0.72</v>
      </c>
      <c r="O40" s="942">
        <v>1.71</v>
      </c>
      <c r="P40" s="942">
        <v>1.89</v>
      </c>
      <c r="Q40" s="942">
        <v>1.98</v>
      </c>
      <c r="R40" s="942">
        <v>2.25</v>
      </c>
      <c r="S40" s="942">
        <v>2.52</v>
      </c>
      <c r="T40" s="942">
        <v>2.79</v>
      </c>
      <c r="U40" s="942">
        <v>1.71</v>
      </c>
      <c r="V40" s="942">
        <v>1.89</v>
      </c>
      <c r="W40" s="942">
        <v>1.98</v>
      </c>
      <c r="X40" s="942">
        <v>1.44</v>
      </c>
      <c r="Y40" s="942">
        <v>1.08</v>
      </c>
      <c r="Z40" s="942">
        <v>1.62</v>
      </c>
    </row>
    <row r="41" spans="2:26">
      <c r="B41" s="942"/>
      <c r="C41" s="943">
        <v>39707</v>
      </c>
      <c r="D41" s="942">
        <v>6.21</v>
      </c>
      <c r="E41" s="942">
        <v>7.2</v>
      </c>
      <c r="F41" s="942">
        <v>7.29</v>
      </c>
      <c r="G41" s="942">
        <v>7.56</v>
      </c>
      <c r="H41" s="942">
        <v>7.74</v>
      </c>
      <c r="I41" s="942">
        <v>4.59</v>
      </c>
      <c r="J41" s="942">
        <v>5.13</v>
      </c>
      <c r="L41" s="942"/>
      <c r="M41" s="943">
        <v>36321</v>
      </c>
      <c r="N41" s="942">
        <v>0.99</v>
      </c>
      <c r="O41" s="942">
        <v>1.98</v>
      </c>
      <c r="P41" s="942">
        <v>2.16</v>
      </c>
      <c r="Q41" s="942">
        <v>2.25</v>
      </c>
      <c r="R41" s="942">
        <v>2.4300000000000002</v>
      </c>
      <c r="S41" s="942">
        <v>2.7</v>
      </c>
      <c r="T41" s="942">
        <v>2.88</v>
      </c>
      <c r="U41" s="942">
        <v>1.98</v>
      </c>
      <c r="V41" s="942">
        <v>2.16</v>
      </c>
      <c r="W41" s="942">
        <v>2.25</v>
      </c>
      <c r="X41" s="942">
        <v>1.71</v>
      </c>
      <c r="Y41" s="942">
        <v>1.35</v>
      </c>
      <c r="Z41" s="942">
        <v>1.89</v>
      </c>
    </row>
    <row r="42" spans="2:26">
      <c r="B42" s="942"/>
      <c r="C42" s="943">
        <v>39437</v>
      </c>
      <c r="D42" s="942">
        <v>6.57</v>
      </c>
      <c r="E42" s="942">
        <v>7.47</v>
      </c>
      <c r="F42" s="942">
        <v>7.56</v>
      </c>
      <c r="G42" s="942">
        <v>7.74</v>
      </c>
      <c r="H42" s="942">
        <v>7.83</v>
      </c>
      <c r="I42" s="942">
        <v>4.7699999999999996</v>
      </c>
      <c r="J42" s="942">
        <v>5.22</v>
      </c>
      <c r="L42" s="942"/>
      <c r="M42" s="943">
        <v>36136</v>
      </c>
      <c r="N42" s="942">
        <v>1.44</v>
      </c>
      <c r="O42" s="942">
        <v>2.79</v>
      </c>
      <c r="P42" s="942">
        <v>3.33</v>
      </c>
      <c r="Q42" s="942">
        <v>3.78</v>
      </c>
      <c r="R42" s="942">
        <v>3.96</v>
      </c>
      <c r="S42" s="942">
        <v>4.1399999999999997</v>
      </c>
      <c r="T42" s="942">
        <v>4.5</v>
      </c>
      <c r="U42" s="942">
        <v>3.33</v>
      </c>
      <c r="V42" s="942">
        <v>3.78</v>
      </c>
      <c r="W42" s="942">
        <v>4.1399999999999997</v>
      </c>
      <c r="X42" s="942">
        <v>2.16</v>
      </c>
      <c r="Y42" s="942">
        <v>1.8</v>
      </c>
      <c r="Z42" s="942">
        <v>2.34</v>
      </c>
    </row>
    <row r="43" spans="2:26">
      <c r="B43" s="942"/>
      <c r="C43" s="943">
        <v>39340</v>
      </c>
      <c r="D43" s="942">
        <v>6.48</v>
      </c>
      <c r="E43" s="942">
        <v>7.29</v>
      </c>
      <c r="F43" s="942">
        <v>7.47</v>
      </c>
      <c r="G43" s="942">
        <v>7.65</v>
      </c>
      <c r="H43" s="942">
        <v>7.83</v>
      </c>
      <c r="I43" s="942">
        <v>4.7699999999999996</v>
      </c>
      <c r="J43" s="942">
        <v>5.22</v>
      </c>
      <c r="L43" s="942"/>
      <c r="M43" s="943">
        <v>35977</v>
      </c>
      <c r="N43" s="942">
        <v>1.44</v>
      </c>
      <c r="O43" s="942">
        <v>2.79</v>
      </c>
      <c r="P43" s="942">
        <v>3.96</v>
      </c>
      <c r="Q43" s="942">
        <v>4.7699999999999996</v>
      </c>
      <c r="R43" s="942">
        <v>4.8600000000000003</v>
      </c>
      <c r="S43" s="942">
        <v>4.95</v>
      </c>
      <c r="T43" s="942">
        <v>5.22</v>
      </c>
      <c r="U43" s="942">
        <v>3.96</v>
      </c>
      <c r="V43" s="942">
        <v>4.7699999999999996</v>
      </c>
      <c r="W43" s="942">
        <v>4.95</v>
      </c>
      <c r="X43" s="942" t="s">
        <v>1530</v>
      </c>
      <c r="Y43" s="942" t="s">
        <v>1530</v>
      </c>
      <c r="Z43" s="942" t="s">
        <v>1530</v>
      </c>
    </row>
    <row r="44" spans="2:26">
      <c r="B44" s="942"/>
      <c r="C44" s="943">
        <v>39316</v>
      </c>
      <c r="D44" s="942">
        <v>6.21</v>
      </c>
      <c r="E44" s="942">
        <v>7.02</v>
      </c>
      <c r="F44" s="942">
        <v>7.2</v>
      </c>
      <c r="G44" s="942">
        <v>7.38</v>
      </c>
      <c r="H44" s="942">
        <v>7.56</v>
      </c>
      <c r="I44" s="942">
        <v>4.59</v>
      </c>
      <c r="J44" s="942">
        <v>5.04</v>
      </c>
      <c r="L44" s="942"/>
      <c r="M44" s="943">
        <v>35879</v>
      </c>
      <c r="N44" s="942">
        <v>1.71</v>
      </c>
      <c r="O44" s="942">
        <v>2.88</v>
      </c>
      <c r="P44" s="942">
        <v>4.1399999999999997</v>
      </c>
      <c r="Q44" s="942">
        <v>5.22</v>
      </c>
      <c r="R44" s="942">
        <v>5.58</v>
      </c>
      <c r="S44" s="942">
        <v>6.21</v>
      </c>
      <c r="T44" s="942">
        <v>6.66</v>
      </c>
      <c r="U44" s="942">
        <v>4.1399999999999997</v>
      </c>
      <c r="V44" s="942">
        <v>5.22</v>
      </c>
      <c r="W44" s="942">
        <v>6.21</v>
      </c>
      <c r="X44" s="942" t="s">
        <v>1530</v>
      </c>
      <c r="Y44" s="942" t="s">
        <v>1530</v>
      </c>
      <c r="Z44" s="942" t="s">
        <v>1530</v>
      </c>
    </row>
    <row r="45" spans="2:26">
      <c r="B45" s="942"/>
      <c r="C45" s="943">
        <v>39284</v>
      </c>
      <c r="D45" s="942">
        <v>6.03</v>
      </c>
      <c r="E45" s="942">
        <v>6.84</v>
      </c>
      <c r="F45" s="942">
        <v>7.02</v>
      </c>
      <c r="G45" s="942">
        <v>7.2</v>
      </c>
      <c r="H45" s="942">
        <v>7.38</v>
      </c>
      <c r="I45" s="942">
        <v>4.5</v>
      </c>
      <c r="J45" s="942">
        <v>4.95</v>
      </c>
      <c r="L45" s="942"/>
      <c r="M45" s="943">
        <v>35726</v>
      </c>
      <c r="N45" s="942">
        <v>1.71</v>
      </c>
      <c r="O45" s="942">
        <v>2.88</v>
      </c>
      <c r="P45" s="942">
        <v>4.1399999999999997</v>
      </c>
      <c r="Q45" s="942">
        <v>5.67</v>
      </c>
      <c r="R45" s="942">
        <v>5.94</v>
      </c>
      <c r="S45" s="942">
        <v>6.21</v>
      </c>
      <c r="T45" s="942">
        <v>6.66</v>
      </c>
      <c r="U45" s="942">
        <v>4.1399999999999997</v>
      </c>
      <c r="V45" s="942">
        <v>5.67</v>
      </c>
      <c r="W45" s="942">
        <v>6.21</v>
      </c>
      <c r="X45" s="942" t="s">
        <v>1530</v>
      </c>
      <c r="Y45" s="942" t="s">
        <v>1530</v>
      </c>
      <c r="Z45" s="942" t="s">
        <v>1530</v>
      </c>
    </row>
    <row r="46" spans="2:26">
      <c r="B46" s="942"/>
      <c r="C46" s="943">
        <v>39221</v>
      </c>
      <c r="D46" s="942">
        <v>5.85</v>
      </c>
      <c r="E46" s="942">
        <v>6.57</v>
      </c>
      <c r="F46" s="942">
        <v>6.75</v>
      </c>
      <c r="G46" s="942">
        <v>6.93</v>
      </c>
      <c r="H46" s="942">
        <v>7.2</v>
      </c>
      <c r="I46" s="942">
        <v>4.41</v>
      </c>
      <c r="J46" s="942">
        <v>4.8600000000000003</v>
      </c>
      <c r="L46" s="942"/>
      <c r="M46" s="943">
        <v>35300</v>
      </c>
      <c r="N46" s="942">
        <v>1.98</v>
      </c>
      <c r="O46" s="942">
        <v>3.33</v>
      </c>
      <c r="P46" s="942">
        <v>5.4</v>
      </c>
      <c r="Q46" s="942">
        <v>7.47</v>
      </c>
      <c r="R46" s="942">
        <v>7.92</v>
      </c>
      <c r="S46" s="942">
        <v>8.2799999999999994</v>
      </c>
      <c r="T46" s="942">
        <v>9</v>
      </c>
      <c r="U46" s="942">
        <v>5.4</v>
      </c>
      <c r="V46" s="942">
        <v>7.47</v>
      </c>
      <c r="W46" s="942">
        <v>8.2799999999999994</v>
      </c>
      <c r="X46" s="942" t="s">
        <v>1530</v>
      </c>
      <c r="Y46" s="942" t="s">
        <v>1530</v>
      </c>
      <c r="Z46" s="942" t="s">
        <v>1530</v>
      </c>
    </row>
    <row r="47" spans="2:26">
      <c r="B47" s="942"/>
      <c r="C47" s="943">
        <v>39159</v>
      </c>
      <c r="D47" s="942">
        <v>5.67</v>
      </c>
      <c r="E47" s="942">
        <v>6.39</v>
      </c>
      <c r="F47" s="942">
        <v>6.57</v>
      </c>
      <c r="G47" s="942">
        <v>6.75</v>
      </c>
      <c r="H47" s="942">
        <v>7.11</v>
      </c>
      <c r="I47" s="942">
        <v>4.32</v>
      </c>
      <c r="J47" s="942">
        <v>4.7699999999999996</v>
      </c>
      <c r="L47" s="942"/>
      <c r="M47" s="943">
        <v>35186</v>
      </c>
      <c r="N47" s="942">
        <v>2.97</v>
      </c>
      <c r="O47" s="942">
        <v>4.8600000000000003</v>
      </c>
      <c r="P47" s="942">
        <v>7.2</v>
      </c>
      <c r="Q47" s="942">
        <v>9.18</v>
      </c>
      <c r="R47" s="942">
        <v>9.9</v>
      </c>
      <c r="S47" s="942">
        <v>10.8</v>
      </c>
      <c r="T47" s="942">
        <v>12.06</v>
      </c>
      <c r="U47" s="942">
        <v>7.2</v>
      </c>
      <c r="V47" s="942">
        <v>9.18</v>
      </c>
      <c r="W47" s="942">
        <v>10.8</v>
      </c>
      <c r="X47" s="942" t="s">
        <v>1530</v>
      </c>
      <c r="Y47" s="942" t="s">
        <v>1530</v>
      </c>
      <c r="Z47" s="942" t="s">
        <v>1530</v>
      </c>
    </row>
    <row r="48" spans="2:26">
      <c r="B48" s="942"/>
      <c r="C48" s="943">
        <v>38948</v>
      </c>
      <c r="D48" s="942">
        <v>5.58</v>
      </c>
      <c r="E48" s="942">
        <v>6.12</v>
      </c>
      <c r="F48" s="942">
        <v>6.3</v>
      </c>
      <c r="G48" s="942">
        <v>6.48</v>
      </c>
      <c r="H48" s="942">
        <v>6.84</v>
      </c>
      <c r="I48" s="942">
        <v>4.1399999999999997</v>
      </c>
      <c r="J48" s="942">
        <v>4.59</v>
      </c>
      <c r="L48" s="942"/>
      <c r="M48" s="943">
        <v>34161</v>
      </c>
      <c r="N48" s="942">
        <v>3.15</v>
      </c>
      <c r="O48" s="942">
        <v>6.66</v>
      </c>
      <c r="P48" s="942">
        <v>9</v>
      </c>
      <c r="Q48" s="942">
        <v>10.98</v>
      </c>
      <c r="R48" s="942">
        <v>11.7</v>
      </c>
      <c r="S48" s="942">
        <v>12.24</v>
      </c>
      <c r="T48" s="942">
        <v>13.86</v>
      </c>
      <c r="U48" s="942">
        <v>9</v>
      </c>
      <c r="V48" s="942">
        <v>10.98</v>
      </c>
      <c r="W48" s="942">
        <v>12.24</v>
      </c>
      <c r="X48" s="942" t="s">
        <v>1530</v>
      </c>
      <c r="Y48" s="942" t="s">
        <v>1530</v>
      </c>
      <c r="Z48" s="942" t="s">
        <v>1530</v>
      </c>
    </row>
    <row r="49" spans="2:26">
      <c r="B49" s="942"/>
      <c r="C49" s="943">
        <v>38835</v>
      </c>
      <c r="D49" s="942">
        <v>5.4</v>
      </c>
      <c r="E49" s="942">
        <v>5.85</v>
      </c>
      <c r="F49" s="942">
        <v>6.03</v>
      </c>
      <c r="G49" s="942">
        <v>6.12</v>
      </c>
      <c r="H49" s="942">
        <v>6.39</v>
      </c>
      <c r="I49" s="942">
        <v>4.1399999999999997</v>
      </c>
      <c r="J49" s="942">
        <v>4.59</v>
      </c>
      <c r="L49" s="942"/>
      <c r="M49" s="943">
        <v>34104</v>
      </c>
      <c r="N49" s="942">
        <v>2.16</v>
      </c>
      <c r="O49" s="942">
        <v>4.8600000000000003</v>
      </c>
      <c r="P49" s="942">
        <v>7.2</v>
      </c>
      <c r="Q49" s="942">
        <v>9.18</v>
      </c>
      <c r="R49" s="942">
        <v>9.9</v>
      </c>
      <c r="S49" s="942">
        <v>10.8</v>
      </c>
      <c r="T49" s="942">
        <v>12.06</v>
      </c>
      <c r="U49" s="942">
        <v>7.2</v>
      </c>
      <c r="V49" s="942">
        <v>9.18</v>
      </c>
      <c r="W49" s="942">
        <v>10.8</v>
      </c>
      <c r="X49" s="942" t="s">
        <v>1530</v>
      </c>
      <c r="Y49" s="942" t="s">
        <v>1530</v>
      </c>
      <c r="Z49" s="942" t="s">
        <v>1530</v>
      </c>
    </row>
    <row r="50" spans="2:26">
      <c r="B50" s="942"/>
      <c r="C50" s="943">
        <v>38428</v>
      </c>
      <c r="D50" s="942">
        <v>5.22</v>
      </c>
      <c r="E50" s="942">
        <v>5.58</v>
      </c>
      <c r="F50" s="942">
        <v>5.76</v>
      </c>
      <c r="G50" s="942">
        <v>5.85</v>
      </c>
      <c r="H50" s="942">
        <v>6.12</v>
      </c>
      <c r="I50" s="942">
        <v>3.96</v>
      </c>
      <c r="J50" s="942">
        <v>4.41</v>
      </c>
      <c r="L50" s="942"/>
      <c r="M50" s="943">
        <v>33349</v>
      </c>
      <c r="N50" s="942">
        <v>1.8</v>
      </c>
      <c r="O50" s="942">
        <v>3.24</v>
      </c>
      <c r="P50" s="942">
        <v>5.4</v>
      </c>
      <c r="Q50" s="942">
        <v>7.56</v>
      </c>
      <c r="R50" s="942">
        <v>7.92</v>
      </c>
      <c r="S50" s="942">
        <v>8.2799999999999994</v>
      </c>
      <c r="T50" s="942">
        <v>9</v>
      </c>
      <c r="U50" s="942">
        <v>6.12</v>
      </c>
      <c r="V50" s="942">
        <v>6.84</v>
      </c>
      <c r="W50" s="942">
        <v>7.56</v>
      </c>
      <c r="X50" s="942" t="s">
        <v>1530</v>
      </c>
      <c r="Y50" s="942" t="s">
        <v>1530</v>
      </c>
      <c r="Z50" s="942" t="s">
        <v>1530</v>
      </c>
    </row>
    <row r="51" spans="2:26">
      <c r="B51" s="942"/>
      <c r="C51" s="943">
        <v>38289</v>
      </c>
      <c r="D51" s="942">
        <v>5.22</v>
      </c>
      <c r="E51" s="942">
        <v>5.58</v>
      </c>
      <c r="F51" s="942">
        <v>5.76</v>
      </c>
      <c r="G51" s="942">
        <v>5.85</v>
      </c>
      <c r="H51" s="942">
        <v>6.12</v>
      </c>
      <c r="I51" s="942">
        <v>3.78</v>
      </c>
      <c r="J51" s="942">
        <v>4.2300000000000004</v>
      </c>
      <c r="L51" s="942"/>
      <c r="M51" s="943">
        <v>33106</v>
      </c>
      <c r="N51" s="942">
        <v>2.16</v>
      </c>
      <c r="O51" s="942">
        <v>4.32</v>
      </c>
      <c r="P51" s="942">
        <v>6.48</v>
      </c>
      <c r="Q51" s="942">
        <v>8.64</v>
      </c>
      <c r="R51" s="942">
        <v>9.36</v>
      </c>
      <c r="S51" s="942">
        <v>10.08</v>
      </c>
      <c r="T51" s="942">
        <v>11.52</v>
      </c>
      <c r="U51" s="942">
        <v>7.2</v>
      </c>
      <c r="V51" s="942">
        <v>8.64</v>
      </c>
      <c r="W51" s="942">
        <v>10.08</v>
      </c>
      <c r="X51" s="942" t="s">
        <v>1530</v>
      </c>
      <c r="Y51" s="942" t="s">
        <v>1530</v>
      </c>
      <c r="Z51" s="942" t="s">
        <v>1530</v>
      </c>
    </row>
    <row r="52" spans="2:26">
      <c r="B52" s="942"/>
      <c r="C52" s="943">
        <v>37308</v>
      </c>
      <c r="D52" s="942">
        <v>5.04</v>
      </c>
      <c r="E52" s="942">
        <v>5.31</v>
      </c>
      <c r="F52" s="942">
        <v>5.49</v>
      </c>
      <c r="G52" s="942">
        <v>5.58</v>
      </c>
      <c r="H52" s="942">
        <v>5.76</v>
      </c>
      <c r="I52" s="942">
        <v>3.6</v>
      </c>
      <c r="J52" s="942">
        <v>4.05</v>
      </c>
      <c r="L52" s="942"/>
      <c r="M52" s="943">
        <v>32978</v>
      </c>
      <c r="N52" s="942">
        <v>2.88</v>
      </c>
      <c r="O52" s="942">
        <v>6.3</v>
      </c>
      <c r="P52" s="942">
        <v>7.74</v>
      </c>
      <c r="Q52" s="942">
        <v>10.08</v>
      </c>
      <c r="R52" s="942">
        <v>10.98</v>
      </c>
      <c r="S52" s="942">
        <v>11.88</v>
      </c>
      <c r="T52" s="942">
        <v>13.68</v>
      </c>
      <c r="U52" s="942" t="s">
        <v>1530</v>
      </c>
      <c r="V52" s="942" t="s">
        <v>1530</v>
      </c>
      <c r="W52" s="942" t="s">
        <v>1530</v>
      </c>
      <c r="X52" s="942" t="s">
        <v>1530</v>
      </c>
      <c r="Y52" s="942" t="s">
        <v>1530</v>
      </c>
      <c r="Z52" s="942" t="s">
        <v>1530</v>
      </c>
    </row>
    <row r="53" spans="2:26">
      <c r="B53" s="942"/>
      <c r="C53" s="943">
        <v>36321</v>
      </c>
      <c r="D53" s="942">
        <v>5.58</v>
      </c>
      <c r="E53" s="942">
        <v>5.85</v>
      </c>
      <c r="F53" s="942">
        <v>5.94</v>
      </c>
      <c r="G53" s="942">
        <v>6.03</v>
      </c>
      <c r="H53" s="942">
        <v>6.21</v>
      </c>
      <c r="I53" s="942">
        <v>4.1399999999999997</v>
      </c>
      <c r="J53" s="942">
        <v>4.59</v>
      </c>
      <c r="L53" s="942"/>
      <c r="M53" s="943"/>
      <c r="N53" s="942"/>
      <c r="O53" s="942"/>
      <c r="P53" s="942"/>
      <c r="Q53" s="942"/>
      <c r="R53" s="942"/>
      <c r="S53" s="942"/>
      <c r="T53" s="942"/>
      <c r="U53" s="942"/>
      <c r="V53" s="942"/>
      <c r="W53" s="942"/>
      <c r="X53" s="942"/>
      <c r="Y53" s="942"/>
      <c r="Z53" s="942"/>
    </row>
    <row r="54" spans="2:26">
      <c r="B54" s="942"/>
      <c r="C54" s="943">
        <v>36136</v>
      </c>
      <c r="D54" s="942">
        <v>6.12</v>
      </c>
      <c r="E54" s="942">
        <v>6.39</v>
      </c>
      <c r="F54" s="942">
        <v>6.66</v>
      </c>
      <c r="G54" s="942">
        <v>7.2</v>
      </c>
      <c r="H54" s="942">
        <v>7.56</v>
      </c>
      <c r="I54" s="942">
        <v>0</v>
      </c>
      <c r="J54" s="942">
        <v>0</v>
      </c>
      <c r="L54" s="942"/>
      <c r="M54" s="943"/>
      <c r="N54" s="942"/>
      <c r="O54" s="942"/>
      <c r="P54" s="942"/>
      <c r="Q54" s="942"/>
      <c r="R54" s="942"/>
      <c r="S54" s="942"/>
      <c r="T54" s="942"/>
      <c r="U54" s="942"/>
      <c r="V54" s="942"/>
      <c r="W54" s="942"/>
      <c r="X54" s="942"/>
      <c r="Y54" s="942"/>
      <c r="Z54" s="942"/>
    </row>
    <row r="55" spans="2:26">
      <c r="B55" s="942"/>
      <c r="C55" s="943">
        <v>35977</v>
      </c>
      <c r="D55" s="942">
        <v>6.57</v>
      </c>
      <c r="E55" s="942">
        <v>6.93</v>
      </c>
      <c r="F55" s="942">
        <v>7.11</v>
      </c>
      <c r="G55" s="942">
        <v>7.65</v>
      </c>
      <c r="H55" s="942">
        <v>8.01</v>
      </c>
      <c r="I55" s="942">
        <v>0</v>
      </c>
      <c r="J55" s="942">
        <v>0</v>
      </c>
      <c r="L55" s="942"/>
      <c r="M55" s="943"/>
      <c r="N55" s="942"/>
      <c r="O55" s="942"/>
      <c r="P55" s="942"/>
      <c r="Q55" s="942"/>
      <c r="R55" s="942"/>
      <c r="S55" s="942"/>
      <c r="T55" s="942"/>
      <c r="U55" s="942"/>
      <c r="V55" s="942"/>
      <c r="W55" s="942"/>
      <c r="X55" s="942"/>
      <c r="Y55" s="942"/>
      <c r="Z55" s="942"/>
    </row>
    <row r="56" spans="2:26">
      <c r="B56" s="942"/>
      <c r="C56" s="943">
        <v>35879</v>
      </c>
      <c r="D56" s="942">
        <v>7.02</v>
      </c>
      <c r="E56" s="942">
        <v>7.92</v>
      </c>
      <c r="F56" s="942">
        <v>9</v>
      </c>
      <c r="G56" s="942">
        <v>9.7200000000000006</v>
      </c>
      <c r="H56" s="942">
        <v>10.35</v>
      </c>
      <c r="I56" s="942">
        <v>0</v>
      </c>
      <c r="J56" s="942">
        <v>0</v>
      </c>
      <c r="L56" s="942"/>
      <c r="M56" s="943"/>
      <c r="N56" s="942"/>
      <c r="O56" s="942"/>
      <c r="P56" s="942"/>
      <c r="Q56" s="942"/>
      <c r="R56" s="942"/>
      <c r="S56" s="942"/>
      <c r="T56" s="942"/>
      <c r="U56" s="942"/>
      <c r="V56" s="942"/>
      <c r="W56" s="942"/>
      <c r="X56" s="942"/>
      <c r="Y56" s="942"/>
      <c r="Z56" s="942"/>
    </row>
    <row r="57" spans="2:26">
      <c r="B57" s="942"/>
      <c r="C57" s="943">
        <v>35726</v>
      </c>
      <c r="D57" s="942">
        <v>7.65</v>
      </c>
      <c r="E57" s="942">
        <v>8.64</v>
      </c>
      <c r="F57" s="942">
        <v>9.36</v>
      </c>
      <c r="G57" s="942">
        <v>9.9</v>
      </c>
      <c r="H57" s="942">
        <v>10.53</v>
      </c>
      <c r="I57" s="942">
        <v>0</v>
      </c>
      <c r="J57" s="942">
        <v>0</v>
      </c>
      <c r="L57" s="942"/>
      <c r="M57" s="943"/>
      <c r="N57" s="942"/>
      <c r="O57" s="942"/>
      <c r="P57" s="942"/>
      <c r="Q57" s="942"/>
      <c r="R57" s="942"/>
      <c r="S57" s="942"/>
      <c r="T57" s="942"/>
      <c r="U57" s="942"/>
      <c r="V57" s="942"/>
      <c r="W57" s="942"/>
      <c r="X57" s="942"/>
      <c r="Y57" s="942"/>
      <c r="Z57" s="942"/>
    </row>
    <row r="58" spans="2:26">
      <c r="B58" s="942"/>
      <c r="C58" s="943">
        <v>35300</v>
      </c>
      <c r="D58" s="942">
        <v>9.18</v>
      </c>
      <c r="E58" s="942">
        <v>10.08</v>
      </c>
      <c r="F58" s="942">
        <v>10.98</v>
      </c>
      <c r="G58" s="942">
        <v>11.7</v>
      </c>
      <c r="H58" s="942">
        <v>12.42</v>
      </c>
      <c r="I58" s="942">
        <v>0</v>
      </c>
      <c r="J58" s="942">
        <v>0</v>
      </c>
      <c r="L58" s="942"/>
      <c r="M58" s="943"/>
      <c r="N58" s="942"/>
      <c r="O58" s="942"/>
      <c r="P58" s="942"/>
      <c r="Q58" s="942"/>
      <c r="R58" s="942"/>
      <c r="S58" s="942"/>
      <c r="T58" s="942"/>
      <c r="U58" s="942"/>
      <c r="V58" s="942"/>
      <c r="W58" s="942"/>
      <c r="X58" s="942"/>
      <c r="Y58" s="942"/>
      <c r="Z58" s="942"/>
    </row>
    <row r="59" spans="2:26">
      <c r="B59" s="942"/>
      <c r="C59" s="943">
        <v>35186</v>
      </c>
      <c r="D59" s="942">
        <v>9.7200000000000006</v>
      </c>
      <c r="E59" s="942">
        <v>10.98</v>
      </c>
      <c r="F59" s="942">
        <v>13.14</v>
      </c>
      <c r="G59" s="942">
        <v>14.94</v>
      </c>
      <c r="H59" s="942">
        <v>15.12</v>
      </c>
      <c r="I59" s="942">
        <v>0</v>
      </c>
      <c r="J59" s="942">
        <v>0</v>
      </c>
    </row>
    <row r="60" spans="2:26">
      <c r="B60" s="942"/>
      <c r="C60" s="943">
        <v>34881</v>
      </c>
      <c r="D60" s="942">
        <v>10.08</v>
      </c>
      <c r="E60" s="942">
        <v>12.06</v>
      </c>
      <c r="F60" s="942">
        <v>13.5</v>
      </c>
      <c r="G60" s="942">
        <v>15.12</v>
      </c>
      <c r="H60" s="942">
        <v>15.3</v>
      </c>
      <c r="I60" s="942">
        <v>0</v>
      </c>
      <c r="J60" s="942">
        <v>0</v>
      </c>
    </row>
    <row r="61" spans="2:26">
      <c r="B61" s="942"/>
      <c r="C61" s="943">
        <v>34700</v>
      </c>
      <c r="D61" s="942">
        <v>9</v>
      </c>
      <c r="E61" s="942">
        <v>10.98</v>
      </c>
      <c r="F61" s="942">
        <v>12.96</v>
      </c>
      <c r="G61" s="942">
        <v>14.58</v>
      </c>
      <c r="H61" s="942">
        <v>14.76</v>
      </c>
      <c r="I61" s="942">
        <v>0</v>
      </c>
      <c r="J61" s="942">
        <v>0</v>
      </c>
    </row>
    <row r="62" spans="2:26">
      <c r="B62" s="942"/>
      <c r="C62" s="943">
        <v>34161</v>
      </c>
      <c r="D62" s="942">
        <v>9</v>
      </c>
      <c r="E62" s="942">
        <v>10.98</v>
      </c>
      <c r="F62" s="942">
        <v>12.24</v>
      </c>
      <c r="G62" s="942">
        <v>13.86</v>
      </c>
      <c r="H62" s="942">
        <v>14.04</v>
      </c>
      <c r="I62" s="942">
        <v>0</v>
      </c>
      <c r="J62" s="942">
        <v>0</v>
      </c>
    </row>
    <row r="63" spans="2:26">
      <c r="B63" s="942"/>
      <c r="C63" s="943">
        <v>34104</v>
      </c>
      <c r="D63" s="942">
        <v>8.82</v>
      </c>
      <c r="E63" s="942">
        <v>9.36</v>
      </c>
      <c r="F63" s="942">
        <v>10.8</v>
      </c>
      <c r="G63" s="942">
        <v>12.06</v>
      </c>
      <c r="H63" s="942">
        <v>12.24</v>
      </c>
      <c r="I63" s="942">
        <v>0</v>
      </c>
      <c r="J63" s="942">
        <v>0</v>
      </c>
    </row>
    <row r="64" spans="2:26">
      <c r="B64" s="942"/>
      <c r="C64" s="943">
        <v>33349</v>
      </c>
      <c r="D64" s="942">
        <v>8.1</v>
      </c>
      <c r="E64" s="942">
        <v>8.64</v>
      </c>
      <c r="F64" s="942">
        <v>9</v>
      </c>
      <c r="G64" s="942">
        <v>9.5399999999999991</v>
      </c>
      <c r="H64" s="942">
        <v>9.7200000000000006</v>
      </c>
      <c r="I64" s="942">
        <v>0</v>
      </c>
      <c r="J64" s="942">
        <v>0</v>
      </c>
    </row>
    <row r="65" spans="2:10">
      <c r="B65" s="942"/>
      <c r="C65" s="943">
        <v>33318</v>
      </c>
      <c r="D65" s="942">
        <v>9</v>
      </c>
      <c r="E65" s="942">
        <v>10.08</v>
      </c>
      <c r="F65" s="942">
        <v>10.8</v>
      </c>
      <c r="G65" s="942">
        <v>11.52</v>
      </c>
      <c r="H65" s="942">
        <v>11.88</v>
      </c>
      <c r="I65" s="942" t="s">
        <v>1530</v>
      </c>
      <c r="J65" s="942" t="s">
        <v>1530</v>
      </c>
    </row>
    <row r="66" spans="2:10">
      <c r="B66" s="942"/>
      <c r="C66" s="943">
        <v>33106</v>
      </c>
      <c r="D66" s="942">
        <v>8.64</v>
      </c>
      <c r="E66" s="942">
        <v>9.36</v>
      </c>
      <c r="F66" s="942">
        <v>10.08</v>
      </c>
      <c r="G66" s="942">
        <v>10.8</v>
      </c>
      <c r="H66" s="942">
        <v>11.16</v>
      </c>
      <c r="I66" s="942">
        <v>0</v>
      </c>
      <c r="J66" s="942">
        <v>0</v>
      </c>
    </row>
    <row r="67" spans="2:10">
      <c r="B67" s="942"/>
      <c r="C67" s="943">
        <v>32540</v>
      </c>
      <c r="D67" s="942">
        <v>11.34</v>
      </c>
      <c r="E67" s="942">
        <v>11.34</v>
      </c>
      <c r="F67" s="942">
        <v>12.78</v>
      </c>
      <c r="G67" s="942">
        <v>14.4</v>
      </c>
      <c r="H67" s="942">
        <v>19.260000000000002</v>
      </c>
      <c r="I67" s="942">
        <v>0</v>
      </c>
      <c r="J67" s="942">
        <v>0</v>
      </c>
    </row>
    <row r="68" spans="2:10">
      <c r="B68" s="942"/>
      <c r="C68" s="943"/>
      <c r="D68" s="942"/>
      <c r="E68" s="942"/>
      <c r="F68" s="942"/>
      <c r="G68" s="942"/>
      <c r="H68" s="942"/>
      <c r="I68" s="942"/>
      <c r="J68" s="942"/>
    </row>
    <row r="69" spans="2:10">
      <c r="B69" s="945"/>
      <c r="C69" s="946"/>
      <c r="D69" s="945"/>
      <c r="E69" s="945"/>
      <c r="F69" s="945"/>
      <c r="G69" s="945"/>
      <c r="H69" s="945"/>
      <c r="I69" s="945"/>
      <c r="J69" s="945"/>
    </row>
    <row r="70" spans="2:10">
      <c r="B70" s="945"/>
      <c r="C70" s="946"/>
      <c r="D70" s="945"/>
      <c r="E70" s="945"/>
      <c r="F70" s="945"/>
      <c r="G70" s="945"/>
      <c r="H70" s="945"/>
      <c r="I70" s="945"/>
      <c r="J70" s="945"/>
    </row>
    <row r="71" spans="2:10">
      <c r="B71" s="945"/>
      <c r="C71" s="946"/>
      <c r="D71" s="945"/>
      <c r="E71" s="945"/>
      <c r="F71" s="945"/>
      <c r="G71" s="945"/>
      <c r="H71" s="945"/>
      <c r="I71" s="945"/>
      <c r="J71" s="945"/>
    </row>
    <row r="72" spans="2:10">
      <c r="B72" s="917"/>
      <c r="C72" s="917"/>
      <c r="D72" s="917"/>
      <c r="E72" s="917"/>
      <c r="F72" s="917"/>
      <c r="G72" s="917"/>
      <c r="H72" s="917"/>
      <c r="I72" s="917"/>
      <c r="J72" s="917"/>
    </row>
    <row r="73" spans="2:10">
      <c r="B73" s="917"/>
      <c r="C73" s="917"/>
      <c r="D73" s="917"/>
      <c r="E73" s="917"/>
      <c r="F73" s="917"/>
      <c r="G73" s="917"/>
      <c r="H73" s="917"/>
      <c r="I73" s="917"/>
      <c r="J73" s="917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2" t="s">
        <v>18</v>
      </c>
      <c r="B2" s="602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2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2" t="s">
        <v>175</v>
      </c>
      <c r="B3" s="602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2" t="s">
        <v>176</v>
      </c>
      <c r="B4" s="602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2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2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2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2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2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2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2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2" t="s">
        <v>183</v>
      </c>
      <c r="B11" s="178" t="s">
        <v>966</v>
      </c>
      <c r="C11" s="366" t="s">
        <v>978</v>
      </c>
    </row>
    <row r="12" spans="1:25">
      <c r="A12" s="602" t="s">
        <v>184</v>
      </c>
      <c r="B12" s="178" t="s">
        <v>966</v>
      </c>
      <c r="C12" s="366" t="s">
        <v>979</v>
      </c>
    </row>
    <row r="13" spans="1:25">
      <c r="A13" s="602" t="s">
        <v>185</v>
      </c>
      <c r="B13" s="178" t="s">
        <v>966</v>
      </c>
      <c r="C13" s="366" t="s">
        <v>980</v>
      </c>
    </row>
    <row r="14" spans="1:25">
      <c r="A14" s="602" t="s">
        <v>186</v>
      </c>
      <c r="B14" s="178" t="s">
        <v>966</v>
      </c>
      <c r="C14" s="368"/>
    </row>
    <row r="15" spans="1:25">
      <c r="A15" s="602" t="s">
        <v>187</v>
      </c>
      <c r="B15" s="178" t="s">
        <v>966</v>
      </c>
      <c r="C15" s="368"/>
    </row>
    <row r="16" spans="1:25">
      <c r="A16" s="602" t="s">
        <v>188</v>
      </c>
      <c r="B16" s="178" t="s">
        <v>966</v>
      </c>
      <c r="C16" s="368"/>
    </row>
    <row r="17" spans="1:3">
      <c r="A17" s="602" t="s">
        <v>189</v>
      </c>
      <c r="B17" s="178" t="s">
        <v>966</v>
      </c>
      <c r="C17" s="368"/>
    </row>
    <row r="18" spans="1:3">
      <c r="A18" s="602" t="s">
        <v>190</v>
      </c>
      <c r="B18" s="178" t="s">
        <v>966</v>
      </c>
      <c r="C18" s="368"/>
    </row>
    <row r="19" spans="1:3">
      <c r="A19" s="602" t="s">
        <v>191</v>
      </c>
      <c r="B19" s="178" t="s">
        <v>966</v>
      </c>
      <c r="C19" s="368"/>
    </row>
    <row r="20" spans="1:3">
      <c r="A20" s="602" t="s">
        <v>192</v>
      </c>
      <c r="B20" s="178" t="s">
        <v>966</v>
      </c>
      <c r="C20" s="368"/>
    </row>
    <row r="21" spans="1:3">
      <c r="A21" s="602" t="s">
        <v>193</v>
      </c>
      <c r="B21" s="178" t="s">
        <v>966</v>
      </c>
      <c r="C21" s="368"/>
    </row>
    <row r="22" spans="1:3">
      <c r="A22" s="602" t="s">
        <v>194</v>
      </c>
      <c r="B22" s="178" t="s">
        <v>966</v>
      </c>
      <c r="C22" s="368"/>
    </row>
    <row r="23" spans="1:3">
      <c r="A23" s="602" t="s">
        <v>195</v>
      </c>
      <c r="B23" s="178" t="s">
        <v>966</v>
      </c>
      <c r="C23" s="368"/>
    </row>
    <row r="24" spans="1:3">
      <c r="A24" s="602" t="s">
        <v>196</v>
      </c>
      <c r="B24" s="178" t="s">
        <v>966</v>
      </c>
      <c r="C24" s="368"/>
    </row>
    <row r="25" spans="1:3">
      <c r="A25" s="602" t="s">
        <v>197</v>
      </c>
      <c r="B25" s="178" t="s">
        <v>966</v>
      </c>
      <c r="C25" s="368"/>
    </row>
    <row r="26" spans="1:3">
      <c r="A26" s="602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1701</v>
      </c>
      <c r="C1" s="1500"/>
      <c r="D1" s="1500"/>
      <c r="F1" s="1500"/>
    </row>
    <row r="2" spans="1:32" s="1499" customFormat="1" ht="13.5" thickBot="1">
      <c r="B2" s="1500" t="s">
        <v>1636</v>
      </c>
      <c r="C2" s="1500"/>
      <c r="D2" s="1500"/>
      <c r="F2" s="1500"/>
      <c r="G2" s="1789" t="s">
        <v>1637</v>
      </c>
      <c r="H2" s="1789"/>
      <c r="I2" s="1789"/>
      <c r="J2" s="1789"/>
      <c r="K2" s="1789"/>
      <c r="L2" s="1789"/>
      <c r="N2" s="1781" t="s">
        <v>1638</v>
      </c>
      <c r="O2" s="1781"/>
      <c r="P2" s="1781"/>
      <c r="Q2" s="1781"/>
      <c r="S2" s="1781" t="s">
        <v>1639</v>
      </c>
      <c r="T2" s="1781"/>
      <c r="U2" s="1781"/>
      <c r="V2" s="1781"/>
    </row>
    <row r="3" spans="1:32" s="1499" customFormat="1" ht="14.25">
      <c r="B3" s="1501" t="s">
        <v>1695</v>
      </c>
      <c r="C3" s="1501" t="s">
        <v>42</v>
      </c>
      <c r="D3" s="1502" t="s">
        <v>1298</v>
      </c>
      <c r="E3" s="1502" t="s">
        <v>1299</v>
      </c>
      <c r="F3" s="1501" t="s">
        <v>50</v>
      </c>
      <c r="G3" s="1503" t="s">
        <v>1741</v>
      </c>
      <c r="H3" s="1503" t="s">
        <v>1742</v>
      </c>
      <c r="I3" s="1504" t="s">
        <v>1695</v>
      </c>
      <c r="J3" s="1504" t="s">
        <v>1700</v>
      </c>
      <c r="K3" s="1502" t="s">
        <v>1299</v>
      </c>
      <c r="L3" s="1504" t="s">
        <v>50</v>
      </c>
      <c r="N3" s="1504" t="s">
        <v>1695</v>
      </c>
      <c r="O3" s="1504" t="s">
        <v>1700</v>
      </c>
      <c r="P3" s="1502" t="s">
        <v>1299</v>
      </c>
      <c r="Q3" s="1504" t="s">
        <v>50</v>
      </c>
      <c r="S3" s="1504" t="s">
        <v>1695</v>
      </c>
      <c r="T3" s="1504" t="s">
        <v>1700</v>
      </c>
      <c r="U3" s="1502" t="s">
        <v>1299</v>
      </c>
      <c r="V3" s="1504" t="s">
        <v>50</v>
      </c>
    </row>
    <row r="4" spans="1:32" s="1510" customFormat="1" ht="14.25">
      <c r="A4" s="1505" t="s">
        <v>1744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1791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1745</v>
      </c>
      <c r="Y6" s="1528"/>
      <c r="Z6" s="1528"/>
      <c r="AA6" s="1528"/>
    </row>
    <row r="7" spans="1:32">
      <c r="A7" s="1529" t="s">
        <v>1790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1789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1788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1787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1785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1784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1783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1782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1761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1760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1758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1759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1753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3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1748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3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1747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3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1746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90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1743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5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1740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3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1640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3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1641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90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277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5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276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3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266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3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275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4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274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2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273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3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272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3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271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4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270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2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269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3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268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3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267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4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1642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6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1643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7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1644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7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1645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8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1646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2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1647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3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1648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3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1649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4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1650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2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1651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3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1652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3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1653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4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1654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2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1655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3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1656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3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1657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4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1658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2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1659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3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1660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3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1661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4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1662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2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1663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3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1664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3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1665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4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1666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2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1667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3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1668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3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1669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4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1670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2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1671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3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1672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3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1673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4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1674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2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1675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3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1676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3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1677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4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1678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2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1679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3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1680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3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1681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4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1682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2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1683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3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1684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3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1685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4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1686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2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1687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3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1688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3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1689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4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1696</v>
      </c>
      <c r="G89" s="1613"/>
      <c r="N89" s="1613"/>
      <c r="S89" s="1613"/>
    </row>
    <row r="90" spans="1:32" s="1612" customFormat="1">
      <c r="A90" s="1612" t="s">
        <v>1697</v>
      </c>
      <c r="G90" s="1613"/>
      <c r="N90" s="1613"/>
      <c r="S90" s="1613"/>
    </row>
    <row r="91" spans="1:32" s="1612" customFormat="1">
      <c r="A91" s="1612" t="s">
        <v>1698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1699</v>
      </c>
      <c r="G92" s="1613"/>
      <c r="N92" s="1613"/>
      <c r="S92" s="1613"/>
    </row>
    <row r="99" spans="14:29" ht="13.5" thickBot="1"/>
    <row r="100" spans="14:29" ht="24">
      <c r="S100" s="1616" t="s">
        <v>1690</v>
      </c>
      <c r="T100" s="1558" t="s">
        <v>1691</v>
      </c>
      <c r="U100" s="1558" t="s">
        <v>1692</v>
      </c>
      <c r="V100" s="1558" t="s">
        <v>1693</v>
      </c>
      <c r="W100" s="1559" t="s">
        <v>1694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1" t="s">
        <v>969</v>
      </c>
      <c r="H1" s="233">
        <f>'2014基准地价'!M18</f>
        <v>13</v>
      </c>
      <c r="I1" s="671" t="s">
        <v>1633</v>
      </c>
      <c r="J1" s="540" t="str">
        <f>'2014基准地价'!N19</f>
        <v>2017-1</v>
      </c>
      <c r="K1" s="280"/>
      <c r="L1" s="1338" t="s">
        <v>969</v>
      </c>
      <c r="M1" s="233">
        <f>'2002基准地价'!B24</f>
        <v>35</v>
      </c>
      <c r="N1" s="671" t="s">
        <v>1633</v>
      </c>
      <c r="O1" s="540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1" t="s">
        <v>1584</v>
      </c>
      <c r="B4" s="564"/>
      <c r="C4" s="564"/>
      <c r="D4" s="564"/>
      <c r="E4" s="564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1" t="s">
        <v>1181</v>
      </c>
      <c r="B5" s="564"/>
      <c r="C5" s="564"/>
      <c r="D5" s="564"/>
      <c r="E5" s="564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1" t="s">
        <v>1180</v>
      </c>
      <c r="B6" s="564"/>
      <c r="C6" s="564"/>
      <c r="D6" s="564"/>
      <c r="E6" s="564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1" t="s">
        <v>1179</v>
      </c>
      <c r="B7" s="564"/>
      <c r="C7" s="564"/>
      <c r="D7" s="564"/>
      <c r="E7" s="564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1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1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1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1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1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1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1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1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1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1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1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1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1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1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1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1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1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1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1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1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1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1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1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1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1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1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1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1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1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1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1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1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1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1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1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1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1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1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1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1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1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1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1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1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1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1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1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1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1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1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1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1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1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1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1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1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1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1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1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1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49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0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1702</v>
      </c>
      <c r="B1" s="1627">
        <f>SUM(B14:B23)</f>
        <v>1406.23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1703</v>
      </c>
      <c r="B2" s="1627">
        <f>SUM(C14:C23)</f>
        <v>644.47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1704</v>
      </c>
      <c r="B3" s="1630">
        <f>主表!B3</f>
        <v>45271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1705</v>
      </c>
      <c r="B4" s="1627" t="s">
        <v>1706</v>
      </c>
      <c r="C4" s="1627" t="s">
        <v>1707</v>
      </c>
      <c r="D4" s="1627" t="s">
        <v>1708</v>
      </c>
      <c r="E4" s="1625"/>
      <c r="F4" s="1628"/>
      <c r="G4" s="1628"/>
      <c r="H4" s="1628"/>
      <c r="I4" s="1628"/>
    </row>
    <row r="5" spans="1:9" ht="16.5">
      <c r="A5" s="1627" t="s">
        <v>1709</v>
      </c>
      <c r="B5" s="1627">
        <f>SUM(D14:D23)</f>
        <v>0</v>
      </c>
      <c r="C5" s="1627">
        <f>ROUND(B5*10000/$B$1,0)</f>
        <v>0</v>
      </c>
      <c r="D5" s="1627">
        <f>ROUND(B5*10000/$B$2,0)</f>
        <v>0</v>
      </c>
      <c r="E5" s="1625"/>
      <c r="F5" s="1628"/>
      <c r="G5" s="1628"/>
      <c r="H5" s="1628"/>
      <c r="I5" s="1628"/>
    </row>
    <row r="6" spans="1:9" ht="16.5">
      <c r="A6" s="1627" t="s">
        <v>1710</v>
      </c>
      <c r="B6" s="1627">
        <f>SUM(G14:G23)</f>
        <v>0</v>
      </c>
      <c r="C6" s="1627">
        <f>ROUND(B6*10000/$B$1,0)</f>
        <v>0</v>
      </c>
      <c r="D6" s="1627">
        <f>ROUND(B6*10000/$B$2,0)</f>
        <v>0</v>
      </c>
      <c r="E6" s="1625"/>
      <c r="F6" s="1628"/>
      <c r="G6" s="1628"/>
      <c r="H6" s="1628"/>
      <c r="I6" s="1628"/>
    </row>
    <row r="7" spans="1:9" ht="16.5">
      <c r="A7" s="1627" t="s">
        <v>1711</v>
      </c>
      <c r="B7" s="1627">
        <f>SUM(H14:H23)</f>
        <v>0</v>
      </c>
      <c r="C7" s="1627">
        <f>ROUND(B7*10000/$B$1,0)</f>
        <v>0</v>
      </c>
      <c r="D7" s="1627">
        <f>ROUND(B7*10000/$B$2,0)</f>
        <v>0</v>
      </c>
      <c r="E7" s="1625"/>
      <c r="F7" s="1628"/>
      <c r="G7" s="1628"/>
      <c r="H7" s="1628"/>
      <c r="I7" s="1628"/>
    </row>
    <row r="8" spans="1:9" ht="16.5">
      <c r="A8" s="1627" t="s">
        <v>1712</v>
      </c>
      <c r="B8" s="1627">
        <f>SUM(I14:I23)</f>
        <v>0</v>
      </c>
      <c r="C8" s="1627">
        <f>ROUND(B8*10000/$B$1,0)</f>
        <v>0</v>
      </c>
      <c r="D8" s="1627">
        <f>ROUND(B8*10000/$B$2,0)</f>
        <v>0</v>
      </c>
      <c r="E8" s="1625"/>
      <c r="F8" s="1628"/>
      <c r="G8" s="1628"/>
      <c r="H8" s="1628"/>
      <c r="I8" s="1628"/>
    </row>
    <row r="9" spans="1:9" ht="16.5">
      <c r="A9" s="1627" t="s">
        <v>1713</v>
      </c>
      <c r="B9" s="1449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1714</v>
      </c>
      <c r="B10" s="1449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1733</v>
      </c>
      <c r="B11" s="1626">
        <f ca="1">结果表!B19</f>
        <v>828.24699999999996</v>
      </c>
      <c r="C11" s="1626">
        <f ca="1">结果表!B18</f>
        <v>5890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1715</v>
      </c>
      <c r="B13" s="1632" t="s">
        <v>1716</v>
      </c>
      <c r="C13" s="1632" t="s">
        <v>1717</v>
      </c>
      <c r="D13" s="1632" t="s">
        <v>1718</v>
      </c>
      <c r="E13" s="1627" t="s">
        <v>1707</v>
      </c>
      <c r="F13" s="1627" t="s">
        <v>1719</v>
      </c>
      <c r="G13" s="1632" t="s">
        <v>1720</v>
      </c>
      <c r="H13" s="1632" t="s">
        <v>1721</v>
      </c>
      <c r="I13" s="1632" t="s">
        <v>1722</v>
      </c>
    </row>
    <row r="14" spans="1:9" ht="16.5">
      <c r="A14" s="1633" t="s">
        <v>1723</v>
      </c>
      <c r="B14" s="1634">
        <f>主表!B7</f>
        <v>1406.23</v>
      </c>
      <c r="C14" s="1634">
        <f>主表!B6</f>
        <v>644.47</v>
      </c>
      <c r="D14" s="1634"/>
      <c r="E14" s="1634">
        <f>ROUND(D14*10000/B14,0)</f>
        <v>0</v>
      </c>
      <c r="F14" s="1634">
        <f>ROUND(D14*10000/C14,0)</f>
        <v>0</v>
      </c>
      <c r="G14" s="1634"/>
      <c r="H14" s="1634"/>
      <c r="I14" s="1634"/>
    </row>
    <row r="15" spans="1:9" ht="16.5">
      <c r="A15" s="1633" t="s">
        <v>1724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49"/>
      <c r="H15" s="1449"/>
      <c r="I15" s="1635"/>
    </row>
    <row r="16" spans="1:9" ht="16.5">
      <c r="A16" s="1633" t="s">
        <v>1725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49"/>
      <c r="H16" s="1449"/>
      <c r="I16" s="1635"/>
    </row>
    <row r="17" spans="1:9" ht="16.5">
      <c r="A17" s="1633" t="s">
        <v>1726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49"/>
      <c r="H17" s="1449"/>
      <c r="I17" s="1635"/>
    </row>
    <row r="18" spans="1:9" ht="16.5">
      <c r="A18" s="1633" t="s">
        <v>1727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1728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1729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1730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1731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1732</v>
      </c>
      <c r="B23" s="1635"/>
      <c r="C23" s="1635"/>
      <c r="D23" s="1635"/>
      <c r="E23" s="1449" t="e">
        <f t="shared" si="0"/>
        <v>#DIV/0!</v>
      </c>
      <c r="F23" s="1449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B19" sqref="B19:C19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73" t="s">
        <v>1353</v>
      </c>
      <c r="B2" s="1673"/>
      <c r="C2" s="1673"/>
      <c r="D2" s="1673"/>
      <c r="E2" s="1673"/>
      <c r="F2" s="1673"/>
      <c r="G2" s="1673"/>
      <c r="H2" s="1637"/>
      <c r="I2" s="1636"/>
      <c r="X2" s="210"/>
      <c r="AG2" s="182"/>
    </row>
    <row r="3" spans="1:33" ht="13.5">
      <c r="A3" s="1674" t="s">
        <v>1354</v>
      </c>
      <c r="B3" s="1675"/>
      <c r="C3" s="1676"/>
      <c r="D3" s="1677" t="s">
        <v>1355</v>
      </c>
      <c r="E3" s="1675"/>
      <c r="F3" s="1675"/>
      <c r="G3" s="1678"/>
      <c r="H3" s="1637"/>
      <c r="I3" s="1636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79" t="s">
        <v>1356</v>
      </c>
      <c r="E4" s="1671"/>
      <c r="F4" s="1214" t="s">
        <v>1357</v>
      </c>
      <c r="G4" s="1216" t="s">
        <v>1359</v>
      </c>
      <c r="H4" s="1637"/>
      <c r="I4" s="1636"/>
      <c r="X4" s="210"/>
      <c r="AG4" s="182"/>
    </row>
    <row r="5" spans="1:33" ht="13.5">
      <c r="A5" s="1680" t="s">
        <v>1360</v>
      </c>
      <c r="B5" s="1665">
        <f>主表!F5</f>
        <v>2807</v>
      </c>
      <c r="C5" s="1681" t="s">
        <v>1361</v>
      </c>
      <c r="D5" s="1671" t="s">
        <v>1362</v>
      </c>
      <c r="E5" s="1672"/>
      <c r="F5" s="1217">
        <f>SUM(F6:F10)</f>
        <v>3053</v>
      </c>
      <c r="G5" s="1218" t="s">
        <v>1635</v>
      </c>
      <c r="H5" s="1637"/>
      <c r="I5" s="1636"/>
      <c r="X5" s="210"/>
      <c r="AG5" s="182"/>
    </row>
    <row r="6" spans="1:33" ht="27">
      <c r="A6" s="1680"/>
      <c r="B6" s="1665"/>
      <c r="C6" s="1681"/>
      <c r="D6" s="1682" t="s">
        <v>1383</v>
      </c>
      <c r="E6" s="1217" t="s">
        <v>1363</v>
      </c>
      <c r="F6" s="1217">
        <f>主表!F14</f>
        <v>2232</v>
      </c>
      <c r="G6" s="1218" t="s">
        <v>1364</v>
      </c>
      <c r="H6" s="1637"/>
      <c r="I6" s="1636"/>
      <c r="X6" s="210"/>
      <c r="AG6" s="182"/>
    </row>
    <row r="7" spans="1:33" ht="13.5">
      <c r="A7" s="1680"/>
      <c r="B7" s="1665"/>
      <c r="C7" s="1681"/>
      <c r="D7" s="1682"/>
      <c r="E7" s="1217" t="s">
        <v>1365</v>
      </c>
      <c r="F7" s="1217">
        <f>主表!F15</f>
        <v>400</v>
      </c>
      <c r="G7" s="1218"/>
      <c r="H7" s="1637"/>
      <c r="I7" s="1636"/>
      <c r="X7" s="210"/>
      <c r="AG7" s="182"/>
    </row>
    <row r="8" spans="1:33" ht="13.5">
      <c r="A8" s="1680"/>
      <c r="B8" s="1665"/>
      <c r="C8" s="1681"/>
      <c r="D8" s="1667" t="s">
        <v>1384</v>
      </c>
      <c r="E8" s="1668"/>
      <c r="F8" s="1217">
        <f>主表!F16</f>
        <v>158</v>
      </c>
      <c r="G8" s="1218" t="str">
        <f>"按建安工程费的"&amp;TEXT(主表!G16,"0.0%")&amp;"计取"</f>
        <v>按建安工程费的6.0%计取</v>
      </c>
      <c r="H8" s="1637"/>
      <c r="I8" s="1636"/>
      <c r="X8" s="210"/>
      <c r="AG8" s="182"/>
    </row>
    <row r="9" spans="1:33" ht="13.5">
      <c r="A9" s="1680"/>
      <c r="B9" s="1665"/>
      <c r="C9" s="1681"/>
      <c r="D9" s="1667" t="s">
        <v>1385</v>
      </c>
      <c r="E9" s="1668"/>
      <c r="F9" s="1217">
        <f>主表!F18</f>
        <v>0</v>
      </c>
      <c r="G9" s="1218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80"/>
      <c r="B10" s="1665"/>
      <c r="C10" s="1681"/>
      <c r="D10" s="1667" t="s">
        <v>1386</v>
      </c>
      <c r="E10" s="1668"/>
      <c r="F10" s="1217">
        <f>主表!F19</f>
        <v>263</v>
      </c>
      <c r="G10" s="1218" t="str">
        <f>"按建安工程费的"&amp;TEXT(主表!G19,"0.0%")&amp;"计取"</f>
        <v>按建安工程费的10.0%计取</v>
      </c>
      <c r="H10" s="1637"/>
      <c r="I10" s="1636"/>
      <c r="X10" s="210"/>
      <c r="AG10" s="182"/>
    </row>
    <row r="11" spans="1:33" ht="13.5">
      <c r="A11" s="1213" t="s">
        <v>1366</v>
      </c>
      <c r="B11" s="1217">
        <f>主表!F8</f>
        <v>56</v>
      </c>
      <c r="C11" s="1219" t="str">
        <f>"按前期开发成本的"&amp;TEXT(主表!G8,"0.0%")&amp;"计取"</f>
        <v>按前期开发成本的2.0%计取</v>
      </c>
      <c r="D11" s="1671" t="s">
        <v>1367</v>
      </c>
      <c r="E11" s="1672"/>
      <c r="F11" s="1217">
        <f>主表!F20</f>
        <v>92</v>
      </c>
      <c r="G11" s="1218" t="str">
        <f>"按房屋建设成本的"&amp;主表!G20&amp;"计取"</f>
        <v>按房屋建设成本的0.03计取</v>
      </c>
      <c r="H11" s="1637"/>
      <c r="I11" s="1636"/>
      <c r="X11" s="210"/>
      <c r="AG11" s="182"/>
    </row>
    <row r="12" spans="1:33" ht="40.5">
      <c r="A12" s="1213" t="s">
        <v>1368</v>
      </c>
      <c r="B12" s="1217">
        <f ca="1">主表!F9</f>
        <v>68</v>
      </c>
      <c r="C12" s="1220" t="str">
        <f ca="1">"前期开发期为"&amp;主表!B24&amp;"年，贷款利率为"&amp;TEXT(主表!G9,"0.00%")&amp;"，"&amp;主表!H9</f>
        <v>前期开发期为0.5年，贷款利率为4.86%，计息期为0.5年，复利计息</v>
      </c>
      <c r="D12" s="1671" t="s">
        <v>1369</v>
      </c>
      <c r="E12" s="1672"/>
      <c r="F12" s="1217">
        <f ca="1">主表!F21</f>
        <v>57</v>
      </c>
      <c r="G12" s="1218" t="str">
        <f ca="1">"房屋建设期为"&amp;主表!B23&amp;"年，贷款利率为"&amp;TEXT(主表!G21,"0.00%")&amp;"，"&amp;主表!H21</f>
        <v>房屋建设期为1年，贷款利率为3.65%，计息期为1年，复利计息</v>
      </c>
      <c r="H12" s="1637"/>
      <c r="I12" s="1636"/>
      <c r="X12" s="210"/>
      <c r="AG12" s="182"/>
    </row>
    <row r="13" spans="1:33" ht="27">
      <c r="A13" s="1213" t="s">
        <v>1370</v>
      </c>
      <c r="B13" s="1217">
        <f>主表!F10</f>
        <v>1145</v>
      </c>
      <c r="C13" s="1220" t="str">
        <f>"按前期开发成本及其管理费用的"&amp;TEXT(主表!G10,"0%")&amp;"计取"</f>
        <v>按前期开发成本及其管理费用的40%计取</v>
      </c>
      <c r="D13" s="1671" t="s">
        <v>1370</v>
      </c>
      <c r="E13" s="1672"/>
      <c r="F13" s="1217">
        <f>主表!F22</f>
        <v>1258</v>
      </c>
      <c r="G13" s="1218" t="str">
        <f>"按房屋建设成本及其管理费用的"&amp;TEXT(主表!G22,"0%")&amp;"计取"</f>
        <v>按房屋建设成本及其管理费用的40%计取</v>
      </c>
      <c r="H13" s="1637"/>
      <c r="I13" s="1636"/>
      <c r="X13" s="210"/>
      <c r="AG13" s="182"/>
    </row>
    <row r="14" spans="1:33" ht="13.5">
      <c r="A14" s="1213" t="s">
        <v>1371</v>
      </c>
      <c r="B14" s="1217">
        <f ca="1">SUM(B5:B13)</f>
        <v>4076</v>
      </c>
      <c r="C14" s="1220" t="s">
        <v>1372</v>
      </c>
      <c r="D14" s="1671" t="s">
        <v>1371</v>
      </c>
      <c r="E14" s="1672"/>
      <c r="F14" s="1217">
        <f ca="1">F5+F11+F12+F13</f>
        <v>4460</v>
      </c>
      <c r="G14" s="1218" t="s">
        <v>1372</v>
      </c>
      <c r="H14" s="1637"/>
      <c r="I14" s="1636"/>
      <c r="X14" s="210"/>
      <c r="AG14" s="182"/>
    </row>
    <row r="15" spans="1:33" ht="27.75" thickBot="1">
      <c r="A15" s="1213" t="s">
        <v>1373</v>
      </c>
      <c r="B15" s="1665">
        <f ca="1">主表!F24</f>
        <v>8536</v>
      </c>
      <c r="C15" s="1666"/>
      <c r="D15" s="1667" t="s">
        <v>1374</v>
      </c>
      <c r="E15" s="1668"/>
      <c r="F15" s="1668"/>
      <c r="G15" s="1669"/>
      <c r="H15" s="1637"/>
      <c r="I15" s="1636"/>
      <c r="X15" s="210"/>
      <c r="AG15" s="182"/>
    </row>
    <row r="16" spans="1:33" ht="27.75" thickBot="1">
      <c r="A16" s="1213" t="s">
        <v>1375</v>
      </c>
      <c r="B16" s="1665">
        <f ca="1">主表!F25</f>
        <v>1200.3579</v>
      </c>
      <c r="C16" s="1666"/>
      <c r="D16" s="1667" t="s">
        <v>1376</v>
      </c>
      <c r="E16" s="1668"/>
      <c r="F16" s="1668"/>
      <c r="G16" s="1669"/>
      <c r="H16" s="1222" t="str">
        <f ca="1">NUMBERSTRING(INT(B16*10000),2)&amp;"元整"</f>
        <v>壹仟贰佰万叁仟伍佰柒拾玖元整</v>
      </c>
      <c r="I16" s="1223"/>
      <c r="X16" s="210"/>
      <c r="AG16" s="182"/>
    </row>
    <row r="17" spans="1:33" ht="13.5">
      <c r="A17" s="1213" t="s">
        <v>1377</v>
      </c>
      <c r="B17" s="1670">
        <f>主表!F33</f>
        <v>0.69</v>
      </c>
      <c r="C17" s="1666"/>
      <c r="D17" s="1667" t="s">
        <v>1378</v>
      </c>
      <c r="E17" s="1668"/>
      <c r="F17" s="1668"/>
      <c r="G17" s="1669"/>
      <c r="H17" s="1637"/>
      <c r="I17" s="1636"/>
      <c r="X17" s="210"/>
      <c r="AG17" s="182"/>
    </row>
    <row r="18" spans="1:33" ht="27.75" thickBot="1">
      <c r="A18" s="1213" t="s">
        <v>1379</v>
      </c>
      <c r="B18" s="1665">
        <f ca="1">主表!F35</f>
        <v>5890</v>
      </c>
      <c r="C18" s="1666"/>
      <c r="D18" s="1667" t="s">
        <v>1380</v>
      </c>
      <c r="E18" s="1668"/>
      <c r="F18" s="1668"/>
      <c r="G18" s="1669"/>
      <c r="H18" s="1637"/>
      <c r="I18" s="1636"/>
      <c r="X18" s="210"/>
      <c r="AG18" s="182"/>
    </row>
    <row r="19" spans="1:33" ht="27.75" thickBot="1">
      <c r="A19" s="1221" t="s">
        <v>1381</v>
      </c>
      <c r="B19" s="1660">
        <f ca="1">主表!F36</f>
        <v>828.24699999999996</v>
      </c>
      <c r="C19" s="1661"/>
      <c r="D19" s="1662" t="s">
        <v>1382</v>
      </c>
      <c r="E19" s="1663"/>
      <c r="F19" s="1663"/>
      <c r="G19" s="1664"/>
      <c r="H19" s="1222" t="str">
        <f ca="1">NUMBERSTRING(INT(B19*10000),2)&amp;"元整"</f>
        <v>捌佰贰拾捌万贰仟肆佰柒拾元整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opLeftCell="A4" zoomScale="90" zoomScaleNormal="90" workbookViewId="0">
      <selection activeCell="F36" sqref="F36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5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50</v>
      </c>
    </row>
    <row r="3" spans="1:18" ht="15.75" customHeight="1">
      <c r="A3" s="1115" t="s">
        <v>1775</v>
      </c>
      <c r="B3" s="1479">
        <v>45271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17</v>
      </c>
    </row>
    <row r="4" spans="1:18" ht="15.75" customHeight="1">
      <c r="A4" s="1127" t="s">
        <v>1776</v>
      </c>
      <c r="B4" s="1479">
        <v>40427</v>
      </c>
      <c r="C4" s="1100"/>
      <c r="D4" s="1107" t="s">
        <v>1276</v>
      </c>
      <c r="E4" s="1108" t="s">
        <v>1569</v>
      </c>
      <c r="F4" s="1109">
        <f ca="1">F5+F8+F9+F10</f>
        <v>4076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0.02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1">
        <f>IF(B4&lt;DATE(2002,12,10),F6,F6-F7)</f>
        <v>2807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>
        <v>644.47</v>
      </c>
      <c r="C6" s="1100"/>
      <c r="D6" s="1119" t="s">
        <v>1268</v>
      </c>
      <c r="E6" s="1115" t="s">
        <v>1224</v>
      </c>
      <c r="F6" s="961">
        <f>IF(B4&lt;DATE(2002,12,10),'1993基准地价'!B3,IF(B4&gt;=DATE(2014,8,28),'2014基准地价'!B3,'2002基准地价'!B3))</f>
        <v>4563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1406.23</v>
      </c>
      <c r="C7" s="1100"/>
      <c r="D7" s="1119" t="s">
        <v>1269</v>
      </c>
      <c r="E7" s="1115" t="s">
        <v>1225</v>
      </c>
      <c r="F7" s="961">
        <f>IF(B4&lt;DATE(2002,12,10),'1993基准地价'!C14,IF(B4&gt;=DATE(2014,8,28),'2014基准地价'!B4,IF(H7="采用比较法计算",比较法!B3,IF(H7="扣毛地价",'2002基准地价'!B4,'2002基准地价'!B5))))</f>
        <v>1756</v>
      </c>
      <c r="G7" s="1124"/>
      <c r="H7" s="1265" t="s">
        <v>1800</v>
      </c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>
        <f>ROUND(B7/B6,2)</f>
        <v>2.1800000000000002</v>
      </c>
      <c r="C8" s="1100"/>
      <c r="D8" s="1126">
        <v>2</v>
      </c>
      <c r="E8" s="1127" t="s">
        <v>1227</v>
      </c>
      <c r="F8" s="1128">
        <f>ROUND(F5*G8,0)</f>
        <v>56</v>
      </c>
      <c r="G8" s="603">
        <v>0.02</v>
      </c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/>
      <c r="C9" s="1100"/>
      <c r="D9" s="1126">
        <v>3</v>
      </c>
      <c r="E9" s="1127" t="s">
        <v>1228</v>
      </c>
      <c r="F9" s="1128">
        <f ca="1">ROUND(F5*(POWER((1+G9),B24)-1)+F8*(POWER((1+G9),B24/2)-1),0)</f>
        <v>68</v>
      </c>
      <c r="G9" s="1130">
        <f ca="1">存贷款利率!G2</f>
        <v>4.8600000000000004E-2</v>
      </c>
      <c r="H9" s="1131" t="str">
        <f>"计息期为"&amp;B24&amp;"年，"&amp;"复利计息"</f>
        <v>计息期为0.5年，复利计息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483" t="s">
        <v>34</v>
      </c>
      <c r="C10" s="1100"/>
      <c r="D10" s="1134">
        <v>4</v>
      </c>
      <c r="E10" s="1135" t="s">
        <v>1229</v>
      </c>
      <c r="F10" s="1136">
        <f>ROUND((F5+F8)*G10,0)</f>
        <v>1145</v>
      </c>
      <c r="G10" s="468">
        <v>0.4</v>
      </c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4"/>
      <c r="C11" s="1100"/>
      <c r="D11" s="1140" t="s">
        <v>1282</v>
      </c>
      <c r="E11" s="1141" t="s">
        <v>1571</v>
      </c>
      <c r="F11" s="1109">
        <f ca="1">F12+F20+F21+F22</f>
        <v>4460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5" t="s">
        <v>1799</v>
      </c>
      <c r="C12" s="1100"/>
      <c r="D12" s="1126">
        <v>1</v>
      </c>
      <c r="E12" s="1127" t="s">
        <v>1572</v>
      </c>
      <c r="F12" s="1128">
        <f>F13+F16+F17</f>
        <v>3053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6">
        <v>40</v>
      </c>
      <c r="C13" s="1100"/>
      <c r="D13" s="1119" t="s">
        <v>1268</v>
      </c>
      <c r="E13" s="1127" t="s">
        <v>1233</v>
      </c>
      <c r="F13" s="1128">
        <f>F14+F15</f>
        <v>2632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7">
        <v>54186</v>
      </c>
      <c r="C14" s="1100"/>
      <c r="D14" s="1126" t="s">
        <v>1271</v>
      </c>
      <c r="E14" s="1127" t="s">
        <v>1234</v>
      </c>
      <c r="F14" s="1655">
        <f>ROUND(Sheet2!A9*1.3052,0)</f>
        <v>2232</v>
      </c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8">
        <f>IF(B14="",B13-(YEAR($B$4)-B22+B23+B24),ROUNDDOWN(MIN((B14-$B$4)/365,B13),2))</f>
        <v>37.69</v>
      </c>
      <c r="C15" s="1100"/>
      <c r="D15" s="1126" t="s">
        <v>1272</v>
      </c>
      <c r="E15" s="1127" t="s">
        <v>1235</v>
      </c>
      <c r="F15" s="1655">
        <v>400</v>
      </c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/>
      <c r="C16" s="1100"/>
      <c r="D16" s="1119" t="s">
        <v>1269</v>
      </c>
      <c r="E16" s="1127" t="s">
        <v>1236</v>
      </c>
      <c r="F16" s="961">
        <f>ROUND(F13*G16,0)</f>
        <v>158</v>
      </c>
      <c r="G16" s="467">
        <v>0.06</v>
      </c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9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263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90">
        <f>IF(ISERROR(ROUND(POWER(1+B17,B13-B15)*(POWER(1+B17,B15)-1)/(POWER(1+B17,B13)-1),3)),0,ROUND(POWER(1+B17,B13-B15)*(POWER(1+B17,B15)-1)/(POWER(1+B17,B13)-1),3))</f>
        <v>0.97499999999999998</v>
      </c>
      <c r="C18" s="1100"/>
      <c r="D18" s="1126" t="s">
        <v>1273</v>
      </c>
      <c r="E18" s="1127" t="s">
        <v>1283</v>
      </c>
      <c r="F18" s="961">
        <f>ROUND(IF(B12="住宅/居住",F13*G18,0),0)</f>
        <v>0</v>
      </c>
      <c r="G18" s="467">
        <v>0</v>
      </c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1">
        <f>ROUND(F13*G19,0)</f>
        <v>263</v>
      </c>
      <c r="G19" s="467">
        <v>0.1</v>
      </c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1" t="s">
        <v>1802</v>
      </c>
      <c r="C20" s="1100"/>
      <c r="D20" s="1126">
        <v>2</v>
      </c>
      <c r="E20" s="1127" t="s">
        <v>1227</v>
      </c>
      <c r="F20" s="1128">
        <f>ROUND(F12*G20,0)</f>
        <v>92</v>
      </c>
      <c r="G20" s="603">
        <v>0.03</v>
      </c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2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57</v>
      </c>
      <c r="G21" s="1302">
        <f ca="1">存贷款利率!G1</f>
        <v>3.6499999999999998E-2</v>
      </c>
      <c r="H21" s="1131" t="str">
        <f>"计息期为"&amp;B23&amp;"年，"&amp;"复利计息"</f>
        <v>计息期为1年，复利计息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3">
        <v>2006</v>
      </c>
      <c r="C22" s="1100"/>
      <c r="D22" s="1134">
        <v>4</v>
      </c>
      <c r="E22" s="1135" t="s">
        <v>1574</v>
      </c>
      <c r="F22" s="1136">
        <f>ROUND((F12+F20)*G22,0)</f>
        <v>1258</v>
      </c>
      <c r="G22" s="468">
        <f>G10</f>
        <v>0.4</v>
      </c>
      <c r="H22" s="1137" t="s">
        <v>1231</v>
      </c>
      <c r="I22" s="1121" t="str">
        <f>IF(B12="商业","商业用途35%-50%",IF(B12="工业","工业用途18%-28%",IF(B12="办公/综合","办公用途25%-40%","居住用途30%-50%")))</f>
        <v>商业用途35%-50%</v>
      </c>
      <c r="J22" s="1097"/>
      <c r="K22" s="1097"/>
      <c r="L22" s="1097"/>
    </row>
    <row r="23" spans="1:18" ht="15.75" customHeight="1" thickTop="1">
      <c r="A23" s="1127" t="s">
        <v>1780</v>
      </c>
      <c r="B23" s="1494">
        <v>1</v>
      </c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4">
        <v>0.5</v>
      </c>
      <c r="C24" s="1097"/>
      <c r="D24" s="1114">
        <v>1</v>
      </c>
      <c r="E24" s="1115" t="s">
        <v>1245</v>
      </c>
      <c r="F24" s="961">
        <f ca="1">F4+F11</f>
        <v>8536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1200.3579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ROUND(IF(AND(B12&lt;&gt;"住宅/居住",B13&lt;O2),1-(1-O4)*O3/O2,1-(1-O4)*O3/O2),2)</f>
        <v>0.67</v>
      </c>
      <c r="G28" s="469">
        <v>0.3</v>
      </c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0.7</v>
      </c>
      <c r="G29" s="1161">
        <f>1-G28</f>
        <v>0.7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1656">
        <v>70</v>
      </c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1">
        <f>F30</f>
        <v>70</v>
      </c>
      <c r="G31" s="1161">
        <f>IF(ISNUMBER(FIND("砖木",B20)),O31,SUMPRODUCT((N30:N32=E31)*(O29:R29=B20)*(O30:R32)))</f>
        <v>0.45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1">
        <f>F31</f>
        <v>70</v>
      </c>
      <c r="G32" s="1161">
        <f>IF(ISNUMBER(FIND("砖木",B20)),O32,SUMPRODUCT((N30:N32=E32)*(O29:R29=B20)*(O30:R32)))</f>
        <v>0.35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0.69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5890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828.24699999999996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B935-0C45-42AF-BDEE-A116AB8DD2D5}">
  <dimension ref="A3:G43"/>
  <sheetViews>
    <sheetView tabSelected="1" workbookViewId="0">
      <selection activeCell="G16" sqref="G16"/>
    </sheetView>
  </sheetViews>
  <sheetFormatPr defaultRowHeight="13.5"/>
  <sheetData>
    <row r="3" spans="1:7">
      <c r="C3" s="749"/>
    </row>
    <row r="4" spans="1:7">
      <c r="C4" s="749"/>
    </row>
    <row r="5" spans="1:7">
      <c r="C5" s="1791" t="s">
        <v>1803</v>
      </c>
      <c r="D5" s="1792">
        <v>2.6</v>
      </c>
      <c r="E5" s="1792">
        <v>3.9</v>
      </c>
      <c r="F5" s="1792">
        <f>(E5-D5)*10*1.5%*A8</f>
        <v>567.44999999999993</v>
      </c>
      <c r="G5" s="1694">
        <f>ROUND(AVERAGE(F5:F6),2)</f>
        <v>589.28</v>
      </c>
    </row>
    <row r="6" spans="1:7">
      <c r="C6" s="1791" t="s">
        <v>1803</v>
      </c>
      <c r="D6" s="1792">
        <v>2.5</v>
      </c>
      <c r="E6" s="1792">
        <v>3.9</v>
      </c>
      <c r="F6" s="1792">
        <f>(E6-D6)*10*1.5%*A8</f>
        <v>611.1</v>
      </c>
      <c r="G6" s="1694"/>
    </row>
    <row r="7" spans="1:7">
      <c r="A7">
        <v>1560</v>
      </c>
      <c r="C7" s="1791" t="s">
        <v>1795</v>
      </c>
      <c r="D7" s="1792">
        <v>40</v>
      </c>
      <c r="E7" s="1792">
        <v>200</v>
      </c>
      <c r="F7" s="1792"/>
      <c r="G7" s="1793">
        <f>(D7+E7)/2</f>
        <v>120</v>
      </c>
    </row>
    <row r="8" spans="1:7">
      <c r="A8">
        <v>2910</v>
      </c>
      <c r="C8" s="1791" t="s">
        <v>1804</v>
      </c>
      <c r="D8" s="1792">
        <v>0</v>
      </c>
      <c r="E8" s="1794">
        <v>-0.05</v>
      </c>
      <c r="F8" s="1792"/>
      <c r="G8" s="1793">
        <f>A8*5%</f>
        <v>145.5</v>
      </c>
    </row>
    <row r="9" spans="1:7">
      <c r="A9">
        <f>A8-G16</f>
        <v>1710.22</v>
      </c>
      <c r="C9" s="1791" t="s">
        <v>1796</v>
      </c>
      <c r="D9" s="1792">
        <v>20</v>
      </c>
      <c r="E9" s="1792">
        <v>120</v>
      </c>
      <c r="F9" s="1792"/>
      <c r="G9" s="1793">
        <f>(D9+E9)/2</f>
        <v>70</v>
      </c>
    </row>
    <row r="10" spans="1:7">
      <c r="C10" s="1791" t="s">
        <v>1797</v>
      </c>
      <c r="D10" s="1792">
        <v>150</v>
      </c>
      <c r="E10" s="1792">
        <v>400</v>
      </c>
      <c r="F10" s="1792"/>
      <c r="G10" s="1793">
        <f>(D10+E10)/2</f>
        <v>275</v>
      </c>
    </row>
    <row r="11" spans="1:7">
      <c r="C11" s="1791"/>
      <c r="D11" s="1792"/>
      <c r="E11" s="1792"/>
      <c r="F11" s="1792"/>
      <c r="G11" s="305"/>
    </row>
    <row r="12" spans="1:7">
      <c r="C12" s="1791"/>
      <c r="D12" s="1792"/>
      <c r="E12" s="1792"/>
      <c r="F12" s="1792"/>
      <c r="G12" s="305"/>
    </row>
    <row r="13" spans="1:7">
      <c r="C13" s="1791"/>
      <c r="D13" s="1792"/>
      <c r="E13" s="1792"/>
      <c r="F13" s="1792"/>
      <c r="G13" s="305"/>
    </row>
    <row r="14" spans="1:7">
      <c r="C14" s="1791"/>
      <c r="D14" s="1792"/>
      <c r="E14" s="1792"/>
      <c r="F14" s="1792"/>
      <c r="G14" s="305"/>
    </row>
    <row r="15" spans="1:7">
      <c r="C15" s="1791"/>
      <c r="D15" s="1792"/>
      <c r="E15" s="1792"/>
      <c r="F15" s="1792"/>
      <c r="G15" s="305"/>
    </row>
    <row r="16" spans="1:7">
      <c r="G16" s="305">
        <f>SUM(G5:G15)</f>
        <v>1199.78</v>
      </c>
    </row>
    <row r="43" ht="12.75" customHeight="1"/>
  </sheetData>
  <mergeCells count="1">
    <mergeCell ref="G5:G6"/>
  </mergeCells>
  <phoneticPr fontId="10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5" customWidth="1"/>
    <col min="2" max="2" width="19.25" style="731" customWidth="1"/>
    <col min="3" max="4" width="12" style="664" customWidth="1"/>
    <col min="5" max="5" width="14.625" style="664" customWidth="1"/>
    <col min="6" max="7" width="12" style="664" customWidth="1"/>
    <col min="8" max="8" width="15" style="664" customWidth="1"/>
    <col min="9" max="9" width="12.75" style="664" bestFit="1" customWidth="1"/>
    <col min="10" max="10" width="12" style="664" customWidth="1"/>
    <col min="11" max="11" width="9.5" style="663" customWidth="1"/>
    <col min="12" max="12" width="12" style="664" customWidth="1"/>
    <col min="13" max="13" width="8.5" style="664" customWidth="1"/>
    <col min="14" max="14" width="9.75" style="664" customWidth="1"/>
    <col min="15" max="25" width="12" style="664" customWidth="1"/>
    <col min="26" max="26" width="9.375" style="665" customWidth="1"/>
    <col min="27" max="32" width="9.375" style="666" customWidth="1"/>
    <col min="33" max="36" width="9.375" style="665" customWidth="1"/>
    <col min="37" max="38" width="9.375" style="664" customWidth="1"/>
    <col min="39" max="16384" width="9" style="664"/>
  </cols>
  <sheetData>
    <row r="1" spans="1:36" ht="20.25">
      <c r="A1" s="622" t="s">
        <v>1468</v>
      </c>
      <c r="B1" s="761"/>
      <c r="C1" s="662" t="s">
        <v>1178</v>
      </c>
      <c r="D1" s="471">
        <f>主表!B7</f>
        <v>1406.23</v>
      </c>
      <c r="E1" s="661" t="s">
        <v>1555</v>
      </c>
      <c r="F1" s="1231"/>
      <c r="G1" s="1401"/>
      <c r="H1" s="661"/>
      <c r="I1" s="661"/>
      <c r="J1" s="661"/>
      <c r="L1" s="754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7"/>
      <c r="AA1" s="667"/>
      <c r="AB1" s="667"/>
      <c r="AC1" s="667"/>
      <c r="AD1" s="667"/>
      <c r="AE1" s="667"/>
      <c r="AF1" s="667"/>
    </row>
    <row r="2" spans="1:36" ht="24">
      <c r="A2" s="662" t="s">
        <v>910</v>
      </c>
      <c r="B2" s="31" t="e">
        <f ca="1">C26</f>
        <v>#DIV/0!</v>
      </c>
      <c r="C2" s="623" t="s">
        <v>981</v>
      </c>
      <c r="D2" s="669" t="s">
        <v>984</v>
      </c>
      <c r="E2" s="670" t="str">
        <f>主表!B12</f>
        <v>商业</v>
      </c>
      <c r="F2" s="669" t="s">
        <v>911</v>
      </c>
      <c r="G2" s="671" t="str">
        <f>主表!B10</f>
        <v>六级</v>
      </c>
      <c r="H2" s="762" t="s">
        <v>912</v>
      </c>
      <c r="I2" s="621">
        <f>主表!B11</f>
        <v>0</v>
      </c>
      <c r="J2" s="661"/>
      <c r="L2" s="473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3"/>
      <c r="P2" s="663"/>
      <c r="Q2" s="663"/>
      <c r="R2" s="663"/>
      <c r="S2" s="663"/>
      <c r="T2" s="663"/>
      <c r="U2" s="663"/>
      <c r="V2" s="663"/>
      <c r="W2" s="663"/>
      <c r="X2" s="663"/>
      <c r="Y2" s="663"/>
      <c r="Z2" s="667"/>
      <c r="AA2" s="667"/>
      <c r="AB2" s="667"/>
      <c r="AC2" s="667"/>
      <c r="AD2" s="667"/>
      <c r="AE2" s="667"/>
      <c r="AF2" s="667"/>
    </row>
    <row r="3" spans="1:36" ht="15.75">
      <c r="A3" s="763" t="s">
        <v>913</v>
      </c>
      <c r="B3" s="31">
        <f>IF(F1="地上",C29,SUMIF(B33:B39,G1,C33:C39))</f>
        <v>0</v>
      </c>
      <c r="C3" s="623" t="s">
        <v>914</v>
      </c>
      <c r="D3" s="669" t="s">
        <v>253</v>
      </c>
      <c r="E3" s="672" t="s">
        <v>1792</v>
      </c>
      <c r="F3" s="1375" t="s">
        <v>1219</v>
      </c>
      <c r="G3" s="197">
        <f>IF(F3="容积率",主表!B8,主表!B9)</f>
        <v>2.1800000000000002</v>
      </c>
      <c r="H3" s="669" t="s">
        <v>254</v>
      </c>
      <c r="I3" s="370">
        <v>1</v>
      </c>
      <c r="J3" s="661" t="s">
        <v>255</v>
      </c>
      <c r="L3" s="473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3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7"/>
      <c r="AA3" s="667"/>
      <c r="AB3" s="667"/>
      <c r="AC3" s="667"/>
      <c r="AD3" s="667"/>
      <c r="AE3" s="667"/>
      <c r="AF3" s="667"/>
    </row>
    <row r="4" spans="1:36" ht="14.25">
      <c r="A4" s="763" t="s">
        <v>1755</v>
      </c>
      <c r="B4" s="686">
        <f>IF(F1="地上",C30,SUMIF(B33:B39,G1,G33:G39))</f>
        <v>0</v>
      </c>
      <c r="C4" s="686"/>
      <c r="D4" s="686"/>
      <c r="E4" s="686"/>
      <c r="F4" s="686"/>
      <c r="G4" s="686"/>
      <c r="H4" s="686"/>
      <c r="I4" s="686"/>
      <c r="J4" s="1460"/>
      <c r="L4" s="473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7"/>
      <c r="AA4" s="667"/>
      <c r="AB4" s="667"/>
      <c r="AC4" s="667"/>
      <c r="AD4" s="667"/>
      <c r="AE4" s="667"/>
      <c r="AF4" s="667"/>
    </row>
    <row r="5" spans="1:36" s="680" customFormat="1" ht="15.75" thickBot="1">
      <c r="A5" s="764" t="s">
        <v>915</v>
      </c>
      <c r="B5" s="765" t="s">
        <v>916</v>
      </c>
      <c r="C5" s="344" t="e">
        <f>ROUND(IF(E2="商业",C6*C7+C16,(IF(E2="住宅/居住",C6*C12+C16,C6+C16))),0)</f>
        <v>#DIV/0!</v>
      </c>
      <c r="D5" s="1454">
        <f>ROUND(C6+C16,0)</f>
        <v>-120</v>
      </c>
      <c r="E5" s="1454">
        <f>ROUND(IF(E2="住宅",IF(F17="增加",C6*C7+C16,C6*C7-C16)),0)</f>
        <v>0</v>
      </c>
      <c r="F5" s="766"/>
      <c r="G5" s="767"/>
      <c r="H5" s="767"/>
      <c r="I5" s="767"/>
      <c r="J5" s="768"/>
      <c r="K5" s="679"/>
      <c r="L5" s="473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3"/>
      <c r="P5" s="663"/>
      <c r="Q5" s="663"/>
      <c r="R5" s="663"/>
      <c r="S5" s="663"/>
      <c r="T5" s="663"/>
      <c r="U5" s="663"/>
      <c r="V5" s="663"/>
      <c r="W5" s="663"/>
      <c r="X5" s="663"/>
      <c r="Y5" s="663"/>
      <c r="Z5" s="681"/>
      <c r="AA5" s="681"/>
      <c r="AB5" s="681"/>
      <c r="AC5" s="681"/>
      <c r="AD5" s="681"/>
      <c r="AE5" s="681"/>
      <c r="AF5" s="681"/>
      <c r="AG5" s="682"/>
      <c r="AH5" s="682"/>
      <c r="AI5" s="682"/>
      <c r="AJ5" s="682"/>
    </row>
    <row r="6" spans="1:36" ht="15" thickBot="1">
      <c r="A6" s="769">
        <v>1</v>
      </c>
      <c r="B6" s="770" t="s">
        <v>916</v>
      </c>
      <c r="C6" s="347">
        <f>SUMIF(L1:L12,G2,M1:M12)</f>
        <v>0</v>
      </c>
      <c r="D6" s="771" t="s">
        <v>1469</v>
      </c>
      <c r="E6" s="772"/>
      <c r="F6" s="772"/>
      <c r="G6" s="773"/>
      <c r="H6" s="773"/>
      <c r="I6" s="773"/>
      <c r="J6" s="774"/>
      <c r="K6" s="689"/>
      <c r="L6" s="473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7"/>
      <c r="AA6" s="667"/>
      <c r="AB6" s="667"/>
      <c r="AC6" s="667"/>
      <c r="AD6" s="667"/>
      <c r="AE6" s="667"/>
      <c r="AF6" s="667"/>
    </row>
    <row r="7" spans="1:36" ht="24">
      <c r="A7" s="1702">
        <f>IF(E2="商业",IF(C8="不临58条商业街","",2),"")</f>
        <v>2</v>
      </c>
      <c r="B7" s="775" t="s">
        <v>917</v>
      </c>
      <c r="C7" s="348" t="e">
        <f>IF(C8="不临58条商业街",1,ROUND(1+(1.6*E8+1.2*E9+0.8*E10+0.4*E11)*C9,4))</f>
        <v>#DIV/0!</v>
      </c>
      <c r="D7" s="736" t="s">
        <v>918</v>
      </c>
      <c r="E7" s="371"/>
      <c r="F7" s="776"/>
      <c r="G7" s="777"/>
      <c r="H7" s="777"/>
      <c r="I7" s="777"/>
      <c r="J7" s="778"/>
      <c r="K7" s="689"/>
      <c r="L7" s="473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3"/>
      <c r="P7" s="663"/>
      <c r="Q7" s="663"/>
      <c r="R7" s="663"/>
      <c r="S7" s="663"/>
      <c r="T7" s="663"/>
      <c r="U7" s="663"/>
      <c r="V7" s="663"/>
      <c r="W7" s="663"/>
      <c r="X7" s="663"/>
      <c r="Y7" s="663"/>
      <c r="Z7" s="667"/>
      <c r="AA7" s="667"/>
      <c r="AB7" s="667"/>
      <c r="AC7" s="667"/>
      <c r="AD7" s="667"/>
      <c r="AE7" s="667"/>
      <c r="AF7" s="667"/>
    </row>
    <row r="8" spans="1:36" ht="14.25">
      <c r="A8" s="1703"/>
      <c r="B8" s="669" t="s">
        <v>919</v>
      </c>
      <c r="C8" s="878"/>
      <c r="D8" s="351" t="s">
        <v>256</v>
      </c>
      <c r="E8" s="352" t="e">
        <f>ROUND(C11/E7,4)</f>
        <v>#DIV/0!</v>
      </c>
      <c r="F8" s="890" t="s">
        <v>1485</v>
      </c>
      <c r="G8" s="780"/>
      <c r="H8" s="780"/>
      <c r="I8" s="780"/>
      <c r="J8" s="781"/>
      <c r="L8" s="473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3"/>
      <c r="P8" s="663"/>
      <c r="Q8" s="663"/>
      <c r="R8" s="663"/>
      <c r="S8" s="663"/>
      <c r="T8" s="663"/>
      <c r="U8" s="663"/>
      <c r="V8" s="663"/>
      <c r="W8" s="663"/>
      <c r="X8" s="663"/>
      <c r="Y8" s="663"/>
      <c r="Z8" s="667"/>
      <c r="AA8" s="667"/>
      <c r="AB8" s="667"/>
      <c r="AC8" s="667"/>
      <c r="AD8" s="667"/>
      <c r="AE8" s="667"/>
      <c r="AF8" s="667"/>
    </row>
    <row r="9" spans="1:36" ht="14.25">
      <c r="A9" s="1703"/>
      <c r="B9" s="669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0" t="s">
        <v>1486</v>
      </c>
      <c r="G9" s="780"/>
      <c r="H9" s="780"/>
      <c r="I9" s="780"/>
      <c r="J9" s="781"/>
      <c r="L9" s="473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3"/>
      <c r="P9" s="663"/>
      <c r="Q9" s="663"/>
      <c r="R9" s="663"/>
      <c r="S9" s="663"/>
      <c r="T9" s="663"/>
      <c r="U9" s="663"/>
      <c r="V9" s="663"/>
      <c r="W9" s="663"/>
      <c r="X9" s="663"/>
      <c r="Y9" s="663"/>
      <c r="Z9" s="667"/>
      <c r="AA9" s="667"/>
      <c r="AB9" s="667"/>
      <c r="AC9" s="667"/>
      <c r="AD9" s="667"/>
      <c r="AE9" s="667"/>
      <c r="AF9" s="667"/>
    </row>
    <row r="10" spans="1:36" ht="14.25">
      <c r="A10" s="1703"/>
      <c r="B10" s="669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0" t="s">
        <v>1487</v>
      </c>
      <c r="G10" s="780"/>
      <c r="H10" s="780"/>
      <c r="I10" s="780"/>
      <c r="J10" s="781"/>
      <c r="L10" s="473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3"/>
      <c r="P10" s="663"/>
      <c r="Q10" s="663"/>
      <c r="R10" s="663"/>
      <c r="S10" s="663"/>
      <c r="T10" s="663"/>
      <c r="U10" s="663"/>
      <c r="V10" s="663"/>
      <c r="W10" s="663"/>
      <c r="X10" s="663"/>
      <c r="Y10" s="663"/>
      <c r="Z10" s="667"/>
      <c r="AA10" s="667"/>
      <c r="AB10" s="667"/>
      <c r="AC10" s="667"/>
      <c r="AD10" s="667"/>
      <c r="AE10" s="667"/>
      <c r="AF10" s="667"/>
    </row>
    <row r="11" spans="1:36" ht="15" thickBot="1">
      <c r="A11" s="1703"/>
      <c r="B11" s="782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1" t="s">
        <v>1488</v>
      </c>
      <c r="G11" s="783"/>
      <c r="H11" s="783"/>
      <c r="I11" s="783"/>
      <c r="J11" s="784"/>
      <c r="L11" s="473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3"/>
      <c r="P11" s="663"/>
      <c r="Q11" s="663"/>
      <c r="R11" s="663"/>
      <c r="S11" s="663"/>
      <c r="T11" s="663"/>
      <c r="U11" s="663"/>
      <c r="V11" s="663"/>
      <c r="W11" s="663"/>
      <c r="X11" s="663"/>
      <c r="Y11" s="663"/>
      <c r="Z11" s="667"/>
      <c r="AA11" s="667"/>
      <c r="AB11" s="667"/>
      <c r="AC11" s="667"/>
      <c r="AD11" s="667"/>
      <c r="AE11" s="667"/>
      <c r="AF11" s="667"/>
    </row>
    <row r="12" spans="1:36" ht="24.75" thickBot="1">
      <c r="A12" s="1702" t="str">
        <f>IF(E2="住宅/居住",2,"")</f>
        <v/>
      </c>
      <c r="B12" s="785" t="s">
        <v>923</v>
      </c>
      <c r="C12" s="348">
        <f>ROUND(C15*D15*E15*F15*G15*H15*I15*J15,4)</f>
        <v>1.32</v>
      </c>
      <c r="D12" s="786" t="s">
        <v>924</v>
      </c>
      <c r="E12" s="787"/>
      <c r="F12" s="787"/>
      <c r="G12" s="788"/>
      <c r="H12" s="788"/>
      <c r="I12" s="788"/>
      <c r="J12" s="789"/>
      <c r="L12" s="759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3"/>
      <c r="P12" s="663"/>
      <c r="Q12" s="663"/>
      <c r="R12" s="663"/>
      <c r="S12" s="663"/>
      <c r="T12" s="663"/>
      <c r="U12" s="663"/>
      <c r="V12" s="663"/>
      <c r="W12" s="663"/>
      <c r="X12" s="663"/>
      <c r="Y12" s="663"/>
      <c r="Z12" s="667"/>
      <c r="AA12" s="667"/>
      <c r="AB12" s="667"/>
      <c r="AC12" s="667"/>
      <c r="AD12" s="667"/>
      <c r="AE12" s="667"/>
      <c r="AF12" s="667"/>
    </row>
    <row r="13" spans="1:36" ht="24">
      <c r="A13" s="1704"/>
      <c r="B13" s="790" t="s">
        <v>1470</v>
      </c>
      <c r="C13" s="307" t="s">
        <v>1471</v>
      </c>
      <c r="D13" s="608" t="s">
        <v>1472</v>
      </c>
      <c r="E13" s="608" t="s">
        <v>1473</v>
      </c>
      <c r="F13" s="791" t="s">
        <v>260</v>
      </c>
      <c r="G13" s="792" t="s">
        <v>967</v>
      </c>
      <c r="H13" s="792" t="s">
        <v>967</v>
      </c>
      <c r="I13" s="792" t="s">
        <v>967</v>
      </c>
      <c r="J13" s="793" t="s">
        <v>967</v>
      </c>
      <c r="L13" s="663"/>
      <c r="M13" s="663"/>
      <c r="N13" s="663"/>
      <c r="O13" s="663"/>
      <c r="P13" s="663"/>
      <c r="Q13" s="663"/>
      <c r="R13" s="663"/>
      <c r="S13" s="663"/>
      <c r="T13" s="663"/>
      <c r="U13" s="663"/>
      <c r="V13" s="663"/>
      <c r="W13" s="663"/>
      <c r="X13" s="663"/>
      <c r="Y13" s="663"/>
      <c r="Z13" s="667"/>
      <c r="AA13" s="667"/>
      <c r="AB13" s="667"/>
      <c r="AC13" s="667"/>
      <c r="AD13" s="667"/>
      <c r="AE13" s="667"/>
      <c r="AF13" s="667"/>
    </row>
    <row r="14" spans="1:36">
      <c r="A14" s="1704"/>
      <c r="B14" s="794"/>
      <c r="C14" s="795" t="s">
        <v>26</v>
      </c>
      <c r="D14" s="747" t="s">
        <v>26</v>
      </c>
      <c r="E14" s="747" t="s">
        <v>25</v>
      </c>
      <c r="F14" s="796" t="s">
        <v>261</v>
      </c>
      <c r="G14" s="797" t="s">
        <v>951</v>
      </c>
      <c r="H14" s="661"/>
      <c r="I14" s="798"/>
      <c r="J14" s="799"/>
      <c r="L14" s="663"/>
      <c r="M14" s="663"/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7"/>
      <c r="AA14" s="667"/>
      <c r="AB14" s="667"/>
      <c r="AC14" s="667"/>
      <c r="AD14" s="667"/>
      <c r="AE14" s="667"/>
      <c r="AF14" s="667"/>
    </row>
    <row r="15" spans="1:36" ht="13.5" thickBot="1">
      <c r="A15" s="1705"/>
      <c r="B15" s="800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3"/>
      <c r="R15" s="663"/>
      <c r="S15" s="663"/>
      <c r="T15" s="663"/>
      <c r="U15" s="663"/>
      <c r="V15" s="663"/>
      <c r="W15" s="663"/>
      <c r="X15" s="663"/>
      <c r="Y15" s="663"/>
      <c r="Z15" s="667"/>
      <c r="AA15" s="667"/>
      <c r="AB15" s="667"/>
      <c r="AC15" s="667"/>
      <c r="AD15" s="667"/>
      <c r="AE15" s="667"/>
      <c r="AF15" s="667"/>
    </row>
    <row r="16" spans="1:36" ht="24.6" customHeight="1">
      <c r="A16" s="1702">
        <f>IF(E2="办公/综合",2,IF(E2="工业",2,IF(E2="住宅/居住",3,IF(E2="商业",IF(C8="不临58条商业街",2,3)))))</f>
        <v>3</v>
      </c>
      <c r="B16" s="775" t="s">
        <v>925</v>
      </c>
      <c r="C16" s="348">
        <f>ROUND(IF(F17="与级别开发程度一致",0,(G17-E17)/C17),0)</f>
        <v>-120</v>
      </c>
      <c r="D16" s="1711" t="s">
        <v>928</v>
      </c>
      <c r="E16" s="1712"/>
      <c r="F16" s="1711" t="s">
        <v>926</v>
      </c>
      <c r="G16" s="1713"/>
      <c r="H16" s="735"/>
      <c r="I16" s="735"/>
      <c r="J16" s="803"/>
      <c r="K16" s="735"/>
      <c r="L16" s="735"/>
      <c r="M16" s="735"/>
      <c r="N16" s="735"/>
      <c r="O16" s="803"/>
      <c r="Q16" s="663"/>
      <c r="R16" s="663"/>
      <c r="S16" s="663"/>
      <c r="T16" s="663"/>
      <c r="U16" s="663"/>
      <c r="V16" s="663"/>
      <c r="W16" s="663"/>
      <c r="X16" s="663"/>
      <c r="Y16" s="663"/>
      <c r="Z16" s="667"/>
      <c r="AA16" s="667"/>
      <c r="AB16" s="667"/>
      <c r="AC16" s="667"/>
      <c r="AD16" s="667"/>
      <c r="AE16" s="667"/>
      <c r="AF16" s="667"/>
    </row>
    <row r="17" spans="1:37" ht="13.5" thickBot="1">
      <c r="A17" s="1706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3"/>
      <c r="R17" s="663"/>
      <c r="S17" s="663"/>
      <c r="T17" s="663"/>
      <c r="U17" s="663"/>
      <c r="V17" s="663"/>
      <c r="W17" s="663"/>
      <c r="X17" s="663"/>
      <c r="Y17" s="663"/>
      <c r="Z17" s="667"/>
      <c r="AA17" s="667"/>
      <c r="AB17" s="667"/>
      <c r="AC17" s="667"/>
      <c r="AD17" s="667"/>
      <c r="AE17" s="663"/>
      <c r="AF17" s="663"/>
      <c r="AG17" s="664"/>
      <c r="AH17" s="664"/>
      <c r="AI17" s="664"/>
      <c r="AJ17" s="664"/>
    </row>
    <row r="18" spans="1:37" s="680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19"/>
      <c r="L18" s="1468" t="s">
        <v>969</v>
      </c>
      <c r="M18" s="1469">
        <f>ROUNDDOWN(IF(H19&gt;=E19,DATEDIF(E19,H19,"M")/3,DATEDIF(H19,E19,"M")/3),0)</f>
        <v>13</v>
      </c>
      <c r="N18" s="612"/>
      <c r="O18" s="801" t="s">
        <v>944</v>
      </c>
      <c r="P18" s="779" t="s">
        <v>945</v>
      </c>
      <c r="Q18" s="779" t="s">
        <v>1302</v>
      </c>
      <c r="R18" s="779" t="s">
        <v>1301</v>
      </c>
      <c r="S18" s="802" t="s">
        <v>946</v>
      </c>
      <c r="T18" s="667"/>
      <c r="U18" s="667"/>
      <c r="V18" s="667"/>
      <c r="W18" s="667"/>
      <c r="X18" s="663"/>
      <c r="Y18" s="663"/>
      <c r="Z18" s="719"/>
      <c r="AA18" s="719"/>
      <c r="AB18" s="719"/>
      <c r="AC18" s="719"/>
      <c r="AD18" s="719"/>
      <c r="AE18" s="667"/>
      <c r="AF18" s="667"/>
      <c r="AG18" s="665"/>
      <c r="AH18" s="665"/>
      <c r="AI18" s="665"/>
    </row>
    <row r="19" spans="1:37" s="680" customFormat="1" ht="15.75" thickBot="1">
      <c r="A19" s="805" t="s">
        <v>931</v>
      </c>
      <c r="B19" s="806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258</v>
      </c>
      <c r="G19" s="1382" t="s">
        <v>263</v>
      </c>
      <c r="H19" s="1228">
        <f>主表!B4</f>
        <v>40427</v>
      </c>
      <c r="I19" s="1421">
        <f>ROUND(SUMPRODUCT((地价!A5:A38=YEAR(H19)&amp;"-"&amp;ROUNDUP(MONTH(H19)/3,0))*(地价!B3:F3=E2)*(地价!B5:F38)),0)</f>
        <v>0</v>
      </c>
      <c r="J19" s="1422"/>
      <c r="K19" s="719"/>
      <c r="L19" s="733" t="s">
        <v>264</v>
      </c>
      <c r="M19" s="734" t="s">
        <v>265</v>
      </c>
      <c r="N19" s="563" t="s">
        <v>1735</v>
      </c>
      <c r="O19" s="750" t="s">
        <v>948</v>
      </c>
      <c r="P19" s="354">
        <v>0.25</v>
      </c>
      <c r="Q19" s="354">
        <v>0.2</v>
      </c>
      <c r="R19" s="354">
        <v>0.15</v>
      </c>
      <c r="S19" s="879">
        <v>0.1</v>
      </c>
      <c r="T19" s="667"/>
      <c r="U19" s="667"/>
      <c r="V19" s="667"/>
      <c r="W19" s="667"/>
      <c r="X19" s="663"/>
      <c r="Y19" s="663"/>
      <c r="Z19" s="719"/>
      <c r="AA19" s="719"/>
      <c r="AB19" s="719"/>
      <c r="AC19" s="719"/>
      <c r="AD19" s="719"/>
      <c r="AE19" s="719"/>
      <c r="AF19" s="726"/>
      <c r="AG19" s="727"/>
      <c r="AH19" s="665"/>
      <c r="AI19" s="682"/>
      <c r="AJ19" s="682"/>
      <c r="AK19" s="682"/>
    </row>
    <row r="20" spans="1:37" s="680" customFormat="1" ht="24.75" thickBot="1">
      <c r="A20" s="807" t="s">
        <v>933</v>
      </c>
      <c r="B20" s="808" t="s">
        <v>934</v>
      </c>
      <c r="C20" s="1380">
        <f ca="1">ROUND(POWER(1+G20,J20-I20)*(POWER(1+G20,I20)-1)/(POWER(1+G20,J20)-1),4)</f>
        <v>0.98660000000000003</v>
      </c>
      <c r="D20" s="1383" t="s">
        <v>935</v>
      </c>
      <c r="E20" s="1384">
        <f ca="1">INDIRECT("'存贷款利率'!e"&amp;存贷款利率!$K$4)/100</f>
        <v>5.3099999999999994E-2</v>
      </c>
      <c r="F20" s="1381" t="s">
        <v>936</v>
      </c>
      <c r="G20" s="1385">
        <f ca="1">SUMIF(P18:S18,E2,P20:S20)</f>
        <v>6.6000000000000003E-2</v>
      </c>
      <c r="H20" s="1386" t="s">
        <v>1634</v>
      </c>
      <c r="I20" s="962">
        <f>IF(H20="剩余土地使用年限",主表!B15,主表!B16)</f>
        <v>37.69</v>
      </c>
      <c r="J20" s="363">
        <f>IF(E2="住宅/居住",70,IF(E2="商业",40,50))</f>
        <v>40</v>
      </c>
      <c r="K20" s="719"/>
      <c r="L20" s="737" t="s">
        <v>278</v>
      </c>
      <c r="M20" s="610"/>
      <c r="N20" s="27">
        <f ca="1">'地价（废）'!G2</f>
        <v>0</v>
      </c>
      <c r="O20" s="804" t="s">
        <v>936</v>
      </c>
      <c r="P20" s="565">
        <f ca="1">ROUND($E$20*(1+P19),3)</f>
        <v>6.6000000000000003E-2</v>
      </c>
      <c r="Q20" s="565">
        <f ca="1">ROUND($E$20*(1+Q19),3)</f>
        <v>6.4000000000000001E-2</v>
      </c>
      <c r="R20" s="565">
        <f ca="1">ROUND($E$20*(1+R19),3)</f>
        <v>6.0999999999999999E-2</v>
      </c>
      <c r="S20" s="880">
        <f ca="1">ROUND($E$20*(1+S19),3)</f>
        <v>5.8000000000000003E-2</v>
      </c>
      <c r="T20" s="667"/>
      <c r="U20" s="667"/>
      <c r="V20" s="667"/>
      <c r="W20" s="667"/>
      <c r="X20" s="663"/>
      <c r="Y20" s="663"/>
      <c r="Z20" s="719"/>
      <c r="AA20" s="719"/>
      <c r="AB20" s="719"/>
      <c r="AC20" s="719"/>
      <c r="AD20" s="719"/>
      <c r="AE20" s="719"/>
      <c r="AF20" s="719"/>
    </row>
    <row r="21" spans="1:37" s="680" customFormat="1" ht="14.25">
      <c r="A21" s="809" t="s">
        <v>937</v>
      </c>
      <c r="B21" s="810" t="s">
        <v>279</v>
      </c>
      <c r="C21" s="98">
        <f>IF(B21="容积率修正",IF(G3&lt;=10,D22,J22),C23)</f>
        <v>1.0535000000000001</v>
      </c>
      <c r="D21" s="811"/>
      <c r="E21" s="811" t="s">
        <v>1757</v>
      </c>
      <c r="F21" s="811"/>
      <c r="G21" s="811"/>
      <c r="H21" s="811"/>
      <c r="I21" s="811"/>
      <c r="J21" s="812"/>
      <c r="K21" s="719"/>
      <c r="L21" s="737" t="s">
        <v>280</v>
      </c>
      <c r="M21" s="570"/>
      <c r="N21" s="27">
        <f ca="1">'地价（废）'!H2</f>
        <v>0</v>
      </c>
      <c r="O21" s="881"/>
      <c r="P21" s="881"/>
      <c r="Q21" s="726"/>
      <c r="R21" s="726"/>
      <c r="S21" s="726"/>
      <c r="T21" s="667"/>
      <c r="U21" s="667"/>
      <c r="V21" s="667"/>
      <c r="W21" s="667"/>
      <c r="X21" s="663"/>
      <c r="Y21" s="663"/>
      <c r="Z21" s="719"/>
      <c r="AA21" s="719"/>
      <c r="AB21" s="719"/>
      <c r="AC21" s="719"/>
      <c r="AD21" s="719"/>
      <c r="AE21" s="719"/>
      <c r="AF21" s="719"/>
    </row>
    <row r="22" spans="1:37" s="680" customFormat="1" ht="14.25">
      <c r="A22" s="813">
        <v>1</v>
      </c>
      <c r="B22" s="814" t="s">
        <v>938</v>
      </c>
      <c r="C22" s="1376" t="s">
        <v>1481</v>
      </c>
      <c r="D22" s="1376">
        <f>IF(E22=G22,F22,IF(G3&lt;=10,ROUND(F22+(H22-F22)*(G3-E22)/(G22-E22),4),"——"))</f>
        <v>1.0535000000000001</v>
      </c>
      <c r="E22" s="1389">
        <f>ROUNDDOWN(G3,1)</f>
        <v>2.1</v>
      </c>
      <c r="F22" s="139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1.0685</v>
      </c>
      <c r="G22" s="1388">
        <f>ROUNDUP(G3,1)</f>
        <v>2.2000000000000002</v>
      </c>
      <c r="H22" s="1376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1.0497000000000001</v>
      </c>
      <c r="I22" s="1387" t="s">
        <v>281</v>
      </c>
      <c r="J22" s="54" t="str">
        <f>IF(G3&gt;10,D114,"——")</f>
        <v>——</v>
      </c>
      <c r="K22" s="719"/>
      <c r="L22" s="737" t="s">
        <v>1302</v>
      </c>
      <c r="M22" s="570"/>
      <c r="N22" s="27">
        <f ca="1">'地价（废）'!I2</f>
        <v>0</v>
      </c>
      <c r="O22" s="881"/>
      <c r="P22" s="881"/>
      <c r="Q22" s="726"/>
      <c r="R22" s="726"/>
      <c r="S22" s="726"/>
      <c r="T22" s="667"/>
      <c r="U22" s="667"/>
      <c r="V22" s="667"/>
      <c r="W22" s="667"/>
      <c r="X22" s="663"/>
      <c r="Y22" s="663"/>
      <c r="Z22" s="719"/>
      <c r="AA22" s="719"/>
      <c r="AB22" s="719"/>
      <c r="AC22" s="719"/>
      <c r="AD22" s="719"/>
      <c r="AE22" s="719"/>
      <c r="AF22" s="719"/>
    </row>
    <row r="23" spans="1:37" ht="27">
      <c r="A23" s="813">
        <v>2</v>
      </c>
      <c r="B23" s="814" t="s">
        <v>939</v>
      </c>
      <c r="C23" s="358">
        <f>ROUND(IF(G3&gt;1,IF(I3&lt;7,SUMPRODUCT((B94:B99=I3)*(C93:N93=G2)*(C94:N99)),SUMIF(C93:N93,G2,C101:N101)),IF(I3&lt;7,SUMPRODUCT((B103:B108=I3)*(C93:N93=G2)*(C103:N108)),SUMIF(C93:N93,G2,C110:N110))),4)</f>
        <v>1.8629</v>
      </c>
      <c r="D23" s="661"/>
      <c r="E23" s="661"/>
      <c r="F23" s="816"/>
      <c r="G23" s="817"/>
      <c r="H23" s="818"/>
      <c r="I23" s="819"/>
      <c r="J23" s="820"/>
      <c r="L23" s="737" t="s">
        <v>1347</v>
      </c>
      <c r="M23" s="570"/>
      <c r="N23" s="27">
        <f ca="1">'地价（废）'!J2</f>
        <v>0</v>
      </c>
      <c r="O23" s="881"/>
      <c r="P23" s="881"/>
      <c r="Q23" s="726"/>
      <c r="R23" s="726"/>
      <c r="S23" s="726"/>
      <c r="T23" s="667"/>
      <c r="U23" s="667"/>
      <c r="V23" s="667"/>
      <c r="W23" s="667"/>
      <c r="X23" s="663"/>
      <c r="Y23" s="663"/>
      <c r="Z23" s="719"/>
      <c r="AA23" s="719"/>
      <c r="AB23" s="719"/>
      <c r="AC23" s="719"/>
      <c r="AD23" s="719"/>
      <c r="AE23" s="667"/>
      <c r="AF23" s="667"/>
      <c r="AK23" s="665"/>
    </row>
    <row r="24" spans="1:37" s="680" customFormat="1" ht="15.75" thickBot="1">
      <c r="A24" s="821" t="s">
        <v>940</v>
      </c>
      <c r="B24" s="822" t="s">
        <v>941</v>
      </c>
      <c r="C24" s="364">
        <f>SUMIF(A46:A88,E2,B46:B88)</f>
        <v>1</v>
      </c>
      <c r="D24" s="823"/>
      <c r="E24" s="824"/>
      <c r="F24" s="824"/>
      <c r="G24" s="824"/>
      <c r="H24" s="824"/>
      <c r="I24" s="824"/>
      <c r="J24" s="825"/>
      <c r="K24" s="719"/>
      <c r="L24" s="738" t="s">
        <v>2</v>
      </c>
      <c r="M24" s="571"/>
      <c r="N24" s="565">
        <f ca="1">'地价（废）'!K2</f>
        <v>0</v>
      </c>
      <c r="O24" s="881"/>
      <c r="P24" s="881"/>
      <c r="Q24" s="726"/>
      <c r="R24" s="726"/>
      <c r="S24" s="726"/>
      <c r="T24" s="667"/>
      <c r="U24" s="667"/>
      <c r="V24" s="667"/>
      <c r="W24" s="667"/>
      <c r="X24" s="663"/>
      <c r="Y24" s="663"/>
      <c r="Z24" s="719"/>
      <c r="AA24" s="719"/>
      <c r="AB24" s="719"/>
      <c r="AC24" s="719"/>
      <c r="AD24" s="719"/>
      <c r="AE24" s="719"/>
      <c r="AF24" s="719"/>
    </row>
    <row r="25" spans="1:37" ht="13.5">
      <c r="A25" s="807" t="s">
        <v>942</v>
      </c>
      <c r="B25" s="826" t="s">
        <v>943</v>
      </c>
      <c r="C25" s="827"/>
      <c r="D25" s="777"/>
      <c r="E25" s="777"/>
      <c r="F25" s="828"/>
      <c r="G25" s="777"/>
      <c r="H25" s="777"/>
      <c r="I25" s="777"/>
      <c r="J25" s="778"/>
      <c r="L25" s="881"/>
      <c r="M25" s="881"/>
      <c r="N25" s="881"/>
      <c r="O25" s="881"/>
      <c r="P25" s="881"/>
      <c r="Q25" s="726"/>
      <c r="R25" s="726"/>
      <c r="S25" s="726"/>
      <c r="T25" s="667"/>
      <c r="U25" s="667"/>
      <c r="V25" s="667"/>
      <c r="W25" s="667"/>
      <c r="X25" s="663"/>
      <c r="Y25" s="663"/>
      <c r="Z25" s="719"/>
      <c r="AA25" s="719"/>
      <c r="AB25" s="719"/>
      <c r="AC25" s="719"/>
      <c r="AD25" s="719"/>
      <c r="AE25" s="667"/>
      <c r="AF25" s="667"/>
    </row>
    <row r="26" spans="1:37" ht="13.5">
      <c r="A26" s="829"/>
      <c r="B26" s="814" t="s">
        <v>964</v>
      </c>
      <c r="C26" s="26" t="e">
        <f ca="1">E29+SUM(E33:E39)</f>
        <v>#DIV/0!</v>
      </c>
      <c r="D26" s="830"/>
      <c r="E26" s="661"/>
      <c r="F26" s="831"/>
      <c r="G26" s="661"/>
      <c r="H26" s="661"/>
      <c r="I26" s="661"/>
      <c r="J26" s="832"/>
      <c r="L26" s="881"/>
      <c r="M26" s="881"/>
      <c r="N26" s="881"/>
      <c r="O26" s="881"/>
      <c r="P26" s="881"/>
      <c r="Q26" s="726"/>
      <c r="R26" s="726"/>
      <c r="S26" s="726"/>
      <c r="T26" s="667"/>
      <c r="U26" s="667"/>
      <c r="V26" s="667"/>
      <c r="W26" s="667"/>
      <c r="X26" s="663"/>
      <c r="Y26" s="663"/>
      <c r="Z26" s="719"/>
      <c r="AA26" s="719"/>
      <c r="AB26" s="719"/>
      <c r="AC26" s="719"/>
      <c r="AD26" s="719"/>
      <c r="AE26" s="667"/>
      <c r="AF26" s="667"/>
    </row>
    <row r="27" spans="1:37" ht="14.25" thickBot="1">
      <c r="A27" s="829"/>
      <c r="B27" s="833" t="s">
        <v>965</v>
      </c>
      <c r="C27" s="359" t="e">
        <f ca="1">E30+SUM(I33:I39)</f>
        <v>#DIV/0!</v>
      </c>
      <c r="D27" s="834"/>
      <c r="E27" s="835"/>
      <c r="F27" s="836"/>
      <c r="G27" s="835"/>
      <c r="H27" s="835"/>
      <c r="I27" s="835"/>
      <c r="J27" s="837"/>
      <c r="L27" s="881"/>
      <c r="M27" s="881"/>
      <c r="N27" s="881"/>
      <c r="O27" s="881"/>
      <c r="P27" s="881"/>
      <c r="Q27" s="726"/>
      <c r="R27" s="726"/>
      <c r="S27" s="726"/>
      <c r="T27" s="667"/>
      <c r="U27" s="667"/>
      <c r="V27" s="667"/>
      <c r="W27" s="667"/>
      <c r="X27" s="663"/>
      <c r="Y27" s="663"/>
      <c r="Z27" s="719"/>
      <c r="AA27" s="719"/>
      <c r="AB27" s="719"/>
      <c r="AC27" s="719"/>
      <c r="AD27" s="719"/>
      <c r="AE27" s="667"/>
      <c r="AF27" s="667"/>
    </row>
    <row r="28" spans="1:37" ht="13.5">
      <c r="A28" s="807"/>
      <c r="B28" s="838" t="s">
        <v>963</v>
      </c>
      <c r="C28" s="839" t="s">
        <v>947</v>
      </c>
      <c r="D28" s="839" t="s">
        <v>955</v>
      </c>
      <c r="E28" s="840" t="s">
        <v>956</v>
      </c>
      <c r="F28" s="841"/>
      <c r="G28" s="788"/>
      <c r="H28" s="788"/>
      <c r="I28" s="788"/>
      <c r="J28" s="789"/>
      <c r="L28" s="881"/>
      <c r="M28" s="881"/>
      <c r="N28" s="881"/>
      <c r="O28" s="881"/>
      <c r="P28" s="881"/>
      <c r="Q28" s="726"/>
      <c r="R28" s="726"/>
      <c r="S28" s="726"/>
      <c r="T28" s="667"/>
      <c r="U28" s="667"/>
      <c r="V28" s="667"/>
      <c r="W28" s="667"/>
      <c r="X28" s="663"/>
      <c r="Y28" s="663"/>
      <c r="Z28" s="719"/>
      <c r="AA28" s="719"/>
      <c r="AB28" s="719"/>
      <c r="AC28" s="719"/>
      <c r="AD28" s="719"/>
      <c r="AE28" s="667"/>
      <c r="AF28" s="667"/>
    </row>
    <row r="29" spans="1:37" ht="13.5">
      <c r="A29" s="842"/>
      <c r="B29" s="762" t="s">
        <v>959</v>
      </c>
      <c r="C29" s="26" t="e">
        <f ca="1">ROUND(C5*C18*C19*C20*C21*C24,0)</f>
        <v>#DIV/0!</v>
      </c>
      <c r="D29" s="564"/>
      <c r="E29" s="369" t="e">
        <f ca="1">ROUND(C29*D29,0)</f>
        <v>#DIV/0!</v>
      </c>
      <c r="F29" s="321" t="s">
        <v>1475</v>
      </c>
      <c r="G29" s="322"/>
      <c r="H29" s="322"/>
      <c r="I29" s="322"/>
      <c r="J29" s="843"/>
      <c r="L29" s="881"/>
      <c r="M29" s="881"/>
      <c r="N29" s="881"/>
      <c r="O29" s="881"/>
      <c r="P29" s="881"/>
      <c r="Q29" s="726"/>
      <c r="R29" s="726"/>
      <c r="S29" s="726"/>
      <c r="T29" s="667"/>
      <c r="U29" s="667"/>
      <c r="V29" s="667"/>
      <c r="W29" s="667"/>
      <c r="X29" s="663"/>
      <c r="Y29" s="663"/>
      <c r="Z29" s="719"/>
      <c r="AA29" s="719"/>
      <c r="AB29" s="719"/>
      <c r="AC29" s="719"/>
      <c r="AD29" s="719"/>
      <c r="AE29" s="663"/>
      <c r="AF29" s="663"/>
      <c r="AG29" s="664"/>
      <c r="AH29" s="664"/>
      <c r="AI29" s="664"/>
      <c r="AJ29" s="664"/>
    </row>
    <row r="30" spans="1:37" ht="24.75" thickBot="1">
      <c r="A30" s="844"/>
      <c r="B30" s="845" t="s">
        <v>960</v>
      </c>
      <c r="C30" s="28" t="e">
        <f ca="1">ROUND(IF(E2="工业",C29*M39,C29*M38),0)</f>
        <v>#DIV/0!</v>
      </c>
      <c r="D30" s="566"/>
      <c r="E30" s="369" t="e">
        <f ca="1">ROUND(C30*D30,0)</f>
        <v>#DIV/0!</v>
      </c>
      <c r="F30" s="846" t="s">
        <v>957</v>
      </c>
      <c r="G30" s="847"/>
      <c r="H30" s="847"/>
      <c r="I30" s="847"/>
      <c r="J30" s="848"/>
      <c r="L30" s="663"/>
      <c r="M30" s="663"/>
      <c r="N30" s="663"/>
      <c r="O30" s="663"/>
      <c r="P30" s="663"/>
      <c r="Q30" s="663"/>
      <c r="R30" s="663"/>
      <c r="S30" s="663"/>
      <c r="T30" s="663"/>
      <c r="U30" s="663"/>
      <c r="V30" s="663"/>
      <c r="W30" s="663"/>
      <c r="X30" s="663"/>
      <c r="Y30" s="663"/>
      <c r="Z30" s="663"/>
      <c r="AA30" s="663"/>
      <c r="AB30" s="663"/>
      <c r="AC30" s="663"/>
      <c r="AD30" s="663"/>
      <c r="AE30" s="663"/>
      <c r="AF30" s="663"/>
      <c r="AG30" s="664"/>
      <c r="AH30" s="664"/>
      <c r="AI30" s="664"/>
      <c r="AJ30" s="664"/>
    </row>
    <row r="31" spans="1:37">
      <c r="A31" s="849"/>
      <c r="B31" s="1459" t="s">
        <v>1751</v>
      </c>
      <c r="C31" s="850" t="s">
        <v>961</v>
      </c>
      <c r="D31" s="788"/>
      <c r="E31" s="850"/>
      <c r="F31" s="850"/>
      <c r="G31" s="786" t="s">
        <v>962</v>
      </c>
      <c r="H31" s="788"/>
      <c r="I31" s="851"/>
      <c r="J31" s="789"/>
      <c r="L31" s="663"/>
      <c r="M31" s="663"/>
      <c r="N31" s="663"/>
      <c r="O31" s="663"/>
      <c r="P31" s="663"/>
      <c r="Q31" s="663"/>
      <c r="R31" s="663"/>
      <c r="S31" s="663"/>
      <c r="T31" s="663"/>
      <c r="U31" s="663"/>
      <c r="V31" s="663"/>
      <c r="W31" s="663"/>
      <c r="X31" s="663"/>
      <c r="Y31" s="663"/>
      <c r="Z31" s="663"/>
      <c r="AA31" s="663"/>
      <c r="AB31" s="663"/>
      <c r="AC31" s="663"/>
      <c r="AD31" s="663"/>
      <c r="AE31" s="663"/>
      <c r="AF31" s="663"/>
      <c r="AG31" s="664"/>
      <c r="AH31" s="664"/>
      <c r="AI31" s="664"/>
      <c r="AJ31" s="664"/>
    </row>
    <row r="32" spans="1:37" ht="24">
      <c r="A32" s="842"/>
      <c r="B32" s="852"/>
      <c r="C32" s="853" t="s">
        <v>947</v>
      </c>
      <c r="D32" s="854" t="s">
        <v>955</v>
      </c>
      <c r="E32" s="854" t="s">
        <v>956</v>
      </c>
      <c r="F32" s="670" t="s">
        <v>950</v>
      </c>
      <c r="G32" s="815" t="s">
        <v>947</v>
      </c>
      <c r="H32" s="815" t="s">
        <v>955</v>
      </c>
      <c r="I32" s="815" t="s">
        <v>956</v>
      </c>
      <c r="J32" s="855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663"/>
      <c r="AF32" s="663"/>
      <c r="AG32" s="664"/>
      <c r="AH32" s="664"/>
      <c r="AI32" s="664"/>
      <c r="AJ32" s="664"/>
    </row>
    <row r="33" spans="1:37" ht="12.75">
      <c r="A33" s="1708" t="s">
        <v>1739</v>
      </c>
      <c r="B33" s="857" t="s">
        <v>282</v>
      </c>
      <c r="C33" s="26">
        <f ca="1">ROUND(D5*C19*C20*C24*F33,0)</f>
        <v>0</v>
      </c>
      <c r="D33" s="564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58"/>
      <c r="L33" s="663"/>
      <c r="M33" s="663"/>
      <c r="N33" s="663"/>
      <c r="O33" s="663"/>
      <c r="P33" s="663"/>
      <c r="Q33" s="663"/>
      <c r="R33" s="663"/>
      <c r="S33" s="663"/>
      <c r="T33" s="663"/>
      <c r="U33" s="663"/>
      <c r="V33" s="663"/>
      <c r="W33" s="663"/>
      <c r="X33" s="663"/>
      <c r="Y33" s="663"/>
      <c r="Z33" s="667"/>
      <c r="AA33" s="667"/>
      <c r="AB33" s="667"/>
      <c r="AC33" s="667"/>
      <c r="AD33" s="667"/>
      <c r="AE33" s="667"/>
      <c r="AF33" s="667"/>
    </row>
    <row r="34" spans="1:37" ht="12.75">
      <c r="A34" s="1709"/>
      <c r="B34" s="307" t="s">
        <v>283</v>
      </c>
      <c r="C34" s="26">
        <f ca="1">ROUND(D5*C19*C20*C24*F34,0)</f>
        <v>0</v>
      </c>
      <c r="D34" s="564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58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3"/>
      <c r="X34" s="663"/>
      <c r="Y34" s="663"/>
      <c r="Z34" s="667"/>
      <c r="AA34" s="667"/>
      <c r="AB34" s="667"/>
      <c r="AC34" s="667"/>
      <c r="AD34" s="667"/>
      <c r="AE34" s="667"/>
      <c r="AF34" s="667"/>
    </row>
    <row r="35" spans="1:37" ht="12.75">
      <c r="A35" s="1709"/>
      <c r="B35" s="307" t="s">
        <v>284</v>
      </c>
      <c r="C35" s="26">
        <f ca="1">ROUND(D5*C19*C20*C24*F35,0)</f>
        <v>0</v>
      </c>
      <c r="D35" s="564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58"/>
      <c r="L35" s="663"/>
      <c r="M35" s="663"/>
      <c r="N35" s="663"/>
      <c r="O35" s="663"/>
      <c r="P35" s="663"/>
      <c r="Q35" s="663"/>
      <c r="R35" s="663"/>
      <c r="S35" s="663"/>
      <c r="T35" s="663"/>
      <c r="U35" s="663"/>
      <c r="V35" s="663"/>
      <c r="W35" s="663"/>
      <c r="X35" s="663"/>
      <c r="Y35" s="663"/>
      <c r="Z35" s="667"/>
      <c r="AA35" s="667"/>
      <c r="AB35" s="667"/>
      <c r="AC35" s="667"/>
      <c r="AD35" s="667"/>
      <c r="AE35" s="667"/>
      <c r="AF35" s="667"/>
    </row>
    <row r="36" spans="1:37" ht="13.5" thickBot="1">
      <c r="A36" s="1710"/>
      <c r="B36" s="307" t="s">
        <v>285</v>
      </c>
      <c r="C36" s="26">
        <f ca="1">ROUND(D5*C19*C20*C24*F36,0)</f>
        <v>0</v>
      </c>
      <c r="D36" s="564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58"/>
      <c r="L36" s="859"/>
      <c r="M36" s="859"/>
      <c r="N36" s="663"/>
      <c r="O36" s="663"/>
      <c r="P36" s="663"/>
      <c r="Q36" s="663"/>
      <c r="R36" s="663"/>
      <c r="S36" s="663"/>
      <c r="T36" s="663"/>
      <c r="U36" s="663"/>
      <c r="V36" s="663"/>
      <c r="W36" s="663"/>
      <c r="X36" s="663"/>
      <c r="Y36" s="663"/>
      <c r="Z36" s="667"/>
      <c r="AA36" s="667"/>
      <c r="AB36" s="667"/>
      <c r="AC36" s="667"/>
      <c r="AD36" s="667"/>
      <c r="AE36" s="667"/>
      <c r="AF36" s="667"/>
    </row>
    <row r="37" spans="1:37" ht="12.75">
      <c r="A37" s="856"/>
      <c r="B37" s="307" t="s">
        <v>286</v>
      </c>
      <c r="C37" s="25">
        <f ca="1">ROUND(D5*C19*C20*C24*F37,0)</f>
        <v>0</v>
      </c>
      <c r="D37" s="564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58"/>
      <c r="L37" s="860" t="s">
        <v>958</v>
      </c>
      <c r="M37" s="778"/>
      <c r="N37" s="663"/>
      <c r="O37" s="663"/>
      <c r="P37" s="663"/>
      <c r="Q37" s="663"/>
      <c r="R37" s="663"/>
      <c r="S37" s="663"/>
      <c r="T37" s="663"/>
      <c r="U37" s="663"/>
      <c r="V37" s="663"/>
      <c r="W37" s="663"/>
      <c r="X37" s="663"/>
      <c r="Y37" s="663"/>
      <c r="Z37" s="667"/>
      <c r="AA37" s="667"/>
      <c r="AB37" s="667"/>
      <c r="AC37" s="667"/>
      <c r="AD37" s="667"/>
      <c r="AE37" s="667"/>
      <c r="AF37" s="667"/>
    </row>
    <row r="38" spans="1:37" ht="12.75">
      <c r="A38" s="856"/>
      <c r="B38" s="307" t="s">
        <v>287</v>
      </c>
      <c r="C38" s="25">
        <f ca="1">ROUND(E5*C19*C41*C24*F38,0)</f>
        <v>0</v>
      </c>
      <c r="D38" s="564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58"/>
      <c r="L38" s="861" t="s">
        <v>949</v>
      </c>
      <c r="M38" s="862">
        <v>0.25</v>
      </c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7"/>
      <c r="AA38" s="667"/>
      <c r="AB38" s="667"/>
      <c r="AC38" s="667"/>
      <c r="AD38" s="667"/>
      <c r="AE38" s="667"/>
      <c r="AF38" s="667"/>
    </row>
    <row r="39" spans="1:37" ht="13.5" thickBot="1">
      <c r="A39" s="844"/>
      <c r="B39" s="863" t="s">
        <v>288</v>
      </c>
      <c r="C39" s="28">
        <f ca="1">ROUND(D5*C19*C41*C24*F39,0)</f>
        <v>0</v>
      </c>
      <c r="D39" s="566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4"/>
      <c r="L39" s="865" t="s">
        <v>946</v>
      </c>
      <c r="M39" s="866">
        <v>0.15</v>
      </c>
      <c r="N39" s="663"/>
      <c r="O39" s="663"/>
      <c r="P39" s="663"/>
      <c r="Q39" s="663"/>
      <c r="R39" s="663"/>
      <c r="S39" s="663"/>
      <c r="T39" s="663"/>
      <c r="U39" s="663"/>
      <c r="V39" s="663"/>
      <c r="W39" s="663"/>
      <c r="X39" s="663"/>
      <c r="Y39" s="663"/>
      <c r="Z39" s="667"/>
      <c r="AA39" s="667"/>
      <c r="AB39" s="667"/>
      <c r="AC39" s="667"/>
      <c r="AD39" s="667"/>
      <c r="AE39" s="667"/>
      <c r="AF39" s="667"/>
    </row>
    <row r="40" spans="1:37" s="748" customForma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63"/>
      <c r="S40" s="663"/>
      <c r="T40" s="663"/>
      <c r="U40" s="663"/>
      <c r="V40" s="663"/>
      <c r="W40" s="663"/>
      <c r="X40" s="663"/>
      <c r="Y40" s="663"/>
      <c r="Z40" s="667"/>
      <c r="AA40" s="667"/>
      <c r="AB40" s="667"/>
      <c r="AC40" s="667"/>
      <c r="AD40" s="667"/>
      <c r="AE40" s="667"/>
      <c r="AF40" s="667"/>
      <c r="AG40" s="666"/>
      <c r="AH40" s="666"/>
      <c r="AI40" s="666"/>
      <c r="AJ40" s="666"/>
    </row>
    <row r="41" spans="1:37" s="748" customFormat="1" ht="12.75">
      <c r="A41" s="667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6.6000000000000003E-2</v>
      </c>
      <c r="F41" s="25" t="s">
        <v>1750</v>
      </c>
      <c r="G41" s="1458"/>
      <c r="H41" s="25">
        <v>50</v>
      </c>
      <c r="I41" s="663"/>
      <c r="J41" s="663"/>
      <c r="K41" s="663"/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7"/>
      <c r="AA41" s="667"/>
      <c r="AB41" s="667"/>
      <c r="AC41" s="667"/>
      <c r="AD41" s="667"/>
      <c r="AE41" s="667"/>
      <c r="AF41" s="667"/>
      <c r="AG41" s="666"/>
      <c r="AH41" s="666"/>
      <c r="AI41" s="666"/>
      <c r="AJ41" s="666"/>
    </row>
    <row r="42" spans="1:37" s="748" customFormat="1">
      <c r="A42" s="667"/>
      <c r="B42" s="739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63"/>
      <c r="S42" s="663"/>
      <c r="T42" s="663"/>
      <c r="U42" s="663"/>
      <c r="V42" s="663"/>
      <c r="W42" s="663"/>
      <c r="X42" s="663"/>
      <c r="Y42" s="663"/>
      <c r="Z42" s="667"/>
      <c r="AA42" s="667"/>
      <c r="AB42" s="667"/>
      <c r="AC42" s="667"/>
      <c r="AD42" s="667"/>
      <c r="AE42" s="667"/>
      <c r="AF42" s="667"/>
      <c r="AG42" s="666"/>
      <c r="AH42" s="666"/>
      <c r="AI42" s="666"/>
      <c r="AJ42" s="666"/>
    </row>
    <row r="43" spans="1:37" s="748" customFormat="1">
      <c r="A43" s="667"/>
      <c r="B43" s="739"/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  <c r="R43" s="663"/>
      <c r="S43" s="663"/>
      <c r="T43" s="663"/>
      <c r="U43" s="663"/>
      <c r="V43" s="663"/>
      <c r="W43" s="663"/>
      <c r="X43" s="663"/>
      <c r="Y43" s="663"/>
      <c r="Z43" s="667"/>
      <c r="AA43" s="667"/>
      <c r="AB43" s="667"/>
      <c r="AC43" s="667"/>
      <c r="AD43" s="667"/>
      <c r="AE43" s="667"/>
      <c r="AF43" s="667"/>
      <c r="AG43" s="666"/>
      <c r="AH43" s="666"/>
      <c r="AI43" s="666"/>
      <c r="AJ43" s="666"/>
    </row>
    <row r="44" spans="1:37" s="748" customFormat="1">
      <c r="A44" s="667"/>
      <c r="B44" s="739"/>
      <c r="C44" s="663"/>
      <c r="D44" s="663"/>
      <c r="E44" s="663"/>
      <c r="F44" s="663"/>
      <c r="G44" s="663"/>
      <c r="H44" s="663"/>
      <c r="I44" s="663"/>
      <c r="J44" s="663"/>
      <c r="K44" s="663"/>
      <c r="L44" s="663"/>
      <c r="M44" s="663"/>
      <c r="N44" s="663"/>
      <c r="O44" s="663"/>
      <c r="P44" s="663"/>
      <c r="Q44" s="663"/>
      <c r="R44" s="663"/>
      <c r="S44" s="663"/>
      <c r="T44" s="663"/>
      <c r="U44" s="663"/>
      <c r="V44" s="663"/>
      <c r="W44" s="663"/>
      <c r="X44" s="663"/>
      <c r="Y44" s="663"/>
      <c r="Z44" s="667"/>
      <c r="AA44" s="667"/>
      <c r="AB44" s="667"/>
      <c r="AC44" s="667"/>
      <c r="AD44" s="667"/>
      <c r="AE44" s="667"/>
      <c r="AF44" s="667"/>
      <c r="AG44" s="666"/>
      <c r="AH44" s="666"/>
      <c r="AI44" s="666"/>
      <c r="AJ44" s="666"/>
    </row>
    <row r="45" spans="1:37" s="748" customFormat="1" ht="14.25" thickBot="1">
      <c r="A45" s="225" t="s">
        <v>891</v>
      </c>
      <c r="B45" s="740"/>
      <c r="C45" s="741"/>
      <c r="D45" s="741"/>
      <c r="E45" s="741"/>
      <c r="F45" s="526"/>
      <c r="G45" s="741"/>
      <c r="H45" s="526"/>
      <c r="I45" s="741"/>
      <c r="J45" s="741"/>
      <c r="K45" s="741"/>
      <c r="L45" s="741"/>
      <c r="M45" s="741"/>
      <c r="O45" s="663"/>
      <c r="P45" s="663"/>
      <c r="Q45" s="663"/>
      <c r="R45" s="663"/>
      <c r="S45" s="663"/>
      <c r="T45" s="663"/>
      <c r="U45" s="663"/>
      <c r="V45" s="663"/>
      <c r="W45" s="663"/>
      <c r="X45" s="663"/>
      <c r="Y45" s="663"/>
      <c r="Z45" s="667"/>
      <c r="AA45" s="667"/>
      <c r="AB45" s="667"/>
      <c r="AC45" s="667"/>
      <c r="AD45" s="667"/>
      <c r="AE45" s="667"/>
      <c r="AF45" s="667"/>
      <c r="AG45" s="666"/>
      <c r="AH45" s="666"/>
      <c r="AI45" s="666"/>
      <c r="AJ45" s="666"/>
    </row>
    <row r="46" spans="1:37" s="748" customFormat="1" ht="13.5">
      <c r="A46" s="227" t="s">
        <v>280</v>
      </c>
      <c r="B46" s="228">
        <f>1+E48</f>
        <v>1</v>
      </c>
      <c r="C46" s="742"/>
      <c r="D46" s="743"/>
      <c r="E46" s="744"/>
      <c r="F46" s="225"/>
      <c r="G46" s="526"/>
      <c r="H46" s="741"/>
      <c r="I46" s="741"/>
      <c r="J46" s="741"/>
      <c r="K46" s="741"/>
      <c r="L46" s="741"/>
      <c r="N46" s="663"/>
      <c r="O46" s="663"/>
      <c r="P46" s="663"/>
      <c r="Q46" s="663"/>
      <c r="R46" s="663"/>
      <c r="S46" s="663"/>
      <c r="T46" s="663"/>
      <c r="U46" s="663"/>
      <c r="V46" s="663"/>
      <c r="W46" s="663"/>
      <c r="X46" s="663"/>
      <c r="Y46" s="667"/>
      <c r="Z46" s="667"/>
      <c r="AA46" s="667"/>
      <c r="AB46" s="667"/>
      <c r="AC46" s="667"/>
      <c r="AD46" s="667"/>
      <c r="AE46" s="667"/>
      <c r="AF46" s="666"/>
      <c r="AG46" s="666"/>
      <c r="AH46" s="666"/>
      <c r="AI46" s="666"/>
    </row>
    <row r="47" spans="1:37" s="748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5" t="s">
        <v>1456</v>
      </c>
      <c r="F47" s="867" t="s">
        <v>1141</v>
      </c>
      <c r="G47" s="232" t="s">
        <v>1477</v>
      </c>
      <c r="H47" s="868" t="s">
        <v>1157</v>
      </c>
      <c r="I47" s="232" t="s">
        <v>1476</v>
      </c>
      <c r="J47" s="746" t="s">
        <v>1457</v>
      </c>
      <c r="K47" s="746" t="s">
        <v>1458</v>
      </c>
      <c r="L47" s="746" t="s">
        <v>1459</v>
      </c>
      <c r="M47" s="746" t="s">
        <v>1460</v>
      </c>
      <c r="N47" s="746" t="s">
        <v>1461</v>
      </c>
      <c r="O47" s="663"/>
      <c r="P47" s="663"/>
      <c r="Q47" s="663"/>
      <c r="R47" s="663"/>
      <c r="S47" s="663"/>
      <c r="T47" s="663"/>
      <c r="U47" s="663"/>
      <c r="V47" s="663"/>
      <c r="W47" s="663"/>
      <c r="X47" s="663"/>
      <c r="Y47" s="663"/>
      <c r="Z47" s="663"/>
      <c r="AA47" s="667"/>
      <c r="AB47" s="667"/>
      <c r="AC47" s="667"/>
      <c r="AD47" s="667"/>
      <c r="AE47" s="667"/>
      <c r="AF47" s="667"/>
      <c r="AG47" s="667"/>
      <c r="AH47" s="666"/>
      <c r="AI47" s="666"/>
      <c r="AJ47" s="666"/>
      <c r="AK47" s="666"/>
    </row>
    <row r="48" spans="1:37" s="748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7"/>
      <c r="D48" s="456">
        <f t="shared" ref="D48:D56" si="4">SUMIF($J$47:$N$47,C48,J48:N48)</f>
        <v>0</v>
      </c>
      <c r="E48" s="237">
        <f>ROUND(SUM(D48:D56),4)</f>
        <v>0</v>
      </c>
      <c r="F48" s="882">
        <f>IF(E2="商业",SUMIF(L1:L12,G2,N1:N12),"——")</f>
        <v>0</v>
      </c>
      <c r="G48" s="457"/>
      <c r="H48" s="459">
        <f t="shared" ref="H48:H56" si="5">IFERROR($F$48*I48/2,"——")</f>
        <v>0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3"/>
      <c r="P48" s="663"/>
      <c r="Q48" s="663"/>
      <c r="R48" s="663"/>
      <c r="S48" s="663"/>
      <c r="T48" s="663"/>
      <c r="U48" s="663"/>
      <c r="V48" s="663"/>
      <c r="W48" s="663"/>
      <c r="X48" s="663"/>
      <c r="Y48" s="663"/>
      <c r="Z48" s="663"/>
      <c r="AA48" s="667"/>
      <c r="AB48" s="667"/>
      <c r="AC48" s="667"/>
      <c r="AD48" s="667"/>
      <c r="AE48" s="667"/>
      <c r="AF48" s="667"/>
      <c r="AG48" s="667"/>
      <c r="AH48" s="666"/>
      <c r="AI48" s="666"/>
      <c r="AJ48" s="666"/>
      <c r="AK48" s="666"/>
    </row>
    <row r="49" spans="1:37" s="748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7"/>
      <c r="D49" s="456">
        <f t="shared" si="4"/>
        <v>0</v>
      </c>
      <c r="E49" s="238"/>
      <c r="F49" s="882"/>
      <c r="G49" s="457"/>
      <c r="H49" s="459">
        <f t="shared" si="5"/>
        <v>0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3"/>
      <c r="P49" s="663"/>
      <c r="Q49" s="663"/>
      <c r="R49" s="663"/>
      <c r="S49" s="663"/>
      <c r="T49" s="663"/>
      <c r="U49" s="663"/>
      <c r="V49" s="663"/>
      <c r="W49" s="663"/>
      <c r="X49" s="663"/>
      <c r="Y49" s="663"/>
      <c r="Z49" s="663"/>
      <c r="AA49" s="667"/>
      <c r="AB49" s="667"/>
      <c r="AC49" s="667"/>
      <c r="AD49" s="667"/>
      <c r="AE49" s="667"/>
      <c r="AF49" s="667"/>
      <c r="AG49" s="667"/>
      <c r="AH49" s="666"/>
      <c r="AI49" s="666"/>
      <c r="AJ49" s="666"/>
      <c r="AK49" s="666"/>
    </row>
    <row r="50" spans="1:37" s="748" customFormat="1" ht="24">
      <c r="A50" s="231" t="s">
        <v>897</v>
      </c>
      <c r="B50" s="232" t="str">
        <f>估价对象房地状况!C7</f>
        <v>零星有其他用地，基本不影响本宗地</v>
      </c>
      <c r="C50" s="747"/>
      <c r="D50" s="456">
        <f t="shared" si="4"/>
        <v>0</v>
      </c>
      <c r="E50" s="238"/>
      <c r="F50" s="882"/>
      <c r="G50" s="457"/>
      <c r="H50" s="459">
        <f t="shared" si="5"/>
        <v>0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3"/>
      <c r="P50" s="663"/>
      <c r="Q50" s="663"/>
      <c r="R50" s="663"/>
      <c r="S50" s="663"/>
      <c r="T50" s="663"/>
      <c r="U50" s="663"/>
      <c r="V50" s="663"/>
      <c r="W50" s="663"/>
      <c r="X50" s="663"/>
      <c r="Y50" s="663"/>
      <c r="Z50" s="663"/>
      <c r="AA50" s="667"/>
      <c r="AB50" s="667"/>
      <c r="AC50" s="667"/>
      <c r="AD50" s="667"/>
      <c r="AE50" s="667"/>
      <c r="AF50" s="667"/>
      <c r="AG50" s="667"/>
      <c r="AH50" s="666"/>
      <c r="AI50" s="666"/>
      <c r="AJ50" s="666"/>
      <c r="AK50" s="666"/>
    </row>
    <row r="51" spans="1:37" s="748" customFormat="1" ht="36">
      <c r="A51" s="231" t="s">
        <v>898</v>
      </c>
      <c r="B51" s="1450" t="s">
        <v>1736</v>
      </c>
      <c r="C51" s="747"/>
      <c r="D51" s="456">
        <f t="shared" si="4"/>
        <v>0</v>
      </c>
      <c r="E51" s="238"/>
      <c r="F51" s="882"/>
      <c r="G51" s="457"/>
      <c r="H51" s="459">
        <f t="shared" si="5"/>
        <v>0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3"/>
      <c r="P51" s="663"/>
      <c r="Q51" s="663"/>
      <c r="R51" s="663"/>
      <c r="S51" s="663"/>
      <c r="T51" s="663"/>
      <c r="U51" s="663"/>
      <c r="V51" s="663"/>
      <c r="W51" s="663"/>
      <c r="X51" s="663"/>
      <c r="Y51" s="663"/>
      <c r="Z51" s="663"/>
      <c r="AA51" s="667"/>
      <c r="AB51" s="667"/>
      <c r="AC51" s="667"/>
      <c r="AD51" s="667"/>
      <c r="AE51" s="667"/>
      <c r="AF51" s="667"/>
      <c r="AG51" s="667"/>
      <c r="AH51" s="666"/>
      <c r="AI51" s="666"/>
      <c r="AJ51" s="666"/>
      <c r="AK51" s="666"/>
    </row>
    <row r="52" spans="1:37" s="748" customFormat="1" ht="24">
      <c r="A52" s="231" t="s">
        <v>899</v>
      </c>
      <c r="B52" s="232">
        <f>估价对象房地状况!C12</f>
        <v>0</v>
      </c>
      <c r="C52" s="747"/>
      <c r="D52" s="456">
        <f t="shared" si="4"/>
        <v>0</v>
      </c>
      <c r="E52" s="238"/>
      <c r="F52" s="882"/>
      <c r="G52" s="457"/>
      <c r="H52" s="459">
        <f t="shared" si="5"/>
        <v>0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3"/>
      <c r="P52" s="663"/>
      <c r="Q52" s="663"/>
      <c r="R52" s="663"/>
      <c r="S52" s="663"/>
      <c r="T52" s="663"/>
      <c r="U52" s="663"/>
      <c r="V52" s="663"/>
      <c r="W52" s="663"/>
      <c r="X52" s="663"/>
      <c r="Y52" s="663"/>
      <c r="Z52" s="663"/>
      <c r="AA52" s="667"/>
      <c r="AB52" s="667"/>
      <c r="AC52" s="667"/>
      <c r="AD52" s="667"/>
      <c r="AE52" s="667"/>
      <c r="AF52" s="667"/>
      <c r="AG52" s="667"/>
      <c r="AH52" s="666"/>
      <c r="AI52" s="666"/>
      <c r="AJ52" s="666"/>
      <c r="AK52" s="666"/>
    </row>
    <row r="53" spans="1:37" s="748" customFormat="1" ht="24">
      <c r="A53" s="231" t="s">
        <v>900</v>
      </c>
      <c r="B53" s="1451" t="s">
        <v>1737</v>
      </c>
      <c r="C53" s="747"/>
      <c r="D53" s="456">
        <f t="shared" si="4"/>
        <v>0</v>
      </c>
      <c r="E53" s="238"/>
      <c r="F53" s="882"/>
      <c r="G53" s="457"/>
      <c r="H53" s="459">
        <f t="shared" si="5"/>
        <v>0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3"/>
      <c r="P53" s="663"/>
      <c r="Q53" s="663"/>
      <c r="R53" s="663"/>
      <c r="S53" s="663"/>
      <c r="T53" s="663"/>
      <c r="U53" s="663"/>
      <c r="V53" s="663"/>
      <c r="W53" s="663"/>
      <c r="X53" s="663"/>
      <c r="Y53" s="663"/>
      <c r="Z53" s="663"/>
      <c r="AA53" s="667"/>
      <c r="AB53" s="667"/>
      <c r="AC53" s="667"/>
      <c r="AD53" s="667"/>
      <c r="AE53" s="667"/>
      <c r="AF53" s="667"/>
      <c r="AG53" s="667"/>
      <c r="AH53" s="666"/>
      <c r="AI53" s="666"/>
      <c r="AJ53" s="666"/>
      <c r="AK53" s="666"/>
    </row>
    <row r="54" spans="1:37" s="748" customFormat="1" ht="24">
      <c r="A54" s="239" t="s">
        <v>901</v>
      </c>
      <c r="B54" s="240" t="str">
        <f>估价对象房地状况!C9</f>
        <v>估价对象所在区域公共配套设施齐备情况</v>
      </c>
      <c r="C54" s="747"/>
      <c r="D54" s="456">
        <f t="shared" si="4"/>
        <v>0</v>
      </c>
      <c r="E54" s="238"/>
      <c r="F54" s="882"/>
      <c r="G54" s="457"/>
      <c r="H54" s="459">
        <f t="shared" si="5"/>
        <v>0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3"/>
      <c r="P54" s="663"/>
      <c r="Q54" s="663"/>
      <c r="R54" s="663"/>
      <c r="S54" s="663"/>
      <c r="T54" s="663"/>
      <c r="U54" s="663"/>
      <c r="V54" s="663"/>
      <c r="W54" s="663"/>
      <c r="X54" s="663"/>
      <c r="Y54" s="663"/>
      <c r="Z54" s="663"/>
      <c r="AA54" s="667"/>
      <c r="AB54" s="667"/>
      <c r="AC54" s="667"/>
      <c r="AD54" s="667"/>
      <c r="AE54" s="667"/>
      <c r="AF54" s="667"/>
      <c r="AG54" s="667"/>
      <c r="AH54" s="666"/>
      <c r="AI54" s="666"/>
      <c r="AJ54" s="666"/>
      <c r="AK54" s="666"/>
    </row>
    <row r="55" spans="1:37" s="748" customFormat="1" ht="24">
      <c r="A55" s="239" t="s">
        <v>902</v>
      </c>
      <c r="B55" s="232" t="str">
        <f>估价对象房地状况!C10</f>
        <v>估价对象所在区域基础设施水平</v>
      </c>
      <c r="C55" s="747"/>
      <c r="D55" s="456">
        <f t="shared" si="4"/>
        <v>0</v>
      </c>
      <c r="E55" s="238"/>
      <c r="F55" s="882"/>
      <c r="G55" s="457"/>
      <c r="H55" s="459">
        <f t="shared" si="5"/>
        <v>0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3"/>
      <c r="P55" s="663"/>
      <c r="Q55" s="663"/>
      <c r="R55" s="663"/>
      <c r="S55" s="663"/>
      <c r="T55" s="663"/>
      <c r="U55" s="663"/>
      <c r="V55" s="663"/>
      <c r="W55" s="663"/>
      <c r="X55" s="663"/>
      <c r="Y55" s="663"/>
      <c r="Z55" s="663"/>
      <c r="AA55" s="667"/>
      <c r="AB55" s="667"/>
      <c r="AC55" s="667"/>
      <c r="AD55" s="667"/>
      <c r="AE55" s="667"/>
      <c r="AF55" s="667"/>
      <c r="AG55" s="667"/>
      <c r="AH55" s="666"/>
      <c r="AI55" s="666"/>
      <c r="AJ55" s="666"/>
      <c r="AK55" s="666"/>
    </row>
    <row r="56" spans="1:37" s="748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7"/>
      <c r="D56" s="456">
        <f t="shared" si="4"/>
        <v>0</v>
      </c>
      <c r="E56" s="244"/>
      <c r="F56" s="882"/>
      <c r="G56" s="457"/>
      <c r="H56" s="459">
        <f t="shared" si="5"/>
        <v>0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3"/>
      <c r="P56" s="663"/>
      <c r="Q56" s="663"/>
      <c r="R56" s="663"/>
      <c r="S56" s="663"/>
      <c r="T56" s="663"/>
      <c r="U56" s="663"/>
      <c r="V56" s="663"/>
      <c r="W56" s="663"/>
      <c r="X56" s="663"/>
      <c r="Y56" s="663"/>
      <c r="Z56" s="663"/>
      <c r="AA56" s="667"/>
      <c r="AB56" s="667"/>
      <c r="AC56" s="667"/>
      <c r="AD56" s="667"/>
      <c r="AE56" s="667"/>
      <c r="AF56" s="667"/>
      <c r="AG56" s="667"/>
      <c r="AH56" s="666"/>
      <c r="AI56" s="666"/>
      <c r="AJ56" s="666"/>
      <c r="AK56" s="666"/>
    </row>
    <row r="57" spans="1:37" s="748" customFormat="1" ht="13.5">
      <c r="A57" s="227" t="s">
        <v>1302</v>
      </c>
      <c r="B57" s="453">
        <f>1+E59</f>
        <v>1</v>
      </c>
      <c r="C57" s="743"/>
      <c r="D57" s="743"/>
      <c r="E57" s="744"/>
      <c r="F57" s="225"/>
      <c r="G57" s="526"/>
      <c r="H57" s="526"/>
      <c r="I57" s="743"/>
      <c r="J57" s="741"/>
      <c r="K57" s="741"/>
      <c r="L57" s="741"/>
      <c r="M57" s="741"/>
      <c r="N57" s="741"/>
      <c r="O57" s="663"/>
      <c r="P57" s="663"/>
      <c r="Q57" s="663"/>
      <c r="R57" s="663"/>
      <c r="S57" s="663"/>
      <c r="T57" s="663"/>
      <c r="U57" s="663"/>
      <c r="V57" s="663"/>
      <c r="W57" s="663"/>
      <c r="X57" s="663"/>
      <c r="Y57" s="663"/>
      <c r="Z57" s="663"/>
      <c r="AA57" s="667"/>
      <c r="AB57" s="667"/>
      <c r="AC57" s="667"/>
      <c r="AD57" s="667"/>
      <c r="AE57" s="667"/>
      <c r="AF57" s="667"/>
      <c r="AG57" s="667"/>
      <c r="AH57" s="666"/>
      <c r="AI57" s="666"/>
      <c r="AJ57" s="666"/>
      <c r="AK57" s="666"/>
    </row>
    <row r="58" spans="1:37" s="748" customFormat="1" ht="24">
      <c r="A58" s="231" t="s">
        <v>892</v>
      </c>
      <c r="B58" s="232"/>
      <c r="C58" s="232" t="s">
        <v>894</v>
      </c>
      <c r="D58" s="232" t="s">
        <v>1455</v>
      </c>
      <c r="E58" s="745" t="s">
        <v>1462</v>
      </c>
      <c r="F58" s="867" t="s">
        <v>1141</v>
      </c>
      <c r="G58" s="232" t="s">
        <v>1478</v>
      </c>
      <c r="H58" s="868" t="s">
        <v>1158</v>
      </c>
      <c r="I58" s="232" t="s">
        <v>1476</v>
      </c>
      <c r="J58" s="746" t="s">
        <v>14</v>
      </c>
      <c r="K58" s="746" t="s">
        <v>13</v>
      </c>
      <c r="L58" s="746" t="s">
        <v>1463</v>
      </c>
      <c r="M58" s="746" t="s">
        <v>1464</v>
      </c>
      <c r="N58" s="746" t="s">
        <v>1465</v>
      </c>
      <c r="O58" s="663"/>
      <c r="P58" s="663"/>
      <c r="Q58" s="663"/>
      <c r="R58" s="663"/>
      <c r="S58" s="663"/>
      <c r="T58" s="663"/>
      <c r="U58" s="663"/>
      <c r="V58" s="663"/>
      <c r="W58" s="663"/>
      <c r="X58" s="663"/>
      <c r="Y58" s="663"/>
      <c r="Z58" s="663"/>
      <c r="AA58" s="667"/>
      <c r="AB58" s="667"/>
      <c r="AC58" s="667"/>
      <c r="AD58" s="667"/>
      <c r="AE58" s="667"/>
      <c r="AF58" s="667"/>
      <c r="AG58" s="667"/>
      <c r="AH58" s="666"/>
      <c r="AI58" s="666"/>
      <c r="AJ58" s="666"/>
      <c r="AK58" s="666"/>
    </row>
    <row r="59" spans="1:37" s="748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7"/>
      <c r="D59" s="456">
        <f t="shared" ref="D59:D67" si="9">SUMIF($J$58:$N$58,C59,J59:N59)</f>
        <v>0</v>
      </c>
      <c r="E59" s="237">
        <f>ROUND(SUM(D59:D67),4)</f>
        <v>0</v>
      </c>
      <c r="F59" s="882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3"/>
      <c r="P59" s="663"/>
      <c r="Q59" s="663"/>
      <c r="R59" s="663"/>
      <c r="S59" s="663"/>
      <c r="T59" s="663"/>
      <c r="U59" s="663"/>
      <c r="V59" s="663"/>
      <c r="W59" s="663"/>
      <c r="X59" s="663"/>
      <c r="Y59" s="663"/>
      <c r="Z59" s="663"/>
      <c r="AA59" s="667"/>
      <c r="AB59" s="667"/>
      <c r="AC59" s="667"/>
      <c r="AD59" s="667"/>
      <c r="AE59" s="667"/>
      <c r="AF59" s="667"/>
      <c r="AG59" s="667"/>
      <c r="AH59" s="666"/>
      <c r="AI59" s="666"/>
      <c r="AJ59" s="666"/>
      <c r="AK59" s="666"/>
    </row>
    <row r="60" spans="1:37" s="748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7"/>
      <c r="D60" s="456">
        <f t="shared" si="9"/>
        <v>0</v>
      </c>
      <c r="E60" s="238"/>
      <c r="F60" s="882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3"/>
      <c r="P60" s="663"/>
      <c r="Q60" s="663"/>
      <c r="R60" s="663"/>
      <c r="S60" s="663"/>
      <c r="T60" s="663"/>
      <c r="U60" s="663"/>
      <c r="V60" s="663"/>
      <c r="W60" s="663"/>
      <c r="X60" s="663"/>
      <c r="Y60" s="663"/>
      <c r="Z60" s="663"/>
      <c r="AA60" s="667"/>
      <c r="AB60" s="667"/>
      <c r="AC60" s="667"/>
      <c r="AD60" s="667"/>
      <c r="AE60" s="667"/>
      <c r="AF60" s="667"/>
      <c r="AG60" s="667"/>
      <c r="AH60" s="666"/>
      <c r="AI60" s="666"/>
      <c r="AJ60" s="666"/>
      <c r="AK60" s="666"/>
    </row>
    <row r="61" spans="1:37" s="748" customFormat="1" ht="24">
      <c r="A61" s="231" t="s">
        <v>897</v>
      </c>
      <c r="B61" s="232" t="str">
        <f>估价对象房地状况!C7</f>
        <v>零星有其他用地，基本不影响本宗地</v>
      </c>
      <c r="C61" s="747"/>
      <c r="D61" s="456">
        <f t="shared" si="9"/>
        <v>0</v>
      </c>
      <c r="E61" s="238"/>
      <c r="F61" s="882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3"/>
      <c r="P61" s="663"/>
      <c r="Q61" s="663"/>
      <c r="R61" s="663"/>
      <c r="S61" s="663"/>
      <c r="T61" s="663"/>
      <c r="U61" s="663"/>
      <c r="V61" s="663"/>
      <c r="W61" s="663"/>
      <c r="X61" s="663"/>
      <c r="Y61" s="663"/>
      <c r="Z61" s="663"/>
      <c r="AA61" s="667"/>
      <c r="AB61" s="667"/>
      <c r="AC61" s="667"/>
      <c r="AD61" s="667"/>
      <c r="AE61" s="667"/>
      <c r="AF61" s="667"/>
      <c r="AG61" s="667"/>
      <c r="AH61" s="666"/>
      <c r="AI61" s="666"/>
      <c r="AJ61" s="666"/>
      <c r="AK61" s="666"/>
    </row>
    <row r="62" spans="1:37" s="748" customFormat="1" ht="36">
      <c r="A62" s="231" t="s">
        <v>898</v>
      </c>
      <c r="B62" s="1450" t="s">
        <v>1736</v>
      </c>
      <c r="C62" s="747"/>
      <c r="D62" s="456">
        <f t="shared" si="9"/>
        <v>0</v>
      </c>
      <c r="E62" s="238"/>
      <c r="F62" s="882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3"/>
      <c r="P62" s="663"/>
      <c r="Q62" s="663"/>
      <c r="R62" s="663"/>
      <c r="S62" s="663"/>
      <c r="T62" s="663"/>
      <c r="U62" s="663"/>
      <c r="V62" s="663"/>
      <c r="W62" s="663"/>
      <c r="X62" s="663"/>
      <c r="Y62" s="663"/>
      <c r="Z62" s="663"/>
      <c r="AA62" s="667"/>
      <c r="AB62" s="667"/>
      <c r="AC62" s="667"/>
      <c r="AD62" s="667"/>
      <c r="AE62" s="667"/>
      <c r="AF62" s="667"/>
      <c r="AG62" s="667"/>
      <c r="AH62" s="666"/>
      <c r="AI62" s="666"/>
      <c r="AJ62" s="666"/>
      <c r="AK62" s="666"/>
    </row>
    <row r="63" spans="1:37" s="748" customFormat="1" ht="24">
      <c r="A63" s="231" t="s">
        <v>899</v>
      </c>
      <c r="B63" s="232">
        <f>估价对象房地状况!C12</f>
        <v>0</v>
      </c>
      <c r="C63" s="747"/>
      <c r="D63" s="456">
        <f t="shared" si="9"/>
        <v>0</v>
      </c>
      <c r="E63" s="238"/>
      <c r="F63" s="882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3"/>
      <c r="P63" s="663"/>
      <c r="Q63" s="663"/>
      <c r="R63" s="663"/>
      <c r="S63" s="663"/>
      <c r="T63" s="663"/>
      <c r="U63" s="663"/>
      <c r="V63" s="663"/>
      <c r="W63" s="663"/>
      <c r="X63" s="663"/>
      <c r="Y63" s="663"/>
      <c r="Z63" s="663"/>
      <c r="AA63" s="667"/>
      <c r="AB63" s="667"/>
      <c r="AC63" s="667"/>
      <c r="AD63" s="667"/>
      <c r="AE63" s="667"/>
      <c r="AF63" s="667"/>
      <c r="AG63" s="667"/>
      <c r="AH63" s="666"/>
      <c r="AI63" s="666"/>
      <c r="AJ63" s="666"/>
      <c r="AK63" s="666"/>
    </row>
    <row r="64" spans="1:37" s="748" customFormat="1" ht="24">
      <c r="A64" s="231" t="s">
        <v>900</v>
      </c>
      <c r="B64" s="1451" t="s">
        <v>1737</v>
      </c>
      <c r="C64" s="747"/>
      <c r="D64" s="456">
        <f t="shared" si="9"/>
        <v>0</v>
      </c>
      <c r="E64" s="238"/>
      <c r="F64" s="882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3"/>
      <c r="P64" s="663"/>
      <c r="Q64" s="663"/>
      <c r="R64" s="663"/>
      <c r="S64" s="663"/>
      <c r="T64" s="663"/>
      <c r="U64" s="663"/>
      <c r="V64" s="663"/>
      <c r="W64" s="663"/>
      <c r="X64" s="663"/>
      <c r="Y64" s="663"/>
      <c r="Z64" s="663"/>
      <c r="AA64" s="667"/>
      <c r="AB64" s="667"/>
      <c r="AC64" s="667"/>
      <c r="AD64" s="667"/>
      <c r="AE64" s="667"/>
      <c r="AF64" s="667"/>
      <c r="AG64" s="667"/>
      <c r="AH64" s="666"/>
      <c r="AI64" s="666"/>
      <c r="AJ64" s="666"/>
      <c r="AK64" s="666"/>
    </row>
    <row r="65" spans="1:37" s="748" customFormat="1" ht="24">
      <c r="A65" s="231" t="s">
        <v>901</v>
      </c>
      <c r="B65" s="240" t="str">
        <f>估价对象房地状况!C9</f>
        <v>估价对象所在区域公共配套设施齐备情况</v>
      </c>
      <c r="C65" s="747"/>
      <c r="D65" s="456">
        <f t="shared" si="9"/>
        <v>0</v>
      </c>
      <c r="E65" s="238"/>
      <c r="F65" s="882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3"/>
      <c r="P65" s="663"/>
      <c r="Q65" s="663"/>
      <c r="R65" s="663"/>
      <c r="S65" s="663"/>
      <c r="T65" s="663"/>
      <c r="U65" s="663"/>
      <c r="V65" s="663"/>
      <c r="W65" s="663"/>
      <c r="X65" s="663"/>
      <c r="Y65" s="663"/>
      <c r="Z65" s="663"/>
      <c r="AA65" s="667"/>
      <c r="AB65" s="667"/>
      <c r="AC65" s="667"/>
      <c r="AD65" s="667"/>
      <c r="AE65" s="667"/>
      <c r="AF65" s="667"/>
      <c r="AG65" s="667"/>
      <c r="AH65" s="666"/>
      <c r="AI65" s="666"/>
      <c r="AJ65" s="666"/>
      <c r="AK65" s="666"/>
    </row>
    <row r="66" spans="1:37" s="748" customFormat="1" ht="24">
      <c r="A66" s="231" t="s">
        <v>902</v>
      </c>
      <c r="B66" s="240" t="str">
        <f>估价对象房地状况!C10</f>
        <v>估价对象所在区域基础设施水平</v>
      </c>
      <c r="C66" s="747"/>
      <c r="D66" s="456">
        <f t="shared" si="9"/>
        <v>0</v>
      </c>
      <c r="E66" s="238"/>
      <c r="F66" s="882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3"/>
      <c r="P66" s="663"/>
      <c r="Q66" s="663"/>
      <c r="R66" s="663"/>
      <c r="S66" s="663"/>
      <c r="T66" s="663"/>
      <c r="U66" s="663"/>
      <c r="V66" s="663"/>
      <c r="W66" s="663"/>
      <c r="X66" s="663"/>
      <c r="Y66" s="663"/>
      <c r="Z66" s="663"/>
      <c r="AA66" s="667"/>
      <c r="AB66" s="667"/>
      <c r="AC66" s="667"/>
      <c r="AD66" s="667"/>
      <c r="AE66" s="667"/>
      <c r="AF66" s="667"/>
      <c r="AG66" s="667"/>
      <c r="AH66" s="666"/>
      <c r="AI66" s="666"/>
      <c r="AJ66" s="666"/>
      <c r="AK66" s="666"/>
    </row>
    <row r="67" spans="1:37" s="748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7"/>
      <c r="D67" s="456">
        <f t="shared" si="9"/>
        <v>0</v>
      </c>
      <c r="E67" s="244"/>
      <c r="F67" s="882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3"/>
      <c r="P67" s="663"/>
      <c r="Q67" s="663"/>
      <c r="R67" s="663"/>
      <c r="S67" s="663"/>
      <c r="T67" s="663"/>
      <c r="U67" s="663"/>
      <c r="V67" s="663"/>
      <c r="W67" s="663"/>
      <c r="X67" s="663"/>
      <c r="Y67" s="663"/>
      <c r="Z67" s="663"/>
      <c r="AA67" s="667"/>
      <c r="AB67" s="667"/>
      <c r="AC67" s="667"/>
      <c r="AD67" s="667"/>
      <c r="AE67" s="667"/>
      <c r="AF67" s="667"/>
      <c r="AG67" s="667"/>
      <c r="AH67" s="666"/>
      <c r="AI67" s="666"/>
      <c r="AJ67" s="666"/>
      <c r="AK67" s="666"/>
    </row>
    <row r="68" spans="1:37" s="748" customFormat="1" ht="13.5">
      <c r="A68" s="227" t="s">
        <v>1303</v>
      </c>
      <c r="B68" s="453">
        <f>1+E70</f>
        <v>1</v>
      </c>
      <c r="C68" s="743"/>
      <c r="D68" s="743"/>
      <c r="E68" s="744"/>
      <c r="F68" s="225"/>
      <c r="G68" s="526"/>
      <c r="H68" s="526"/>
      <c r="I68" s="743"/>
      <c r="J68" s="741"/>
      <c r="K68" s="741"/>
      <c r="L68" s="741"/>
      <c r="M68" s="741"/>
      <c r="N68" s="741"/>
      <c r="O68" s="663"/>
      <c r="P68" s="663"/>
      <c r="Q68" s="663"/>
      <c r="R68" s="663"/>
      <c r="S68" s="663"/>
      <c r="T68" s="663"/>
      <c r="U68" s="663"/>
      <c r="V68" s="663"/>
      <c r="W68" s="663"/>
      <c r="X68" s="663"/>
      <c r="Y68" s="663"/>
      <c r="Z68" s="663"/>
      <c r="AA68" s="667"/>
      <c r="AB68" s="667"/>
      <c r="AC68" s="667"/>
      <c r="AD68" s="667"/>
      <c r="AE68" s="667"/>
      <c r="AF68" s="667"/>
      <c r="AG68" s="667"/>
      <c r="AH68" s="666"/>
      <c r="AI68" s="666"/>
      <c r="AJ68" s="666"/>
      <c r="AK68" s="666"/>
    </row>
    <row r="69" spans="1:37" s="748" customFormat="1" ht="24">
      <c r="A69" s="231" t="s">
        <v>892</v>
      </c>
      <c r="B69" s="232"/>
      <c r="C69" s="232" t="s">
        <v>894</v>
      </c>
      <c r="D69" s="232" t="s">
        <v>1455</v>
      </c>
      <c r="E69" s="745" t="s">
        <v>1462</v>
      </c>
      <c r="F69" s="867" t="s">
        <v>1141</v>
      </c>
      <c r="G69" s="232" t="s">
        <v>1478</v>
      </c>
      <c r="H69" s="868" t="s">
        <v>1158</v>
      </c>
      <c r="I69" s="232" t="s">
        <v>1476</v>
      </c>
      <c r="J69" s="746" t="s">
        <v>14</v>
      </c>
      <c r="K69" s="746" t="s">
        <v>13</v>
      </c>
      <c r="L69" s="746" t="s">
        <v>1463</v>
      </c>
      <c r="M69" s="746" t="s">
        <v>1464</v>
      </c>
      <c r="N69" s="746" t="s">
        <v>1465</v>
      </c>
      <c r="O69" s="663"/>
      <c r="P69" s="663"/>
      <c r="Q69" s="663"/>
      <c r="R69" s="663"/>
      <c r="S69" s="663"/>
      <c r="T69" s="663"/>
      <c r="U69" s="663"/>
      <c r="V69" s="663"/>
      <c r="W69" s="663"/>
      <c r="X69" s="663"/>
      <c r="Y69" s="663"/>
      <c r="Z69" s="663"/>
      <c r="AA69" s="667"/>
      <c r="AB69" s="667"/>
      <c r="AC69" s="667"/>
      <c r="AD69" s="667"/>
      <c r="AE69" s="667"/>
      <c r="AF69" s="667"/>
      <c r="AG69" s="667"/>
      <c r="AH69" s="666"/>
      <c r="AI69" s="666"/>
      <c r="AJ69" s="666"/>
      <c r="AK69" s="666"/>
    </row>
    <row r="70" spans="1:37" s="748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7"/>
      <c r="D70" s="456">
        <f t="shared" ref="D70:D78" si="14">SUMIF($J$69:$N$69,C70,J70:N70)</f>
        <v>0</v>
      </c>
      <c r="E70" s="237">
        <f>ROUND(SUM(D70:D78),4)</f>
        <v>0</v>
      </c>
      <c r="F70" s="882" t="str">
        <f>IF(E2="住宅/居住",SUMIF(L1:L12,G2,N1:N12),"——")</f>
        <v>——</v>
      </c>
      <c r="G70" s="457"/>
      <c r="H70" s="459" t="str">
        <f t="shared" ref="H70:H78" si="15">IFERROR($F$70*I70/2,"——")</f>
        <v>——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3"/>
      <c r="P70" s="663"/>
      <c r="Q70" s="663"/>
      <c r="R70" s="663"/>
      <c r="S70" s="663"/>
      <c r="T70" s="663"/>
      <c r="U70" s="663"/>
      <c r="V70" s="663"/>
      <c r="W70" s="663"/>
      <c r="X70" s="663"/>
      <c r="Y70" s="663"/>
      <c r="Z70" s="663"/>
      <c r="AA70" s="667"/>
      <c r="AB70" s="667"/>
      <c r="AC70" s="667"/>
      <c r="AD70" s="667"/>
      <c r="AE70" s="667"/>
      <c r="AF70" s="667"/>
      <c r="AG70" s="667"/>
      <c r="AH70" s="666"/>
      <c r="AI70" s="666"/>
      <c r="AJ70" s="666"/>
      <c r="AK70" s="666"/>
    </row>
    <row r="71" spans="1:37" s="748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7"/>
      <c r="D71" s="456">
        <f t="shared" si="14"/>
        <v>0</v>
      </c>
      <c r="E71" s="246"/>
      <c r="F71" s="883"/>
      <c r="G71" s="457"/>
      <c r="H71" s="459" t="str">
        <f t="shared" si="15"/>
        <v>——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3"/>
      <c r="P71" s="663"/>
      <c r="Q71" s="663"/>
      <c r="R71" s="663"/>
      <c r="S71" s="663"/>
      <c r="T71" s="663"/>
      <c r="U71" s="663"/>
      <c r="V71" s="663"/>
      <c r="W71" s="663"/>
      <c r="X71" s="663"/>
      <c r="Y71" s="663"/>
      <c r="Z71" s="663"/>
      <c r="AA71" s="667"/>
      <c r="AB71" s="667"/>
      <c r="AC71" s="667"/>
      <c r="AD71" s="667"/>
      <c r="AE71" s="667"/>
      <c r="AF71" s="667"/>
      <c r="AG71" s="667"/>
      <c r="AH71" s="666"/>
      <c r="AI71" s="666"/>
      <c r="AJ71" s="666"/>
      <c r="AK71" s="666"/>
    </row>
    <row r="72" spans="1:37" s="748" customFormat="1" ht="24">
      <c r="A72" s="231" t="s">
        <v>897</v>
      </c>
      <c r="B72" s="232" t="str">
        <f>估价对象房地状况!C7</f>
        <v>零星有其他用地，基本不影响本宗地</v>
      </c>
      <c r="C72" s="747"/>
      <c r="D72" s="456">
        <f t="shared" si="14"/>
        <v>0</v>
      </c>
      <c r="E72" s="246"/>
      <c r="F72" s="883"/>
      <c r="G72" s="457"/>
      <c r="H72" s="459" t="str">
        <f t="shared" si="15"/>
        <v>——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3"/>
      <c r="P72" s="663"/>
      <c r="Q72" s="663"/>
      <c r="R72" s="663"/>
      <c r="S72" s="663"/>
      <c r="T72" s="663"/>
      <c r="U72" s="663"/>
      <c r="V72" s="663"/>
      <c r="W72" s="663"/>
      <c r="X72" s="663"/>
      <c r="Y72" s="663"/>
      <c r="Z72" s="663"/>
      <c r="AA72" s="667"/>
      <c r="AB72" s="667"/>
      <c r="AC72" s="667"/>
      <c r="AD72" s="667"/>
      <c r="AE72" s="667"/>
      <c r="AF72" s="667"/>
      <c r="AG72" s="667"/>
      <c r="AH72" s="666"/>
      <c r="AI72" s="666"/>
      <c r="AJ72" s="666"/>
      <c r="AK72" s="666"/>
    </row>
    <row r="73" spans="1:37" s="748" customFormat="1" ht="14.25">
      <c r="A73" s="231" t="s">
        <v>906</v>
      </c>
      <c r="B73" s="232">
        <f>估价对象房地状况!C12</f>
        <v>0</v>
      </c>
      <c r="C73" s="747"/>
      <c r="D73" s="456">
        <f t="shared" si="14"/>
        <v>0</v>
      </c>
      <c r="E73" s="246"/>
      <c r="F73" s="883"/>
      <c r="G73" s="457"/>
      <c r="H73" s="459" t="str">
        <f t="shared" si="15"/>
        <v>——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3"/>
      <c r="P73" s="663"/>
      <c r="Q73" s="663"/>
      <c r="R73" s="663"/>
      <c r="S73" s="663"/>
      <c r="T73" s="663"/>
      <c r="U73" s="663"/>
      <c r="V73" s="663"/>
      <c r="W73" s="663"/>
      <c r="X73" s="663"/>
      <c r="Y73" s="663"/>
      <c r="Z73" s="663"/>
      <c r="AA73" s="667"/>
      <c r="AB73" s="667"/>
      <c r="AC73" s="667"/>
      <c r="AD73" s="667"/>
      <c r="AE73" s="667"/>
      <c r="AF73" s="667"/>
      <c r="AG73" s="667"/>
      <c r="AH73" s="666"/>
      <c r="AI73" s="666"/>
      <c r="AJ73" s="666"/>
      <c r="AK73" s="666"/>
    </row>
    <row r="74" spans="1:37" s="748" customFormat="1" ht="24">
      <c r="A74" s="231" t="s">
        <v>901</v>
      </c>
      <c r="B74" s="240" t="str">
        <f>估价对象房地状况!C9</f>
        <v>估价对象所在区域公共配套设施齐备情况</v>
      </c>
      <c r="C74" s="747"/>
      <c r="D74" s="456">
        <f t="shared" si="14"/>
        <v>0</v>
      </c>
      <c r="E74" s="246"/>
      <c r="F74" s="883"/>
      <c r="G74" s="457"/>
      <c r="H74" s="459" t="str">
        <f t="shared" si="15"/>
        <v>——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3"/>
      <c r="P74" s="663"/>
      <c r="Q74" s="663"/>
      <c r="R74" s="663"/>
      <c r="S74" s="663"/>
      <c r="T74" s="663"/>
      <c r="U74" s="663"/>
      <c r="V74" s="663"/>
      <c r="W74" s="663"/>
      <c r="X74" s="663"/>
      <c r="Y74" s="663"/>
      <c r="Z74" s="663"/>
      <c r="AA74" s="667"/>
      <c r="AB74" s="667"/>
      <c r="AC74" s="667"/>
      <c r="AD74" s="667"/>
      <c r="AE74" s="667"/>
      <c r="AF74" s="667"/>
      <c r="AG74" s="667"/>
      <c r="AH74" s="666"/>
      <c r="AI74" s="666"/>
      <c r="AJ74" s="666"/>
      <c r="AK74" s="666"/>
    </row>
    <row r="75" spans="1:37" s="748" customFormat="1" ht="24">
      <c r="A75" s="231" t="s">
        <v>902</v>
      </c>
      <c r="B75" s="240" t="str">
        <f>估价对象房地状况!C10</f>
        <v>估价对象所在区域基础设施水平</v>
      </c>
      <c r="C75" s="747"/>
      <c r="D75" s="456">
        <f t="shared" si="14"/>
        <v>0</v>
      </c>
      <c r="E75" s="246"/>
      <c r="F75" s="883"/>
      <c r="G75" s="457"/>
      <c r="H75" s="459" t="str">
        <f t="shared" si="15"/>
        <v>——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3"/>
      <c r="P75" s="663"/>
      <c r="Q75" s="663"/>
      <c r="R75" s="663"/>
      <c r="S75" s="663"/>
      <c r="T75" s="663"/>
      <c r="U75" s="663"/>
      <c r="V75" s="663"/>
      <c r="W75" s="663"/>
      <c r="X75" s="663"/>
      <c r="Y75" s="663"/>
      <c r="Z75" s="663"/>
      <c r="AA75" s="667"/>
      <c r="AB75" s="667"/>
      <c r="AC75" s="667"/>
      <c r="AD75" s="667"/>
      <c r="AE75" s="667"/>
      <c r="AF75" s="667"/>
      <c r="AG75" s="667"/>
      <c r="AH75" s="666"/>
      <c r="AI75" s="666"/>
      <c r="AJ75" s="666"/>
      <c r="AK75" s="666"/>
    </row>
    <row r="76" spans="1:37" ht="24">
      <c r="A76" s="231" t="s">
        <v>900</v>
      </c>
      <c r="B76" s="1451" t="s">
        <v>1737</v>
      </c>
      <c r="C76" s="747"/>
      <c r="D76" s="456">
        <f t="shared" si="14"/>
        <v>0</v>
      </c>
      <c r="E76" s="246"/>
      <c r="F76" s="883"/>
      <c r="G76" s="457"/>
      <c r="H76" s="459" t="str">
        <f t="shared" si="15"/>
        <v>——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4"/>
      <c r="AA76" s="665"/>
      <c r="AG76" s="666"/>
      <c r="AK76" s="665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7"/>
      <c r="D77" s="456">
        <f t="shared" si="14"/>
        <v>0</v>
      </c>
      <c r="E77" s="246"/>
      <c r="F77" s="883"/>
      <c r="G77" s="457"/>
      <c r="H77" s="459" t="str">
        <f t="shared" si="15"/>
        <v>——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4"/>
      <c r="AA77" s="665"/>
      <c r="AG77" s="666"/>
      <c r="AK77" s="665"/>
    </row>
    <row r="78" spans="1:37" ht="24.75" thickBot="1">
      <c r="A78" s="241" t="s">
        <v>907</v>
      </c>
      <c r="B78" s="455"/>
      <c r="C78" s="747"/>
      <c r="D78" s="456">
        <f t="shared" si="14"/>
        <v>0</v>
      </c>
      <c r="E78" s="247"/>
      <c r="F78" s="883"/>
      <c r="G78" s="457"/>
      <c r="H78" s="459" t="str">
        <f t="shared" si="15"/>
        <v>——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4"/>
      <c r="AA78" s="665"/>
      <c r="AG78" s="666"/>
      <c r="AK78" s="665"/>
    </row>
    <row r="79" spans="1:37" ht="13.5">
      <c r="A79" s="227" t="s">
        <v>317</v>
      </c>
      <c r="B79" s="453">
        <f>1+E81</f>
        <v>1</v>
      </c>
      <c r="C79" s="743"/>
      <c r="D79" s="743"/>
      <c r="E79" s="744"/>
      <c r="F79" s="225"/>
      <c r="G79" s="526"/>
      <c r="H79" s="526"/>
      <c r="I79" s="743"/>
      <c r="J79" s="741"/>
      <c r="K79" s="741"/>
      <c r="L79" s="741"/>
      <c r="M79" s="741"/>
      <c r="N79" s="741"/>
      <c r="Z79" s="664"/>
      <c r="AA79" s="665"/>
      <c r="AG79" s="666"/>
      <c r="AK79" s="665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5" t="s">
        <v>1462</v>
      </c>
      <c r="F80" s="867" t="s">
        <v>1141</v>
      </c>
      <c r="G80" s="232" t="s">
        <v>1478</v>
      </c>
      <c r="H80" s="868" t="s">
        <v>1158</v>
      </c>
      <c r="I80" s="232" t="s">
        <v>1476</v>
      </c>
      <c r="J80" s="746" t="s">
        <v>14</v>
      </c>
      <c r="K80" s="746" t="s">
        <v>13</v>
      </c>
      <c r="L80" s="746" t="s">
        <v>1463</v>
      </c>
      <c r="M80" s="746" t="s">
        <v>1464</v>
      </c>
      <c r="N80" s="746" t="s">
        <v>1465</v>
      </c>
      <c r="Z80" s="664"/>
      <c r="AA80" s="665"/>
      <c r="AG80" s="666"/>
      <c r="AK80" s="665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7"/>
      <c r="D81" s="456">
        <f t="shared" ref="D81:D88" si="19">SUMIF($J$80:$N$80,C81,J81:N81)</f>
        <v>0</v>
      </c>
      <c r="E81" s="237">
        <f>ROUND(SUM(D81:D88),4)</f>
        <v>0</v>
      </c>
      <c r="F81" s="882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4"/>
      <c r="AA81" s="665"/>
      <c r="AG81" s="666"/>
      <c r="AK81" s="665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7"/>
      <c r="D82" s="456">
        <f t="shared" si="19"/>
        <v>0</v>
      </c>
      <c r="E82" s="246"/>
      <c r="F82" s="883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4"/>
      <c r="AA82" s="665"/>
      <c r="AG82" s="666"/>
      <c r="AK82" s="665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7"/>
      <c r="D83" s="456">
        <f t="shared" si="19"/>
        <v>0</v>
      </c>
      <c r="E83" s="246"/>
      <c r="F83" s="883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4"/>
      <c r="AA83" s="665"/>
      <c r="AG83" s="666"/>
      <c r="AK83" s="665"/>
    </row>
    <row r="84" spans="1:37" ht="14.25">
      <c r="A84" s="231" t="s">
        <v>906</v>
      </c>
      <c r="B84" s="232">
        <f>估价对象房地状况!G10</f>
        <v>0</v>
      </c>
      <c r="C84" s="747"/>
      <c r="D84" s="456">
        <f t="shared" si="19"/>
        <v>0</v>
      </c>
      <c r="E84" s="246"/>
      <c r="F84" s="883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4"/>
      <c r="AA84" s="665"/>
      <c r="AG84" s="666"/>
      <c r="AK84" s="665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7"/>
      <c r="D85" s="456">
        <f t="shared" si="19"/>
        <v>0</v>
      </c>
      <c r="E85" s="246"/>
      <c r="F85" s="883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4"/>
      <c r="AA85" s="665"/>
      <c r="AG85" s="666"/>
      <c r="AK85" s="665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7"/>
      <c r="D86" s="456">
        <f t="shared" si="19"/>
        <v>0</v>
      </c>
      <c r="E86" s="246"/>
      <c r="F86" s="883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4"/>
      <c r="AA86" s="665"/>
      <c r="AG86" s="666"/>
      <c r="AK86" s="665"/>
    </row>
    <row r="87" spans="1:37" ht="24">
      <c r="A87" s="231" t="s">
        <v>900</v>
      </c>
      <c r="B87" s="1451" t="s">
        <v>1737</v>
      </c>
      <c r="C87" s="747"/>
      <c r="D87" s="456">
        <f t="shared" si="19"/>
        <v>0</v>
      </c>
      <c r="E87" s="246"/>
      <c r="F87" s="883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4"/>
      <c r="AA87" s="665"/>
      <c r="AG87" s="666"/>
      <c r="AK87" s="665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7"/>
      <c r="D88" s="456">
        <f t="shared" si="19"/>
        <v>0</v>
      </c>
      <c r="E88" s="247"/>
      <c r="F88" s="883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4"/>
      <c r="AA88" s="665"/>
      <c r="AG88" s="666"/>
      <c r="AK88" s="665"/>
    </row>
    <row r="91" spans="1:37">
      <c r="A91" s="1707" t="s">
        <v>1159</v>
      </c>
      <c r="B91" s="1707"/>
      <c r="C91" s="1707"/>
      <c r="D91" s="1707"/>
      <c r="E91" s="1707"/>
      <c r="F91" s="1707"/>
      <c r="G91" s="1707"/>
      <c r="H91" s="1707"/>
      <c r="I91" s="1707"/>
      <c r="J91" s="1707"/>
      <c r="K91" s="609"/>
      <c r="L91" s="609"/>
      <c r="M91" s="609"/>
      <c r="N91" s="609"/>
    </row>
    <row r="92" spans="1:37">
      <c r="A92" s="1696" t="s">
        <v>1160</v>
      </c>
      <c r="B92" s="1696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6"/>
      <c r="B93" s="1696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7" t="s">
        <v>1479</v>
      </c>
      <c r="B94" s="884">
        <v>1</v>
      </c>
      <c r="C94" s="885">
        <v>1.9361999999999999</v>
      </c>
      <c r="D94" s="885">
        <v>1.9361999999999999</v>
      </c>
      <c r="E94" s="885">
        <v>1.8629</v>
      </c>
      <c r="F94" s="885">
        <v>1.8629</v>
      </c>
      <c r="G94" s="885">
        <v>1.8629</v>
      </c>
      <c r="H94" s="885">
        <v>1.8629</v>
      </c>
      <c r="I94" s="885">
        <v>1.8629</v>
      </c>
      <c r="J94" s="885">
        <v>1.9419999999999999</v>
      </c>
      <c r="K94" s="885">
        <v>1.9419999999999999</v>
      </c>
      <c r="L94" s="885">
        <v>1.9419999999999999</v>
      </c>
      <c r="M94" s="885">
        <v>1.9419999999999999</v>
      </c>
      <c r="N94" s="885">
        <v>1.9419999999999999</v>
      </c>
    </row>
    <row r="95" spans="1:37" ht="12.75">
      <c r="A95" s="1698"/>
      <c r="B95" s="884">
        <v>2</v>
      </c>
      <c r="C95" s="885">
        <v>1.4198</v>
      </c>
      <c r="D95" s="885">
        <v>1.4198</v>
      </c>
      <c r="E95" s="885">
        <v>1.3371999999999999</v>
      </c>
      <c r="F95" s="885">
        <v>1.3371999999999999</v>
      </c>
      <c r="G95" s="885">
        <v>1.3371999999999999</v>
      </c>
      <c r="H95" s="885">
        <v>1.3371999999999999</v>
      </c>
      <c r="I95" s="885">
        <v>1.3371999999999999</v>
      </c>
      <c r="J95" s="885">
        <v>1.2799</v>
      </c>
      <c r="K95" s="885">
        <v>1.2799</v>
      </c>
      <c r="L95" s="885">
        <v>1.2799</v>
      </c>
      <c r="M95" s="885">
        <v>1.2799</v>
      </c>
      <c r="N95" s="885">
        <v>1.2799</v>
      </c>
    </row>
    <row r="96" spans="1:37" ht="12.75">
      <c r="A96" s="1698"/>
      <c r="B96" s="884">
        <v>3</v>
      </c>
      <c r="C96" s="885">
        <v>1.1594</v>
      </c>
      <c r="D96" s="885">
        <v>1.1594</v>
      </c>
      <c r="E96" s="885">
        <v>1.0788</v>
      </c>
      <c r="F96" s="885">
        <v>1.0788</v>
      </c>
      <c r="G96" s="885">
        <v>1.0788</v>
      </c>
      <c r="H96" s="885">
        <v>1.0788</v>
      </c>
      <c r="I96" s="885">
        <v>1.0788</v>
      </c>
      <c r="J96" s="885">
        <v>1.0072000000000001</v>
      </c>
      <c r="K96" s="885">
        <v>1.0072000000000001</v>
      </c>
      <c r="L96" s="885">
        <v>1.0072000000000001</v>
      </c>
      <c r="M96" s="885">
        <v>1.0072000000000001</v>
      </c>
      <c r="N96" s="885">
        <v>1.0072000000000001</v>
      </c>
    </row>
    <row r="97" spans="1:14" ht="12.75">
      <c r="A97" s="1698"/>
      <c r="B97" s="884">
        <v>4</v>
      </c>
      <c r="C97" s="885">
        <v>0.96220000000000006</v>
      </c>
      <c r="D97" s="885">
        <v>0.96220000000000006</v>
      </c>
      <c r="E97" s="885">
        <v>0.86560000000000004</v>
      </c>
      <c r="F97" s="885">
        <v>0.86560000000000004</v>
      </c>
      <c r="G97" s="885">
        <v>0.86560000000000004</v>
      </c>
      <c r="H97" s="885">
        <v>0.86560000000000004</v>
      </c>
      <c r="I97" s="885">
        <v>0.86560000000000004</v>
      </c>
      <c r="J97" s="885">
        <v>0.75249999999999995</v>
      </c>
      <c r="K97" s="885">
        <v>0.75249999999999995</v>
      </c>
      <c r="L97" s="885">
        <v>0.75249999999999995</v>
      </c>
      <c r="M97" s="885">
        <v>0.75249999999999995</v>
      </c>
      <c r="N97" s="885">
        <v>0.75249999999999995</v>
      </c>
    </row>
    <row r="98" spans="1:14" ht="12.75">
      <c r="A98" s="1698"/>
      <c r="B98" s="884">
        <v>5</v>
      </c>
      <c r="C98" s="885">
        <v>0.8417</v>
      </c>
      <c r="D98" s="885">
        <v>0.8417</v>
      </c>
      <c r="E98" s="885">
        <v>0.73709999999999998</v>
      </c>
      <c r="F98" s="885">
        <v>0.73709999999999998</v>
      </c>
      <c r="G98" s="885">
        <v>0.73709999999999998</v>
      </c>
      <c r="H98" s="885">
        <v>0.73709999999999998</v>
      </c>
      <c r="I98" s="885">
        <v>0.73709999999999998</v>
      </c>
      <c r="J98" s="885">
        <v>0.56589999999999996</v>
      </c>
      <c r="K98" s="885">
        <v>0.56589999999999996</v>
      </c>
      <c r="L98" s="885">
        <v>0.56589999999999996</v>
      </c>
      <c r="M98" s="885">
        <v>0.56589999999999996</v>
      </c>
      <c r="N98" s="885">
        <v>0.56589999999999996</v>
      </c>
    </row>
    <row r="99" spans="1:14" ht="12.75">
      <c r="A99" s="1698"/>
      <c r="B99" s="884">
        <v>6</v>
      </c>
      <c r="C99" s="885">
        <v>0.76080000000000003</v>
      </c>
      <c r="D99" s="885">
        <v>0.76080000000000003</v>
      </c>
      <c r="E99" s="885">
        <v>0.6482</v>
      </c>
      <c r="F99" s="885">
        <v>0.6482</v>
      </c>
      <c r="G99" s="885">
        <v>0.6482</v>
      </c>
      <c r="H99" s="885">
        <v>0.6482</v>
      </c>
      <c r="I99" s="885">
        <v>0.6482</v>
      </c>
      <c r="J99" s="885">
        <v>0.45250000000000001</v>
      </c>
      <c r="K99" s="885">
        <v>0.45250000000000001</v>
      </c>
      <c r="L99" s="885">
        <v>0.45250000000000001</v>
      </c>
      <c r="M99" s="885">
        <v>0.45250000000000001</v>
      </c>
      <c r="N99" s="885">
        <v>0.45250000000000001</v>
      </c>
    </row>
    <row r="100" spans="1:14" ht="12.75">
      <c r="A100" s="1698"/>
      <c r="B100" s="884" t="s">
        <v>1482</v>
      </c>
      <c r="C100" s="886">
        <f>$I$3</f>
        <v>1</v>
      </c>
      <c r="D100" s="886">
        <f t="shared" ref="D100:M100" si="24">$I$3</f>
        <v>1</v>
      </c>
      <c r="E100" s="886">
        <f t="shared" si="24"/>
        <v>1</v>
      </c>
      <c r="F100" s="886">
        <f t="shared" si="24"/>
        <v>1</v>
      </c>
      <c r="G100" s="886">
        <f t="shared" si="24"/>
        <v>1</v>
      </c>
      <c r="H100" s="886">
        <f t="shared" si="24"/>
        <v>1</v>
      </c>
      <c r="I100" s="886">
        <f t="shared" si="24"/>
        <v>1</v>
      </c>
      <c r="J100" s="886">
        <f t="shared" si="24"/>
        <v>1</v>
      </c>
      <c r="K100" s="886">
        <f t="shared" si="24"/>
        <v>1</v>
      </c>
      <c r="L100" s="886">
        <f t="shared" si="24"/>
        <v>1</v>
      </c>
      <c r="M100" s="886">
        <f t="shared" si="24"/>
        <v>1</v>
      </c>
      <c r="N100" s="886">
        <f>$I$3</f>
        <v>1</v>
      </c>
    </row>
    <row r="101" spans="1:14" ht="12.75">
      <c r="A101" s="1699"/>
      <c r="B101" s="884">
        <v>7</v>
      </c>
      <c r="C101" s="887">
        <f>(-0.163*(C100^2)-0.59*C100+7617)*(10^(-4))</f>
        <v>0.76162470000000004</v>
      </c>
      <c r="D101" s="887">
        <f>(-0.163*(D100^2)-0.59*D100+7617)*(10^(-4))</f>
        <v>0.76162470000000004</v>
      </c>
      <c r="E101" s="887">
        <f>(-0.161*(E100^2)-7.509*E100+6533)*(10^(-4))</f>
        <v>0.65253300000000003</v>
      </c>
      <c r="F101" s="887">
        <f>(-0.161*(F100^2)-7.509*F100+6533)*(10^(-4))</f>
        <v>0.65253300000000003</v>
      </c>
      <c r="G101" s="887">
        <f>(-0.161*(G100^2)-7.509*G100+6533)*(10^(-4))</f>
        <v>0.65253300000000003</v>
      </c>
      <c r="H101" s="887">
        <f>(-0.161*(H100^2)-7.509*H100+6533)*(10^(-4))</f>
        <v>0.65253300000000003</v>
      </c>
      <c r="I101" s="887">
        <f>(-0.161*(I100^2)-7.509*I100+6533)*(10^(-4))</f>
        <v>0.65253300000000003</v>
      </c>
      <c r="J101" s="887">
        <f>(-0.214*(J100^2)-21.991*J100+4665)*(10^(-4))</f>
        <v>0.46427950000000001</v>
      </c>
      <c r="K101" s="887">
        <f>(-0.214*(K100^2)-21.991*K100+4665)*(10^(-4))</f>
        <v>0.46427950000000001</v>
      </c>
      <c r="L101" s="887">
        <f>(-0.214*(L100^2)-21.991*L100+4665)*(10^(-4))</f>
        <v>0.46427950000000001</v>
      </c>
      <c r="M101" s="887">
        <f>(-0.214*(M100^2)-21.991*M100+4665)*(10^(-4))</f>
        <v>0.46427950000000001</v>
      </c>
      <c r="N101" s="887">
        <f>(-0.214*(N100^2)-21.991*N100+4665)*(10^(-4))</f>
        <v>0.46427950000000001</v>
      </c>
    </row>
    <row r="102" spans="1:14" ht="12.75">
      <c r="A102" s="1697" t="s">
        <v>1480</v>
      </c>
      <c r="B102" s="888" t="s">
        <v>1483</v>
      </c>
      <c r="C102" s="889">
        <f>$G$3</f>
        <v>2.1800000000000002</v>
      </c>
      <c r="D102" s="889">
        <f t="shared" ref="D102:N102" si="25">$G$3</f>
        <v>2.1800000000000002</v>
      </c>
      <c r="E102" s="889">
        <f t="shared" si="25"/>
        <v>2.1800000000000002</v>
      </c>
      <c r="F102" s="889">
        <f t="shared" si="25"/>
        <v>2.1800000000000002</v>
      </c>
      <c r="G102" s="889">
        <f t="shared" si="25"/>
        <v>2.1800000000000002</v>
      </c>
      <c r="H102" s="889">
        <f t="shared" si="25"/>
        <v>2.1800000000000002</v>
      </c>
      <c r="I102" s="889">
        <f t="shared" si="25"/>
        <v>2.1800000000000002</v>
      </c>
      <c r="J102" s="889">
        <f t="shared" si="25"/>
        <v>2.1800000000000002</v>
      </c>
      <c r="K102" s="889">
        <f t="shared" si="25"/>
        <v>2.1800000000000002</v>
      </c>
      <c r="L102" s="889">
        <f t="shared" si="25"/>
        <v>2.1800000000000002</v>
      </c>
      <c r="M102" s="889">
        <f t="shared" si="25"/>
        <v>2.1800000000000002</v>
      </c>
      <c r="N102" s="889">
        <f t="shared" si="25"/>
        <v>2.1800000000000002</v>
      </c>
    </row>
    <row r="103" spans="1:14" ht="12.75">
      <c r="A103" s="1698"/>
      <c r="B103" s="884">
        <v>1</v>
      </c>
      <c r="C103" s="885">
        <f>1.9362/C102</f>
        <v>0.88816513761467875</v>
      </c>
      <c r="D103" s="885">
        <f>1.9362/D102</f>
        <v>0.88816513761467875</v>
      </c>
      <c r="E103" s="885">
        <f>1.8629/E102</f>
        <v>0.85454128440366961</v>
      </c>
      <c r="F103" s="885">
        <f>1.8629/F102</f>
        <v>0.85454128440366961</v>
      </c>
      <c r="G103" s="885">
        <f>1.8629/G102</f>
        <v>0.85454128440366961</v>
      </c>
      <c r="H103" s="885">
        <f>1.8629/H102</f>
        <v>0.85454128440366961</v>
      </c>
      <c r="I103" s="885">
        <f>1.8629/I102</f>
        <v>0.85454128440366961</v>
      </c>
      <c r="J103" s="885">
        <f>1.942/J102</f>
        <v>0.89082568807339446</v>
      </c>
      <c r="K103" s="885">
        <f>1.942/K102</f>
        <v>0.89082568807339446</v>
      </c>
      <c r="L103" s="885">
        <f>1.942/L102</f>
        <v>0.89082568807339446</v>
      </c>
      <c r="M103" s="885">
        <f>1.942/M102</f>
        <v>0.89082568807339446</v>
      </c>
      <c r="N103" s="885">
        <f>1.942/N102</f>
        <v>0.89082568807339446</v>
      </c>
    </row>
    <row r="104" spans="1:14" ht="12.75">
      <c r="A104" s="1698"/>
      <c r="B104" s="884">
        <v>2</v>
      </c>
      <c r="C104" s="885">
        <f>1.4198/C102</f>
        <v>0.65128440366972473</v>
      </c>
      <c r="D104" s="885">
        <f>1.4198/D102</f>
        <v>0.65128440366972473</v>
      </c>
      <c r="E104" s="885">
        <f>1.3372/E102</f>
        <v>0.61339449541284397</v>
      </c>
      <c r="F104" s="885">
        <f>1.3372/F102</f>
        <v>0.61339449541284397</v>
      </c>
      <c r="G104" s="885">
        <f>1.3372/G102</f>
        <v>0.61339449541284397</v>
      </c>
      <c r="H104" s="885">
        <f>1.3372/H102</f>
        <v>0.61339449541284397</v>
      </c>
      <c r="I104" s="885">
        <f>1.3372/I102</f>
        <v>0.61339449541284397</v>
      </c>
      <c r="J104" s="885">
        <f>1.2799/J102</f>
        <v>0.58711009174311923</v>
      </c>
      <c r="K104" s="885">
        <f>1.2799/K102</f>
        <v>0.58711009174311923</v>
      </c>
      <c r="L104" s="885">
        <f>1.2799/L102</f>
        <v>0.58711009174311923</v>
      </c>
      <c r="M104" s="885">
        <f>1.2799/M102</f>
        <v>0.58711009174311923</v>
      </c>
      <c r="N104" s="885">
        <f>1.2799/N102</f>
        <v>0.58711009174311923</v>
      </c>
    </row>
    <row r="105" spans="1:14" ht="12.75">
      <c r="A105" s="1698"/>
      <c r="B105" s="884">
        <v>3</v>
      </c>
      <c r="C105" s="885">
        <f>1.1594/C102</f>
        <v>0.53183486238532107</v>
      </c>
      <c r="D105" s="885">
        <f>1.1594/D102</f>
        <v>0.53183486238532107</v>
      </c>
      <c r="E105" s="885">
        <f>1.0788/E102</f>
        <v>0.49486238532110088</v>
      </c>
      <c r="F105" s="885">
        <f>1.0788/F102</f>
        <v>0.49486238532110088</v>
      </c>
      <c r="G105" s="885">
        <f>1.0788/G102</f>
        <v>0.49486238532110088</v>
      </c>
      <c r="H105" s="885">
        <f>1.0788/H102</f>
        <v>0.49486238532110088</v>
      </c>
      <c r="I105" s="885">
        <f>1.0788/I102</f>
        <v>0.49486238532110088</v>
      </c>
      <c r="J105" s="885">
        <f>1.0072/J102</f>
        <v>0.46201834862385321</v>
      </c>
      <c r="K105" s="885">
        <f>1.0072/K102</f>
        <v>0.46201834862385321</v>
      </c>
      <c r="L105" s="885">
        <f>1.0072/L102</f>
        <v>0.46201834862385321</v>
      </c>
      <c r="M105" s="885">
        <f>1.0072/M102</f>
        <v>0.46201834862385321</v>
      </c>
      <c r="N105" s="885">
        <f>1.0072/N102</f>
        <v>0.46201834862385321</v>
      </c>
    </row>
    <row r="106" spans="1:14" ht="12.75">
      <c r="A106" s="1698"/>
      <c r="B106" s="884">
        <v>4</v>
      </c>
      <c r="C106" s="885">
        <f>0.9622/C102</f>
        <v>0.44137614678899084</v>
      </c>
      <c r="D106" s="885">
        <f>0.9622/D102</f>
        <v>0.44137614678899084</v>
      </c>
      <c r="E106" s="885">
        <f>0.8656/E102</f>
        <v>0.39706422018348625</v>
      </c>
      <c r="F106" s="885">
        <f>0.8656/F102</f>
        <v>0.39706422018348625</v>
      </c>
      <c r="G106" s="885">
        <f>0.8656/G102</f>
        <v>0.39706422018348625</v>
      </c>
      <c r="H106" s="885">
        <f>0.8656/H102</f>
        <v>0.39706422018348625</v>
      </c>
      <c r="I106" s="885">
        <f>0.8656/I102</f>
        <v>0.39706422018348625</v>
      </c>
      <c r="J106" s="885">
        <f>0.7525/J102</f>
        <v>0.34518348623853207</v>
      </c>
      <c r="K106" s="885">
        <f>0.7525/K102</f>
        <v>0.34518348623853207</v>
      </c>
      <c r="L106" s="885">
        <f>0.7525/L102</f>
        <v>0.34518348623853207</v>
      </c>
      <c r="M106" s="885">
        <f>0.7525/M102</f>
        <v>0.34518348623853207</v>
      </c>
      <c r="N106" s="885">
        <f>0.7525/N102</f>
        <v>0.34518348623853207</v>
      </c>
    </row>
    <row r="107" spans="1:14" ht="12.75">
      <c r="A107" s="1698"/>
      <c r="B107" s="884">
        <v>5</v>
      </c>
      <c r="C107" s="885">
        <f>0.8417/C102</f>
        <v>0.38610091743119263</v>
      </c>
      <c r="D107" s="885">
        <f>0.8417/D102</f>
        <v>0.38610091743119263</v>
      </c>
      <c r="E107" s="885">
        <f>0.7371/E102</f>
        <v>0.33811926605504583</v>
      </c>
      <c r="F107" s="885">
        <f>0.7371/F102</f>
        <v>0.33811926605504583</v>
      </c>
      <c r="G107" s="885">
        <f>0.7371/G102</f>
        <v>0.33811926605504583</v>
      </c>
      <c r="H107" s="885">
        <f>0.7371/H102</f>
        <v>0.33811926605504583</v>
      </c>
      <c r="I107" s="885">
        <f>0.7371/I102</f>
        <v>0.33811926605504583</v>
      </c>
      <c r="J107" s="885">
        <f>0.5659/J102</f>
        <v>0.25958715596330273</v>
      </c>
      <c r="K107" s="885">
        <f>0.5659/K102</f>
        <v>0.25958715596330273</v>
      </c>
      <c r="L107" s="885">
        <f>0.5659/L102</f>
        <v>0.25958715596330273</v>
      </c>
      <c r="M107" s="885">
        <f>0.5659/M102</f>
        <v>0.25958715596330273</v>
      </c>
      <c r="N107" s="885">
        <f>0.5659/N102</f>
        <v>0.25958715596330273</v>
      </c>
    </row>
    <row r="108" spans="1:14" ht="12.75">
      <c r="A108" s="1698"/>
      <c r="B108" s="884">
        <v>6</v>
      </c>
      <c r="C108" s="885">
        <f>0.7608/C102</f>
        <v>0.34899082568807338</v>
      </c>
      <c r="D108" s="885">
        <f>0.7608/D102</f>
        <v>0.34899082568807338</v>
      </c>
      <c r="E108" s="885">
        <f>0.6482/E102</f>
        <v>0.29733944954128438</v>
      </c>
      <c r="F108" s="885">
        <f>0.6482/F102</f>
        <v>0.29733944954128438</v>
      </c>
      <c r="G108" s="885">
        <f>0.6482/G102</f>
        <v>0.29733944954128438</v>
      </c>
      <c r="H108" s="885">
        <f>0.6482/H102</f>
        <v>0.29733944954128438</v>
      </c>
      <c r="I108" s="885">
        <f>0.6482/I102</f>
        <v>0.29733944954128438</v>
      </c>
      <c r="J108" s="885">
        <f>0.4525/J102</f>
        <v>0.20756880733944955</v>
      </c>
      <c r="K108" s="885">
        <f>0.4525/K102</f>
        <v>0.20756880733944955</v>
      </c>
      <c r="L108" s="885">
        <f>0.4525/L102</f>
        <v>0.20756880733944955</v>
      </c>
      <c r="M108" s="885">
        <f>0.4525/M102</f>
        <v>0.20756880733944955</v>
      </c>
      <c r="N108" s="885">
        <f>0.4525/N102</f>
        <v>0.20756880733944955</v>
      </c>
    </row>
    <row r="109" spans="1:14" ht="12.75">
      <c r="A109" s="1698"/>
      <c r="B109" s="1700" t="s">
        <v>1484</v>
      </c>
      <c r="C109" s="886">
        <f>C100</f>
        <v>1</v>
      </c>
      <c r="D109" s="886">
        <f t="shared" ref="D109:N109" si="26">D100</f>
        <v>1</v>
      </c>
      <c r="E109" s="886">
        <f t="shared" si="26"/>
        <v>1</v>
      </c>
      <c r="F109" s="886">
        <f t="shared" si="26"/>
        <v>1</v>
      </c>
      <c r="G109" s="886">
        <f t="shared" si="26"/>
        <v>1</v>
      </c>
      <c r="H109" s="886">
        <f t="shared" si="26"/>
        <v>1</v>
      </c>
      <c r="I109" s="886">
        <f t="shared" si="26"/>
        <v>1</v>
      </c>
      <c r="J109" s="886">
        <f t="shared" si="26"/>
        <v>1</v>
      </c>
      <c r="K109" s="886">
        <f t="shared" si="26"/>
        <v>1</v>
      </c>
      <c r="L109" s="886">
        <f t="shared" si="26"/>
        <v>1</v>
      </c>
      <c r="M109" s="886">
        <f t="shared" si="26"/>
        <v>1</v>
      </c>
      <c r="N109" s="886">
        <f t="shared" si="26"/>
        <v>1</v>
      </c>
    </row>
    <row r="110" spans="1:14" ht="12.75">
      <c r="A110" s="1699"/>
      <c r="B110" s="1701"/>
      <c r="C110" s="887">
        <f>(-0.163*(C109^2)-0.59*C109+7617)*(10^(-4))/C102</f>
        <v>0.34936912844036699</v>
      </c>
      <c r="D110" s="887">
        <f>(-0.163*(D109^2)-0.59*D109+7617)*(10^(-4))/D102</f>
        <v>0.34936912844036699</v>
      </c>
      <c r="E110" s="887">
        <f>(-0.161*(E109^2)-7.509*E109+6533)*(10^(-4))/E102</f>
        <v>0.29932706422018346</v>
      </c>
      <c r="F110" s="887">
        <f>(-0.161*(F109^2)-7.509*F109+6533)*(10^(-4))/F102</f>
        <v>0.29932706422018346</v>
      </c>
      <c r="G110" s="887">
        <f>(-0.161*(G109^2)-7.509*G109+6533)*(10^(-4))/G102</f>
        <v>0.29932706422018346</v>
      </c>
      <c r="H110" s="887">
        <f>(-0.161*(H109^2)-7.509*H109+6533)*(10^(-4))/H102</f>
        <v>0.29932706422018346</v>
      </c>
      <c r="I110" s="887">
        <f>(-0.161*(I109^2)-7.509*I109+6533)*(10^(-4))/I102</f>
        <v>0.29932706422018346</v>
      </c>
      <c r="J110" s="887">
        <f>(-0.214*(J109^2)-21.991*J109+4665)*(10^(-4))/J102</f>
        <v>0.21297224770642201</v>
      </c>
      <c r="K110" s="887">
        <f>(-0.214*(K109^2)-21.991*K109+4665)*(10^(-4))/K102</f>
        <v>0.21297224770642201</v>
      </c>
      <c r="L110" s="887">
        <f>(-0.214*(L109^2)-21.991*L109+4665)*(10^(-4))/L102</f>
        <v>0.21297224770642201</v>
      </c>
      <c r="M110" s="887">
        <f>(-0.214*(M109^2)-21.991*M109+4665)*(10^(-4))/M102</f>
        <v>0.21297224770642201</v>
      </c>
      <c r="N110" s="887">
        <f>(-0.214*(N109^2)-21.991*N109+4665)*(10^(-4))/N102</f>
        <v>0.21297224770642201</v>
      </c>
    </row>
    <row r="111" spans="1:14">
      <c r="A111" s="1695" t="s">
        <v>1175</v>
      </c>
      <c r="B111" s="1695"/>
      <c r="C111" s="1695"/>
      <c r="D111" s="1695"/>
      <c r="E111" s="1695"/>
      <c r="F111" s="1695"/>
      <c r="G111" s="1695"/>
      <c r="H111" s="1695"/>
      <c r="I111" s="1695"/>
      <c r="J111" s="1695"/>
      <c r="K111" s="607"/>
      <c r="L111" s="607"/>
      <c r="M111" s="607"/>
      <c r="N111" s="607"/>
    </row>
    <row r="113" spans="1:13" ht="12.75" thickBot="1"/>
    <row r="114" spans="1:13" ht="15" thickBot="1">
      <c r="A114" s="869" t="s">
        <v>1466</v>
      </c>
      <c r="B114" s="460">
        <f>G3</f>
        <v>2.1800000000000002</v>
      </c>
      <c r="C114" s="870" t="s">
        <v>1467</v>
      </c>
      <c r="D114" s="330">
        <f>SUMPRODUCT((A116:A119=F114)*(B115:M115=H114)*B116:M119)</f>
        <v>0.80930000000000002</v>
      </c>
      <c r="E114" s="671" t="s">
        <v>1160</v>
      </c>
      <c r="F114" s="871" t="str">
        <f>E2</f>
        <v>商业</v>
      </c>
      <c r="G114" s="671" t="s">
        <v>1177</v>
      </c>
      <c r="H114" s="871" t="str">
        <f>G2</f>
        <v>六级</v>
      </c>
      <c r="I114" s="671"/>
      <c r="J114" s="749"/>
      <c r="K114" s="749"/>
      <c r="L114" s="749"/>
      <c r="M114" s="749"/>
    </row>
    <row r="115" spans="1:13">
      <c r="A115" s="872"/>
      <c r="B115" s="873" t="s">
        <v>1163</v>
      </c>
      <c r="C115" s="873" t="s">
        <v>1164</v>
      </c>
      <c r="D115" s="873" t="s">
        <v>1165</v>
      </c>
      <c r="E115" s="874" t="s">
        <v>1166</v>
      </c>
      <c r="F115" s="874" t="s">
        <v>1167</v>
      </c>
      <c r="G115" s="874" t="s">
        <v>1168</v>
      </c>
      <c r="H115" s="875" t="s">
        <v>1169</v>
      </c>
      <c r="I115" s="875" t="s">
        <v>1170</v>
      </c>
      <c r="J115" s="876" t="s">
        <v>1171</v>
      </c>
      <c r="K115" s="876" t="s">
        <v>1172</v>
      </c>
      <c r="L115" s="876" t="s">
        <v>1173</v>
      </c>
      <c r="M115" s="877" t="s">
        <v>1174</v>
      </c>
    </row>
    <row r="116" spans="1:13" ht="12.75">
      <c r="A116" s="750" t="s">
        <v>0</v>
      </c>
      <c r="B116" s="333">
        <f>ROUND(0.9335-0.0094*B114,4)</f>
        <v>0.91300000000000003</v>
      </c>
      <c r="C116" s="333">
        <f>B116</f>
        <v>0.91300000000000003</v>
      </c>
      <c r="D116" s="333">
        <f>ROUND(0.8331-0.0109*B114,4)</f>
        <v>0.80930000000000002</v>
      </c>
      <c r="E116" s="333">
        <f>D116</f>
        <v>0.80930000000000002</v>
      </c>
      <c r="F116" s="333">
        <f>E116</f>
        <v>0.80930000000000002</v>
      </c>
      <c r="G116" s="333">
        <f>F116</f>
        <v>0.80930000000000002</v>
      </c>
      <c r="H116" s="333">
        <f>G116</f>
        <v>0.80930000000000002</v>
      </c>
      <c r="I116" s="333">
        <f>ROUND(0.689-0.0155*B114,4)</f>
        <v>0.6552</v>
      </c>
      <c r="J116" s="333">
        <f t="shared" ref="J116:M119" si="27">I116</f>
        <v>0.6552</v>
      </c>
      <c r="K116" s="333">
        <f t="shared" si="27"/>
        <v>0.6552</v>
      </c>
      <c r="L116" s="333">
        <f t="shared" si="27"/>
        <v>0.6552</v>
      </c>
      <c r="M116" s="334">
        <f t="shared" si="27"/>
        <v>0.6552</v>
      </c>
    </row>
    <row r="117" spans="1:13" ht="12.75">
      <c r="A117" s="750" t="s">
        <v>1302</v>
      </c>
      <c r="B117" s="333">
        <f>ROUND(0.949-0.012*B114,4)</f>
        <v>0.92279999999999995</v>
      </c>
      <c r="C117" s="333">
        <f>B117</f>
        <v>0.92279999999999995</v>
      </c>
      <c r="D117" s="333">
        <f>ROUND(0.8567-0.013*B114,4)</f>
        <v>0.82840000000000003</v>
      </c>
      <c r="E117" s="333">
        <f t="shared" ref="E117:H118" si="28">D117</f>
        <v>0.82840000000000003</v>
      </c>
      <c r="F117" s="333">
        <f t="shared" si="28"/>
        <v>0.82840000000000003</v>
      </c>
      <c r="G117" s="333">
        <f t="shared" si="28"/>
        <v>0.82840000000000003</v>
      </c>
      <c r="H117" s="333">
        <f t="shared" si="28"/>
        <v>0.82840000000000003</v>
      </c>
      <c r="I117" s="333">
        <f>ROUND(0.7694-0.014*B114,4)</f>
        <v>0.7389</v>
      </c>
      <c r="J117" s="333">
        <f t="shared" si="27"/>
        <v>0.7389</v>
      </c>
      <c r="K117" s="333">
        <f t="shared" si="27"/>
        <v>0.7389</v>
      </c>
      <c r="L117" s="333">
        <f t="shared" si="27"/>
        <v>0.7389</v>
      </c>
      <c r="M117" s="334">
        <f t="shared" si="27"/>
        <v>0.7389</v>
      </c>
    </row>
    <row r="118" spans="1:13" ht="12.75">
      <c r="A118" s="750" t="s">
        <v>1303</v>
      </c>
      <c r="B118" s="333">
        <f>ROUND(0.8808-0.006*B114,4)</f>
        <v>0.86770000000000003</v>
      </c>
      <c r="C118" s="333">
        <f>B118</f>
        <v>0.86770000000000003</v>
      </c>
      <c r="D118" s="333">
        <f>ROUND(0.8748-0.008*B114,4)</f>
        <v>0.85740000000000005</v>
      </c>
      <c r="E118" s="333">
        <f t="shared" si="28"/>
        <v>0.85740000000000005</v>
      </c>
      <c r="F118" s="333">
        <f t="shared" si="28"/>
        <v>0.85740000000000005</v>
      </c>
      <c r="G118" s="333">
        <f t="shared" si="28"/>
        <v>0.85740000000000005</v>
      </c>
      <c r="H118" s="333">
        <f t="shared" si="28"/>
        <v>0.85740000000000005</v>
      </c>
      <c r="I118" s="333">
        <f>ROUND(0.7412-0.0095*B114,4)</f>
        <v>0.72050000000000003</v>
      </c>
      <c r="J118" s="333">
        <f t="shared" si="27"/>
        <v>0.72050000000000003</v>
      </c>
      <c r="K118" s="333">
        <f t="shared" si="27"/>
        <v>0.72050000000000003</v>
      </c>
      <c r="L118" s="333">
        <f t="shared" si="27"/>
        <v>0.72050000000000003</v>
      </c>
      <c r="M118" s="334">
        <f t="shared" si="27"/>
        <v>0.72050000000000003</v>
      </c>
    </row>
    <row r="119" spans="1:13" ht="13.5" thickBot="1">
      <c r="A119" s="751" t="s">
        <v>226</v>
      </c>
      <c r="B119" s="335">
        <f>ROUND(0.7275-0.01*B114,4)</f>
        <v>0.70569999999999999</v>
      </c>
      <c r="C119" s="335">
        <f>B119</f>
        <v>0.70569999999999999</v>
      </c>
      <c r="D119" s="335">
        <f>ROUND(0.7043-0.012*B114,4)</f>
        <v>0.67810000000000004</v>
      </c>
      <c r="E119" s="335">
        <f>D119</f>
        <v>0.67810000000000004</v>
      </c>
      <c r="F119" s="335">
        <f>E119</f>
        <v>0.67810000000000004</v>
      </c>
      <c r="G119" s="335">
        <f>ROUND(0.6299-0.0122*B114,4)</f>
        <v>0.60329999999999995</v>
      </c>
      <c r="H119" s="335">
        <f>G119</f>
        <v>0.60329999999999995</v>
      </c>
      <c r="I119" s="335">
        <f>ROUND(0.5667-0.0136*B114,4)</f>
        <v>0.53710000000000002</v>
      </c>
      <c r="J119" s="335">
        <f t="shared" si="27"/>
        <v>0.53710000000000002</v>
      </c>
      <c r="K119" s="335">
        <f t="shared" si="27"/>
        <v>0.53710000000000002</v>
      </c>
      <c r="L119" s="335">
        <f t="shared" si="27"/>
        <v>0.53710000000000002</v>
      </c>
      <c r="M119" s="336">
        <f t="shared" si="27"/>
        <v>0.53710000000000002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4" t="s">
        <v>985</v>
      </c>
      <c r="B1" s="1714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Sheet2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2023-12-15T10:02:06Z</dcterms:modified>
</cp:coreProperties>
</file>