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西集\"/>
    </mc:Choice>
  </mc:AlternateContent>
  <xr:revisionPtr revIDLastSave="0" documentId="13_ncr:1_{F1F37E21-32DF-45B9-ADD8-D6B1B52EC254}" xr6:coauthVersionLast="47" xr6:coauthVersionMax="47" xr10:uidLastSave="{00000000-0000-0000-0000-000000000000}"/>
  <bookViews>
    <workbookView xWindow="0" yWindow="0" windowWidth="19200" windowHeight="21000" tabRatio="899" firstSheet="7"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公寓" sheetId="84" state="hidden" r:id="rId27"/>
    <sheet name="比较法-商业" sheetId="33" state="hidden" r:id="rId28"/>
    <sheet name="住宅" sheetId="83" r:id="rId29"/>
    <sheet name="比较法-办公" sheetId="34" state="hidden" r:id="rId30"/>
    <sheet name="比较法-工业" sheetId="37" state="hidden" r:id="rId31"/>
    <sheet name="比较法-车位" sheetId="35" state="hidden" r:id="rId32"/>
    <sheet name="车库" sheetId="80" state="hidden" r:id="rId33"/>
    <sheet name="商业" sheetId="81" state="hidden" r:id="rId34"/>
    <sheet name="公租房" sheetId="82"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'比较法-公寓'!$A$1:$L$49</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'比较法-公寓'!$A$1:$K$54,'比较法-公寓'!$A$57:$M$131</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'比较法-公寓'!$B$88:$M$88</definedName>
    <definedName name="住宅朝向">'比较法-住宅'!$B$88:$M$88</definedName>
    <definedName name="住宅房型" localSheetId="26">'比较法-公寓'!$B$118:$M$118</definedName>
    <definedName name="住宅房型">'比较法-住宅'!$B$118:$M$118</definedName>
    <definedName name="住宅公共部分装修" localSheetId="26">'比较法-公寓'!$B$109:$M$109</definedName>
    <definedName name="住宅公共部分装修">'比较法-住宅'!$B$109:$M$109</definedName>
    <definedName name="住宅基础设施水平" localSheetId="26">'比较法-公寓'!$B$116:$M$116</definedName>
    <definedName name="住宅基础设施水平">'比较法-住宅'!$B$116:$M$116</definedName>
    <definedName name="住宅建筑结构" localSheetId="26">'比较法-公寓'!$B$105:$M$105</definedName>
    <definedName name="住宅建筑结构">'比较法-住宅'!$B$105:$M$105</definedName>
    <definedName name="住宅建筑类型" localSheetId="26">'比较法-公寓'!$B$100:$M$100</definedName>
    <definedName name="住宅建筑类型">'比较法-住宅'!$B$100:$M$100</definedName>
    <definedName name="住宅建筑品质" localSheetId="26">'比较法-公寓'!$B$107:$M$107</definedName>
    <definedName name="住宅建筑品质">'比较法-住宅'!$B$107:$M$107</definedName>
    <definedName name="住宅交易情况" localSheetId="26">'比较法-公寓'!$A$61:$M$61</definedName>
    <definedName name="住宅交易情况">'比较法-住宅'!$A$61:$M$61</definedName>
    <definedName name="住宅楼层" localSheetId="26">'比较法-公寓'!$B$86:$M$86</definedName>
    <definedName name="住宅楼层">'比较法-住宅'!$B$86:$M$86</definedName>
    <definedName name="住宅内部装修" localSheetId="26">'比较法-公寓'!$B$122:$M$122</definedName>
    <definedName name="住宅内部装修">'比较法-住宅'!$B$122:$M$122</definedName>
    <definedName name="住宅物业管理" localSheetId="26">'比较法-公寓'!$B$114:$M$114</definedName>
    <definedName name="住宅物业管理">'比较法-住宅'!$B$114:$M$114</definedName>
    <definedName name="住宅用途" localSheetId="26">'比较法-公寓'!$B$63:$M$63</definedName>
    <definedName name="住宅用途">'比较法-住宅'!$B$63:$M$63</definedName>
    <definedName name="住宅主力户型面积" localSheetId="26">'比较法-公寓'!$B$120:$M$120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52" i="33" l="1"/>
  <c r="A51" i="33"/>
  <c r="R49" i="33"/>
  <c r="V48" i="33"/>
  <c r="T48" i="33"/>
  <c r="R48" i="33"/>
  <c r="I47" i="21"/>
  <c r="G47" i="21"/>
  <c r="E47" i="21"/>
  <c r="I5" i="21"/>
  <c r="G5" i="21"/>
  <c r="E5" i="21"/>
  <c r="F17" i="83"/>
  <c r="C145" i="84"/>
  <c r="J142" i="84"/>
  <c r="J140" i="84"/>
  <c r="K144" i="84" s="1"/>
  <c r="K139" i="84"/>
  <c r="K143" i="84" s="1"/>
  <c r="B130" i="84"/>
  <c r="B128" i="84"/>
  <c r="B126" i="84"/>
  <c r="E125" i="84"/>
  <c r="F125" i="84" s="1"/>
  <c r="G125" i="84" s="1"/>
  <c r="D125" i="84"/>
  <c r="E123" i="84"/>
  <c r="F123" i="84" s="1"/>
  <c r="G123" i="84" s="1"/>
  <c r="H123" i="84" s="1"/>
  <c r="I123" i="84" s="1"/>
  <c r="J123" i="84" s="1"/>
  <c r="K123" i="84" s="1"/>
  <c r="L123" i="84" s="1"/>
  <c r="M123" i="84" s="1"/>
  <c r="D123" i="84"/>
  <c r="E119" i="84"/>
  <c r="F119" i="84" s="1"/>
  <c r="G119" i="84" s="1"/>
  <c r="H119" i="84" s="1"/>
  <c r="I119" i="84" s="1"/>
  <c r="J119" i="84" s="1"/>
  <c r="K119" i="84" s="1"/>
  <c r="L119" i="84" s="1"/>
  <c r="M119" i="84" s="1"/>
  <c r="D119" i="84"/>
  <c r="G117" i="84"/>
  <c r="E117" i="84"/>
  <c r="F117" i="84" s="1"/>
  <c r="D117" i="84"/>
  <c r="I115" i="84"/>
  <c r="J115" i="84" s="1"/>
  <c r="K115" i="84" s="1"/>
  <c r="L115" i="84" s="1"/>
  <c r="M115" i="84" s="1"/>
  <c r="E115" i="84"/>
  <c r="F115" i="84" s="1"/>
  <c r="G115" i="84" s="1"/>
  <c r="H115" i="84" s="1"/>
  <c r="D115" i="84"/>
  <c r="D113" i="84"/>
  <c r="E113" i="84" s="1"/>
  <c r="F113" i="84" s="1"/>
  <c r="G113" i="84" s="1"/>
  <c r="H111" i="84"/>
  <c r="G111" i="84"/>
  <c r="F111" i="84"/>
  <c r="E111" i="84"/>
  <c r="D111" i="84"/>
  <c r="C111" i="84"/>
  <c r="F110" i="84"/>
  <c r="G110" i="84" s="1"/>
  <c r="H110" i="84" s="1"/>
  <c r="I110" i="84" s="1"/>
  <c r="J110" i="84" s="1"/>
  <c r="K110" i="84" s="1"/>
  <c r="L110" i="84" s="1"/>
  <c r="M110" i="84" s="1"/>
  <c r="D110" i="84"/>
  <c r="E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E101" i="84"/>
  <c r="F101" i="84" s="1"/>
  <c r="D101" i="84"/>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D85" i="84"/>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C63" i="84"/>
  <c r="P49" i="84"/>
  <c r="P48" i="84"/>
  <c r="K48" i="84"/>
  <c r="P47" i="84"/>
  <c r="I47" i="84"/>
  <c r="V47" i="84" s="1"/>
  <c r="G47" i="84"/>
  <c r="E47" i="84"/>
  <c r="R47" i="84" s="1"/>
  <c r="Q46" i="84"/>
  <c r="Z46" i="84" s="1"/>
  <c r="J46" i="84"/>
  <c r="AC46" i="84" s="1"/>
  <c r="H46" i="84"/>
  <c r="AB46" i="84" s="1"/>
  <c r="F46" i="84"/>
  <c r="AA46" i="84" s="1"/>
  <c r="AB45" i="84"/>
  <c r="U45" i="84"/>
  <c r="Q45" i="84"/>
  <c r="Z45" i="84" s="1"/>
  <c r="J45" i="84"/>
  <c r="H45" i="84"/>
  <c r="F45" i="84"/>
  <c r="AA45" i="84" s="1"/>
  <c r="AB44" i="84"/>
  <c r="U44" i="84"/>
  <c r="Q44" i="84"/>
  <c r="Z44" i="84" s="1"/>
  <c r="J44" i="84"/>
  <c r="H44" i="84"/>
  <c r="F44" i="84"/>
  <c r="AA44" i="84" s="1"/>
  <c r="Q43" i="84"/>
  <c r="Z43" i="84" s="1"/>
  <c r="J43" i="84"/>
  <c r="AC43" i="84" s="1"/>
  <c r="H43" i="84"/>
  <c r="U43" i="84" s="1"/>
  <c r="F43" i="84"/>
  <c r="AA43" i="84" s="1"/>
  <c r="Q42" i="84"/>
  <c r="Z42" i="84" s="1"/>
  <c r="J42" i="84"/>
  <c r="AC42" i="84" s="1"/>
  <c r="H42" i="84"/>
  <c r="AB42" i="84" s="1"/>
  <c r="F42" i="84"/>
  <c r="AA42" i="84" s="1"/>
  <c r="Z41" i="84"/>
  <c r="Q41" i="84"/>
  <c r="J41" i="84"/>
  <c r="AC41" i="84" s="1"/>
  <c r="H41" i="84"/>
  <c r="AB41" i="84" s="1"/>
  <c r="F41" i="84"/>
  <c r="AA41" i="84" s="1"/>
  <c r="Q40" i="84"/>
  <c r="Z40" i="84" s="1"/>
  <c r="J40" i="84"/>
  <c r="AC40" i="84" s="1"/>
  <c r="H40" i="84"/>
  <c r="AB40" i="84" s="1"/>
  <c r="F40" i="84"/>
  <c r="AA40" i="84" s="1"/>
  <c r="U39" i="84"/>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U35" i="84"/>
  <c r="Q35" i="84"/>
  <c r="Z35" i="84" s="1"/>
  <c r="J35" i="84"/>
  <c r="AC35" i="84" s="1"/>
  <c r="H35" i="84"/>
  <c r="AB35" i="84" s="1"/>
  <c r="F35" i="84"/>
  <c r="AA35" i="84" s="1"/>
  <c r="Q34" i="84"/>
  <c r="Z34" i="84" s="1"/>
  <c r="J34" i="84"/>
  <c r="AC34" i="84" s="1"/>
  <c r="H34" i="84"/>
  <c r="AB34" i="84" s="1"/>
  <c r="F34" i="84"/>
  <c r="AA34" i="84" s="1"/>
  <c r="Z33" i="84"/>
  <c r="Q33" i="84"/>
  <c r="I33" i="84"/>
  <c r="J33" i="84" s="1"/>
  <c r="AC33" i="84" s="1"/>
  <c r="G33" i="84"/>
  <c r="H33" i="84" s="1"/>
  <c r="E33" i="84"/>
  <c r="F33" i="84" s="1"/>
  <c r="Q32" i="84"/>
  <c r="Z32" i="84" s="1"/>
  <c r="J32" i="84"/>
  <c r="AC32" i="84" s="1"/>
  <c r="H32" i="84"/>
  <c r="U32" i="84" s="1"/>
  <c r="F32" i="84"/>
  <c r="AA32" i="84" s="1"/>
  <c r="AA31" i="84"/>
  <c r="S31" i="84"/>
  <c r="Q31" i="84"/>
  <c r="Z31" i="84" s="1"/>
  <c r="F31" i="84"/>
  <c r="Q30" i="84"/>
  <c r="Z30" i="84" s="1"/>
  <c r="J30" i="84"/>
  <c r="AC30" i="84" s="1"/>
  <c r="H30" i="84"/>
  <c r="AB30" i="84" s="1"/>
  <c r="F30" i="84"/>
  <c r="AA30" i="84" s="1"/>
  <c r="AC29" i="84"/>
  <c r="W29" i="84"/>
  <c r="Q29" i="84"/>
  <c r="Z29" i="84" s="1"/>
  <c r="J29" i="84"/>
  <c r="H29" i="84"/>
  <c r="AB29" i="84" s="1"/>
  <c r="F29" i="84"/>
  <c r="AA29" i="84" s="1"/>
  <c r="U28" i="84"/>
  <c r="Q28" i="84"/>
  <c r="Z28" i="84" s="1"/>
  <c r="J28" i="84"/>
  <c r="AC28" i="84" s="1"/>
  <c r="H28" i="84"/>
  <c r="AB28" i="84" s="1"/>
  <c r="F28" i="84"/>
  <c r="AA28" i="84" s="1"/>
  <c r="AA27" i="84"/>
  <c r="S27" i="84"/>
  <c r="Q27" i="84"/>
  <c r="Z27" i="84" s="1"/>
  <c r="F27" i="84"/>
  <c r="Q26" i="84"/>
  <c r="Z26" i="84" s="1"/>
  <c r="J26" i="84"/>
  <c r="AC26" i="84" s="1"/>
  <c r="H26" i="84"/>
  <c r="AB26" i="84" s="1"/>
  <c r="F26" i="84"/>
  <c r="AA26" i="84" s="1"/>
  <c r="AC25" i="84"/>
  <c r="Q25" i="84"/>
  <c r="Z25" i="84" s="1"/>
  <c r="J25" i="84"/>
  <c r="W25" i="84" s="1"/>
  <c r="H25" i="84"/>
  <c r="AB25" i="84" s="1"/>
  <c r="F25" i="84"/>
  <c r="AA25" i="84" s="1"/>
  <c r="Z23" i="84"/>
  <c r="Q23" i="84"/>
  <c r="C23" i="84"/>
  <c r="AB21" i="84"/>
  <c r="Q21" i="84"/>
  <c r="Z21" i="84" s="1"/>
  <c r="J21" i="84"/>
  <c r="H21" i="84"/>
  <c r="U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J8" i="84"/>
  <c r="H8" i="84"/>
  <c r="U8" i="84" s="1"/>
  <c r="F8" i="84"/>
  <c r="AA8" i="84" s="1"/>
  <c r="C7" i="84"/>
  <c r="C58" i="84" s="1"/>
  <c r="D58" i="84" s="1"/>
  <c r="E58" i="84" s="1"/>
  <c r="I5" i="84"/>
  <c r="G5" i="84"/>
  <c r="E5" i="84"/>
  <c r="D3" i="84"/>
  <c r="B2" i="84"/>
  <c r="B3" i="84" s="1"/>
  <c r="F3" i="83"/>
  <c r="I33" i="21"/>
  <c r="G33" i="21"/>
  <c r="E33" i="21"/>
  <c r="F10" i="83"/>
  <c r="F8" i="83"/>
  <c r="F16" i="83"/>
  <c r="F15" i="83"/>
  <c r="F14" i="83"/>
  <c r="F13" i="83"/>
  <c r="F12" i="83"/>
  <c r="F11" i="83"/>
  <c r="F4" i="83"/>
  <c r="D2" i="84"/>
  <c r="E54" i="84" l="1"/>
  <c r="F54" i="84" s="1"/>
  <c r="G54" i="84"/>
  <c r="H54" i="84" s="1"/>
  <c r="AA33" i="84"/>
  <c r="S33" i="84"/>
  <c r="I54" i="84"/>
  <c r="J54" i="84" s="1"/>
  <c r="J37" i="84"/>
  <c r="H113" i="84"/>
  <c r="H37" i="84"/>
  <c r="F37" i="84"/>
  <c r="F58" i="84"/>
  <c r="G58" i="84" s="1"/>
  <c r="H58" i="84" s="1"/>
  <c r="I58" i="84" s="1"/>
  <c r="J58" i="84" s="1"/>
  <c r="K58" i="84" s="1"/>
  <c r="L58" i="84" s="1"/>
  <c r="M58" i="84" s="1"/>
  <c r="N58" i="84" s="1"/>
  <c r="O58" i="84" s="1"/>
  <c r="J7" i="84"/>
  <c r="H7" i="84"/>
  <c r="F7" i="84"/>
  <c r="S8" i="84"/>
  <c r="AB8" i="84"/>
  <c r="W9" i="84"/>
  <c r="S11" i="84"/>
  <c r="U12" i="84"/>
  <c r="W13" i="84"/>
  <c r="AB32" i="84"/>
  <c r="AB43" i="84"/>
  <c r="S10" i="84"/>
  <c r="U11" i="84"/>
  <c r="W12" i="84"/>
  <c r="S14" i="84"/>
  <c r="S15" i="84"/>
  <c r="S17" i="84"/>
  <c r="S19" i="84"/>
  <c r="S21" i="84"/>
  <c r="S42" i="84"/>
  <c r="AC45" i="84"/>
  <c r="W45" i="84"/>
  <c r="W46" i="84"/>
  <c r="J27" i="84"/>
  <c r="H27" i="84"/>
  <c r="J31" i="84"/>
  <c r="H31" i="84"/>
  <c r="S9" i="84"/>
  <c r="U10" i="84"/>
  <c r="W11" i="84"/>
  <c r="S13" i="84"/>
  <c r="U14" i="84"/>
  <c r="U15" i="84"/>
  <c r="U17" i="84"/>
  <c r="U19" i="84"/>
  <c r="S34" i="84"/>
  <c r="W36" i="84"/>
  <c r="S38" i="84"/>
  <c r="W40" i="84"/>
  <c r="U9" i="84"/>
  <c r="W10" i="84"/>
  <c r="S12" i="84"/>
  <c r="U13" i="84"/>
  <c r="W14" i="84"/>
  <c r="W15" i="84"/>
  <c r="W17" i="84"/>
  <c r="W19" i="84"/>
  <c r="AC21" i="84"/>
  <c r="W21" i="84"/>
  <c r="AB33" i="84"/>
  <c r="U33" i="84"/>
  <c r="AC44" i="84"/>
  <c r="W44" i="84"/>
  <c r="E85" i="84"/>
  <c r="K145" i="84"/>
  <c r="K141" i="84"/>
  <c r="S26" i="84"/>
  <c r="W28" i="84"/>
  <c r="S30" i="84"/>
  <c r="W32" i="84"/>
  <c r="U34" i="84"/>
  <c r="W35" i="84"/>
  <c r="U38" i="84"/>
  <c r="W39" i="84"/>
  <c r="S41" i="84"/>
  <c r="U42" i="84"/>
  <c r="W43" i="84"/>
  <c r="S25" i="84"/>
  <c r="U26" i="84"/>
  <c r="S29" i="84"/>
  <c r="U30" i="84"/>
  <c r="W34" i="84"/>
  <c r="S36" i="84"/>
  <c r="W38" i="84"/>
  <c r="S40" i="84"/>
  <c r="U41" i="84"/>
  <c r="W42" i="84"/>
  <c r="S46" i="84"/>
  <c r="T47" i="84"/>
  <c r="U25" i="84"/>
  <c r="W26" i="84"/>
  <c r="S28" i="84"/>
  <c r="U29" i="84"/>
  <c r="W30" i="84"/>
  <c r="S32" i="84"/>
  <c r="W33" i="84"/>
  <c r="S35" i="84"/>
  <c r="U36" i="84"/>
  <c r="S39" i="84"/>
  <c r="U40" i="84"/>
  <c r="W41" i="84"/>
  <c r="S43" i="84"/>
  <c r="S44" i="84"/>
  <c r="S45" i="84"/>
  <c r="U46" i="84"/>
  <c r="AC31" i="84" l="1"/>
  <c r="W31" i="84"/>
  <c r="AB27" i="84"/>
  <c r="U27" i="84"/>
  <c r="AB7" i="84"/>
  <c r="U7" i="84"/>
  <c r="AB37" i="84"/>
  <c r="U37" i="84"/>
  <c r="AB31" i="84"/>
  <c r="U31" i="84"/>
  <c r="S7" i="84"/>
  <c r="AA7" i="84"/>
  <c r="AA37" i="84"/>
  <c r="S37" i="84"/>
  <c r="F85" i="84"/>
  <c r="H23" i="84"/>
  <c r="AC27" i="84"/>
  <c r="W27" i="84"/>
  <c r="W7" i="84"/>
  <c r="AC7" i="84"/>
  <c r="AC37" i="84"/>
  <c r="W37" i="84"/>
  <c r="G85" i="84" l="1"/>
  <c r="J23" i="84"/>
  <c r="F23" i="84"/>
  <c r="AB23" i="84"/>
  <c r="T48" i="84" s="1"/>
  <c r="G48" i="84" s="1"/>
  <c r="U23" i="84"/>
  <c r="AA23" i="84" l="1"/>
  <c r="R48" i="84" s="1"/>
  <c r="S23" i="84"/>
  <c r="AC23" i="84"/>
  <c r="V48" i="84" s="1"/>
  <c r="I48" i="84" s="1"/>
  <c r="W23" i="84"/>
  <c r="G52" i="84"/>
  <c r="H52" i="84" s="1"/>
  <c r="I52" i="84" l="1"/>
  <c r="J52" i="84" s="1"/>
  <c r="G53" i="84"/>
  <c r="H53" i="84" s="1"/>
  <c r="R49" i="84"/>
  <c r="E48" i="84"/>
  <c r="C49" i="84" l="1"/>
  <c r="C48" i="84"/>
  <c r="E53" i="84"/>
  <c r="F53" i="84" s="1"/>
  <c r="E52" i="84"/>
  <c r="F52" i="84" s="1"/>
  <c r="I53" i="84"/>
  <c r="J53" i="84" s="1"/>
  <c r="N45" i="84" l="1"/>
  <c r="N44" i="84"/>
  <c r="I5" i="33" l="1"/>
  <c r="G5" i="33"/>
  <c r="E5" i="33"/>
  <c r="S53" i="81"/>
  <c r="S54" i="81"/>
  <c r="S55" i="81"/>
  <c r="S56" i="81"/>
  <c r="S57" i="81"/>
  <c r="S58" i="81"/>
  <c r="S59" i="81"/>
  <c r="S60" i="81"/>
  <c r="S61" i="81"/>
  <c r="S62" i="81"/>
  <c r="S63" i="81"/>
  <c r="S64" i="81"/>
  <c r="S65" i="81"/>
  <c r="S66" i="81"/>
  <c r="S52" i="81"/>
  <c r="I5" i="35"/>
  <c r="G5" i="35"/>
  <c r="E5" i="35"/>
  <c r="D14" i="74"/>
  <c r="A7" i="1" l="1"/>
  <c r="B7" i="1"/>
  <c r="E7" i="1"/>
  <c r="A8" i="1"/>
  <c r="B8" i="1"/>
  <c r="E8" i="1"/>
  <c r="A9" i="1"/>
  <c r="B9" i="1"/>
  <c r="E9" i="1"/>
  <c r="A10" i="1"/>
  <c r="B10" i="1"/>
  <c r="E10" i="1"/>
  <c r="A11" i="1"/>
  <c r="B11" i="1"/>
  <c r="E11" i="1"/>
  <c r="A12" i="1"/>
  <c r="B12" i="1"/>
  <c r="E12" i="1"/>
  <c r="A13" i="1"/>
  <c r="B13" i="1"/>
  <c r="E13" i="1"/>
  <c r="A6" i="1"/>
  <c r="B6" i="1"/>
  <c r="E6" i="1"/>
  <c r="M26" i="79"/>
  <c r="P26" i="79"/>
  <c r="L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6" i="78" s="1"/>
  <c r="D6" i="78" s="1"/>
  <c r="C7" i="78"/>
  <c r="D7" i="78"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s="1"/>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I24" i="43"/>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C23" i="43"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c r="F20" i="69"/>
  <c r="F39" i="69"/>
  <c r="E10" i="69"/>
  <c r="E9" i="69"/>
  <c r="C7" i="69"/>
  <c r="AC21" i="37"/>
  <c r="W21" i="37"/>
  <c r="AC21" i="34"/>
  <c r="W21" i="34"/>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s="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s="1"/>
  <c r="H31" i="35"/>
  <c r="AB31" i="35" s="1"/>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c r="F66" i="35"/>
  <c r="G66" i="35"/>
  <c r="D64" i="35"/>
  <c r="E64" i="35" s="1"/>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s="1"/>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s="1"/>
  <c r="G87" i="33" s="1"/>
  <c r="H87" i="33" s="1"/>
  <c r="I87" i="33" s="1"/>
  <c r="J87" i="33" s="1"/>
  <c r="K87" i="33" s="1"/>
  <c r="L87" i="33" s="1"/>
  <c r="M87" i="33" s="1"/>
  <c r="D85" i="33"/>
  <c r="E85" i="33" s="1"/>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s="1"/>
  <c r="Q35" i="33"/>
  <c r="Z35" i="33"/>
  <c r="H35" i="33"/>
  <c r="AB35" i="33"/>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F9" i="33"/>
  <c r="AA9" i="33" s="1"/>
  <c r="J8" i="33"/>
  <c r="W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s="1"/>
  <c r="F115" i="21" s="1"/>
  <c r="G115" i="21" s="1"/>
  <c r="H115" i="21" s="1"/>
  <c r="I115" i="21" s="1"/>
  <c r="J115" i="21" s="1"/>
  <c r="K115" i="21" s="1"/>
  <c r="L115" i="21" s="1"/>
  <c r="M115" i="21" s="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J32" i="21" s="1"/>
  <c r="W32"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c r="D77" i="21"/>
  <c r="E77" i="21" s="1"/>
  <c r="F77" i="21" s="1"/>
  <c r="B130" i="21"/>
  <c r="B128" i="21"/>
  <c r="J45" i="21"/>
  <c r="W45" i="21"/>
  <c r="B126" i="21"/>
  <c r="H44" i="21" s="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J39" i="21"/>
  <c r="AC39" i="21"/>
  <c r="Q39" i="21"/>
  <c r="Z39" i="21"/>
  <c r="H40" i="21"/>
  <c r="AB40"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43" i="21"/>
  <c r="AB43"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23" i="35"/>
  <c r="AA23" i="35"/>
  <c r="J32" i="35"/>
  <c r="AC32" i="35" s="1"/>
  <c r="J16" i="35"/>
  <c r="AC16" i="35" s="1"/>
  <c r="H16" i="35"/>
  <c r="U16" i="35" s="1"/>
  <c r="F16" i="35"/>
  <c r="S16" i="35" s="1"/>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W19"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s="1"/>
  <c r="F44" i="21"/>
  <c r="S44" i="21" s="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S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F43" i="33"/>
  <c r="AA43" i="33"/>
  <c r="W15" i="34"/>
  <c r="AC15" i="34"/>
  <c r="W40" i="37"/>
  <c r="G107" i="37"/>
  <c r="H107" i="37"/>
  <c r="I107" i="37"/>
  <c r="J107" i="37"/>
  <c r="K107" i="37"/>
  <c r="L107" i="37"/>
  <c r="M107" i="37"/>
  <c r="H37" i="21"/>
  <c r="AB37" i="21" s="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s="1"/>
  <c r="D46" i="36" s="1"/>
  <c r="E46" i="36" s="1"/>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2"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AB27" i="33" s="1"/>
  <c r="F25" i="33"/>
  <c r="S25" i="33" s="1"/>
  <c r="F81" i="33"/>
  <c r="F19" i="33"/>
  <c r="S19" i="33" s="1"/>
  <c r="J17" i="33"/>
  <c r="F79" i="33"/>
  <c r="J10" i="33"/>
  <c r="W10" i="33"/>
  <c r="H10" i="33"/>
  <c r="U10" i="33"/>
  <c r="AB14" i="33"/>
  <c r="W43" i="21"/>
  <c r="W36" i="21"/>
  <c r="W41" i="21"/>
  <c r="AB39" i="21"/>
  <c r="AA43" i="21"/>
  <c r="S39" i="21"/>
  <c r="AA36" i="21"/>
  <c r="AC40"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s="1"/>
  <c r="C7" i="35"/>
  <c r="C7" i="33"/>
  <c r="C7" i="21"/>
  <c r="C7" i="40"/>
  <c r="C63" i="40"/>
  <c r="C65" i="40" s="1"/>
  <c r="M47" i="9"/>
  <c r="G23" i="43"/>
  <c r="C52" i="37"/>
  <c r="D52" i="37" s="1"/>
  <c r="A4" i="51"/>
  <c r="B6" i="72"/>
  <c r="C48" i="35"/>
  <c r="D48" i="35" s="1"/>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AB42" i="21"/>
  <c r="U28" i="21"/>
  <c r="S45" i="21"/>
  <c r="F33" i="21"/>
  <c r="AA33" i="21" s="1"/>
  <c r="J33" i="21"/>
  <c r="AC33" i="21" s="1"/>
  <c r="H33" i="21"/>
  <c r="AB33" i="21" s="1"/>
  <c r="F37" i="21"/>
  <c r="AA37" i="21" s="1"/>
  <c r="AA26" i="21"/>
  <c r="AB14" i="21"/>
  <c r="AB46" i="21"/>
  <c r="U40" i="21"/>
  <c r="AB31" i="21"/>
  <c r="U31" i="21"/>
  <c r="U13" i="21"/>
  <c r="AB13" i="21"/>
  <c r="S35" i="21"/>
  <c r="J37" i="21"/>
  <c r="AC37" i="21" s="1"/>
  <c r="AC19" i="21"/>
  <c r="W39" i="21"/>
  <c r="AC14" i="21"/>
  <c r="W30" i="21"/>
  <c r="S46" i="21"/>
  <c r="H45" i="21"/>
  <c r="U45" i="21"/>
  <c r="F29" i="21"/>
  <c r="S29" i="21"/>
  <c r="F13" i="21"/>
  <c r="AA13" i="21"/>
  <c r="H32" i="21"/>
  <c r="AB32" i="21" s="1"/>
  <c r="H9" i="21"/>
  <c r="J9" i="21"/>
  <c r="F32" i="21"/>
  <c r="S32" i="21" s="1"/>
  <c r="AA31" i="21"/>
  <c r="W29" i="21"/>
  <c r="S19" i="21"/>
  <c r="S9" i="21"/>
  <c r="AA9" i="21"/>
  <c r="K141" i="21"/>
  <c r="K144" i="21"/>
  <c r="K143" i="21"/>
  <c r="U27" i="21"/>
  <c r="AB25"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s="1"/>
  <c r="C4" i="4"/>
  <c r="B4" i="62" s="1"/>
  <c r="B71" i="72" s="1"/>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AC32" i="33"/>
  <c r="W32" i="33"/>
  <c r="U27" i="33"/>
  <c r="J27" i="33"/>
  <c r="W27" i="33" s="1"/>
  <c r="J25" i="33"/>
  <c r="W25" i="33" s="1"/>
  <c r="H19" i="33"/>
  <c r="G81" i="33"/>
  <c r="G79" i="33"/>
  <c r="H17" i="33"/>
  <c r="U17" i="33" s="1"/>
  <c r="F17" i="33"/>
  <c r="W17" i="33"/>
  <c r="AC17" i="33"/>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W9" i="21"/>
  <c r="AC9"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19" i="33"/>
  <c r="U19" i="33"/>
  <c r="AA17" i="33"/>
  <c r="S17" i="33"/>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37" i="34"/>
  <c r="S9" i="34"/>
  <c r="AC11" i="34"/>
  <c r="AB13" i="33"/>
  <c r="AA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s="1"/>
  <c r="E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AB26" i="35" s="1"/>
  <c r="F26" i="35"/>
  <c r="AA26" i="35" s="1"/>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T35" i="4"/>
  <c r="A19" i="51"/>
  <c r="B14" i="72"/>
  <c r="D18" i="53"/>
  <c r="B35" i="72"/>
  <c r="H52" i="43"/>
  <c r="K5" i="4"/>
  <c r="B47" i="48" s="1"/>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s="1"/>
  <c r="E11" i="43"/>
  <c r="E9" i="43"/>
  <c r="E10" i="43"/>
  <c r="E8" i="43"/>
  <c r="D23" i="67"/>
  <c r="G25" i="12"/>
  <c r="G41" i="11"/>
  <c r="G27" i="12"/>
  <c r="G41" i="68"/>
  <c r="D58" i="21"/>
  <c r="D63" i="40"/>
  <c r="D65" i="40" s="1"/>
  <c r="D58" i="33"/>
  <c r="E58" i="33" s="1"/>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9"/>
  <c r="C9" i="69" s="1"/>
  <c r="F27" i="69"/>
  <c r="C29" i="69" s="1"/>
  <c r="D27" i="69" s="1"/>
  <c r="C36" i="69"/>
  <c r="D9" i="68"/>
  <c r="C9" i="68" s="1"/>
  <c r="E61" i="43"/>
  <c r="B59" i="43"/>
  <c r="C28" i="43"/>
  <c r="B116" i="43"/>
  <c r="Z7" i="43"/>
  <c r="E30" i="6"/>
  <c r="E56" i="39"/>
  <c r="S26" i="35"/>
  <c r="AC26" i="35"/>
  <c r="W26" i="35"/>
  <c r="E61" i="39"/>
  <c r="E56" i="40"/>
  <c r="E72" i="43"/>
  <c r="B70" i="43"/>
  <c r="F27" i="11"/>
  <c r="C29" i="11"/>
  <c r="D27" i="11"/>
  <c r="F28" i="12"/>
  <c r="E60" i="40"/>
  <c r="E27" i="6"/>
  <c r="K26" i="6"/>
  <c r="M26" i="6"/>
  <c r="I26" i="6"/>
  <c r="S26" i="6"/>
  <c r="F31" i="6"/>
  <c r="E51" i="40"/>
  <c r="E16" i="6"/>
  <c r="AC6" i="3"/>
  <c r="H6" i="3"/>
  <c r="E58" i="40"/>
  <c r="E62" i="39"/>
  <c r="E65" i="39"/>
  <c r="AY6" i="3"/>
  <c r="E3" i="6"/>
  <c r="M14" i="1"/>
  <c r="D26" i="43"/>
  <c r="C25" i="43"/>
  <c r="C7" i="43"/>
  <c r="D10" i="52"/>
  <c r="D125" i="9"/>
  <c r="D11" i="52"/>
  <c r="E58" i="21"/>
  <c r="D14" i="71"/>
  <c r="P28" i="43"/>
  <c r="B66" i="40"/>
  <c r="P25" i="43"/>
  <c r="P29" i="43"/>
  <c r="P27" i="43"/>
  <c r="B70" i="39"/>
  <c r="AE11" i="1"/>
  <c r="AE6" i="1"/>
  <c r="AE9" i="1"/>
  <c r="F27" i="68"/>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F58" i="21"/>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D11" i="71"/>
  <c r="C10" i="71"/>
  <c r="D10" i="69"/>
  <c r="C10" i="69" s="1"/>
  <c r="C34" i="69"/>
  <c r="D10" i="68"/>
  <c r="C10" i="68" s="1"/>
  <c r="H23" i="6"/>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D10" i="71"/>
  <c r="C9" i="71"/>
  <c r="C8" i="71"/>
  <c r="D8" i="71"/>
  <c r="C7" i="71"/>
  <c r="T16" i="1"/>
  <c r="C36" i="11"/>
  <c r="C37" i="11"/>
  <c r="C34" i="11"/>
  <c r="C35" i="11" s="1"/>
  <c r="H19" i="6"/>
  <c r="S19" i="6"/>
  <c r="S27" i="6"/>
  <c r="I27" i="6"/>
  <c r="I5" i="6"/>
  <c r="I6" i="6"/>
  <c r="D9" i="71"/>
  <c r="D7" i="71"/>
  <c r="C6" i="71"/>
  <c r="H27" i="6"/>
  <c r="R19" i="6"/>
  <c r="D6" i="71"/>
  <c r="C5" i="71"/>
  <c r="R27" i="6"/>
  <c r="R6" i="1"/>
  <c r="D5" i="71"/>
  <c r="M24" i="43"/>
  <c r="B2" i="21"/>
  <c r="B3" i="21" s="1"/>
  <c r="B2" i="33"/>
  <c r="B3" i="33" s="1"/>
  <c r="B2" i="36"/>
  <c r="B3" i="36" s="1"/>
  <c r="B2" i="35"/>
  <c r="B2" i="37"/>
  <c r="B3" i="37" s="1"/>
  <c r="B2" i="34"/>
  <c r="B3" i="34" s="1"/>
  <c r="F14" i="74"/>
  <c r="B5" i="74"/>
  <c r="D5" i="74" s="1"/>
  <c r="B6" i="74"/>
  <c r="D6" i="74"/>
  <c r="M6" i="67"/>
  <c r="F35" i="15"/>
  <c r="F20" i="31"/>
  <c r="M23" i="67"/>
  <c r="E11" i="76"/>
  <c r="D34" i="9"/>
  <c r="D35" i="9"/>
  <c r="D19" i="9"/>
  <c r="B8" i="76"/>
  <c r="E12" i="76"/>
  <c r="M28" i="15"/>
  <c r="F42" i="67"/>
  <c r="M27" i="67"/>
  <c r="E13" i="76"/>
  <c r="F43" i="67"/>
  <c r="M27" i="15"/>
  <c r="M21" i="15"/>
  <c r="D3" i="73"/>
  <c r="M26" i="67"/>
  <c r="M24" i="15"/>
  <c r="D5" i="73"/>
  <c r="C19" i="9"/>
  <c r="B10" i="76"/>
  <c r="F13" i="15"/>
  <c r="M29" i="67"/>
  <c r="D2" i="21"/>
  <c r="D20" i="9"/>
  <c r="AO11" i="1"/>
  <c r="F16" i="15"/>
  <c r="C76" i="67"/>
  <c r="F6" i="73"/>
  <c r="E2" i="69"/>
  <c r="D2" i="35"/>
  <c r="F3" i="73"/>
  <c r="C14" i="15"/>
  <c r="F6" i="67"/>
  <c r="C76" i="15"/>
  <c r="F41" i="15"/>
  <c r="M9" i="15"/>
  <c r="J15" i="15"/>
  <c r="M22" i="15"/>
  <c r="D6" i="73"/>
  <c r="AO9" i="1"/>
  <c r="AO6" i="1"/>
  <c r="F41" i="67"/>
  <c r="B12" i="76"/>
  <c r="F26" i="15"/>
  <c r="F9" i="15"/>
  <c r="D7" i="73"/>
  <c r="AO8" i="1"/>
  <c r="M24" i="67"/>
  <c r="M22" i="67"/>
  <c r="F38" i="15"/>
  <c r="D2" i="34"/>
  <c r="F16" i="67"/>
  <c r="M23" i="15"/>
  <c r="F36" i="67"/>
  <c r="M9" i="67"/>
  <c r="F7" i="67"/>
  <c r="F43" i="15"/>
  <c r="E7" i="76"/>
  <c r="J15" i="67"/>
  <c r="M29" i="15"/>
  <c r="F26" i="67"/>
  <c r="L48" i="15"/>
  <c r="B13" i="76"/>
  <c r="F6" i="15"/>
  <c r="D2" i="33"/>
  <c r="F40" i="67"/>
  <c r="F40" i="15"/>
  <c r="F5" i="73"/>
  <c r="L47" i="67"/>
  <c r="L47" i="15"/>
  <c r="M8" i="67"/>
  <c r="B11" i="76"/>
  <c r="M21" i="67"/>
  <c r="F9" i="67"/>
  <c r="B9" i="76"/>
  <c r="AO10" i="1"/>
  <c r="M28" i="67"/>
  <c r="D2" i="37"/>
  <c r="F13" i="67"/>
  <c r="F37" i="15"/>
  <c r="F8" i="15"/>
  <c r="F42" i="15"/>
  <c r="E10" i="76"/>
  <c r="F7" i="15"/>
  <c r="F38" i="67"/>
  <c r="L48" i="67"/>
  <c r="AO7" i="1"/>
  <c r="AO13" i="1"/>
  <c r="F8" i="67"/>
  <c r="F36" i="15"/>
  <c r="F37" i="67"/>
  <c r="E9" i="76"/>
  <c r="M8" i="15"/>
  <c r="F7" i="73"/>
  <c r="B7" i="76"/>
  <c r="D2" i="36"/>
  <c r="F4" i="73"/>
  <c r="E8" i="76"/>
  <c r="M26" i="15"/>
  <c r="M6" i="15"/>
  <c r="F35" i="67"/>
  <c r="D4" i="73"/>
  <c r="E2" i="68"/>
  <c r="C20" i="9"/>
  <c r="AO12" i="1"/>
  <c r="E101" i="21" l="1"/>
  <c r="F101" i="21" s="1"/>
  <c r="G101" i="21" s="1"/>
  <c r="H101" i="21" s="1"/>
  <c r="I101" i="21" s="1"/>
  <c r="J101" i="21" s="1"/>
  <c r="K101" i="21" s="1"/>
  <c r="L101" i="21" s="1"/>
  <c r="M101" i="21" s="1"/>
  <c r="U32" i="21"/>
  <c r="U44" i="21"/>
  <c r="AB44" i="21"/>
  <c r="AA44" i="21"/>
  <c r="R48" i="21" s="1"/>
  <c r="AB8" i="21"/>
  <c r="W8" i="21"/>
  <c r="S8" i="21"/>
  <c r="S8" i="33"/>
  <c r="AC21" i="33"/>
  <c r="AB17" i="33"/>
  <c r="AA32" i="21"/>
  <c r="AC32" i="21"/>
  <c r="U33" i="21"/>
  <c r="D5" i="43"/>
  <c r="C5" i="43"/>
  <c r="K4" i="4"/>
  <c r="B46" i="48" s="1"/>
  <c r="B4" i="72" s="1"/>
  <c r="S33" i="21"/>
  <c r="J23" i="21"/>
  <c r="F85" i="21"/>
  <c r="H38" i="21"/>
  <c r="U38" i="21" s="1"/>
  <c r="F38" i="21"/>
  <c r="S38" i="21" s="1"/>
  <c r="J38" i="21"/>
  <c r="W33" i="21"/>
  <c r="AC11" i="21"/>
  <c r="U37" i="21"/>
  <c r="S37" i="21"/>
  <c r="W37" i="21"/>
  <c r="F79" i="21"/>
  <c r="G79" i="21" s="1"/>
  <c r="F17" i="21"/>
  <c r="J17" i="21"/>
  <c r="W17" i="21" s="1"/>
  <c r="H17" i="21"/>
  <c r="AC19" i="33"/>
  <c r="AA19" i="33"/>
  <c r="G77" i="21"/>
  <c r="H15" i="21"/>
  <c r="J15" i="21"/>
  <c r="W15" i="21" s="1"/>
  <c r="F15" i="21"/>
  <c r="C29" i="12"/>
  <c r="D28" i="12" s="1"/>
  <c r="E63" i="40"/>
  <c r="C5" i="78"/>
  <c r="D5" i="78" s="1"/>
  <c r="G16" i="1"/>
  <c r="AA27" i="33"/>
  <c r="AC27" i="33"/>
  <c r="H25" i="33"/>
  <c r="U25" i="33" s="1"/>
  <c r="AC25" i="33"/>
  <c r="AA25" i="33"/>
  <c r="F23" i="33"/>
  <c r="AA23" i="33" s="1"/>
  <c r="J23" i="33"/>
  <c r="AC23" i="33" s="1"/>
  <c r="H23" i="33"/>
  <c r="AB23" i="33" s="1"/>
  <c r="F85" i="33"/>
  <c r="G85" i="33" s="1"/>
  <c r="F14" i="35"/>
  <c r="AA14" i="35" s="1"/>
  <c r="H14" i="35"/>
  <c r="AB14" i="35" s="1"/>
  <c r="J14" i="35"/>
  <c r="W16" i="35"/>
  <c r="F20" i="35"/>
  <c r="AA20" i="35" s="1"/>
  <c r="F70" i="35"/>
  <c r="G70" i="35" s="1"/>
  <c r="H20" i="35"/>
  <c r="AB20" i="35" s="1"/>
  <c r="F29" i="35"/>
  <c r="S29" i="35" s="1"/>
  <c r="J29" i="35"/>
  <c r="H29" i="35"/>
  <c r="H87" i="35"/>
  <c r="I87" i="35" s="1"/>
  <c r="J87" i="35" s="1"/>
  <c r="K87" i="35" s="1"/>
  <c r="L87" i="35" s="1"/>
  <c r="M87" i="35" s="1"/>
  <c r="AA29" i="35"/>
  <c r="U26" i="35"/>
  <c r="S14" i="35"/>
  <c r="F77" i="33"/>
  <c r="G77" i="33" s="1"/>
  <c r="H15" i="33"/>
  <c r="C36" i="68"/>
  <c r="F15" i="33"/>
  <c r="F36" i="33"/>
  <c r="H36" i="33"/>
  <c r="G111" i="33"/>
  <c r="H111" i="33" s="1"/>
  <c r="I111" i="33" s="1"/>
  <c r="J111" i="33" s="1"/>
  <c r="K111" i="33" s="1"/>
  <c r="L111" i="33" s="1"/>
  <c r="M111" i="33" s="1"/>
  <c r="J36" i="33"/>
  <c r="W36" i="33" s="1"/>
  <c r="U33" i="33"/>
  <c r="U11" i="33"/>
  <c r="AC11" i="33"/>
  <c r="AB9" i="33"/>
  <c r="U9" i="33"/>
  <c r="S9" i="33"/>
  <c r="W9" i="33"/>
  <c r="U8" i="33"/>
  <c r="AC8" i="33"/>
  <c r="F59" i="34"/>
  <c r="G59" i="34" s="1"/>
  <c r="H59" i="34" s="1"/>
  <c r="I59" i="34" s="1"/>
  <c r="J59" i="34" s="1"/>
  <c r="K59" i="34" s="1"/>
  <c r="L59" i="34" s="1"/>
  <c r="M59" i="34" s="1"/>
  <c r="N59" i="34" s="1"/>
  <c r="O59" i="34" s="1"/>
  <c r="C69" i="39"/>
  <c r="D67" i="39"/>
  <c r="C38" i="11"/>
  <c r="C33" i="11"/>
  <c r="H7" i="33"/>
  <c r="E52" i="37"/>
  <c r="F52" i="37" s="1"/>
  <c r="G52" i="37" s="1"/>
  <c r="H52" i="37" s="1"/>
  <c r="I52" i="37" s="1"/>
  <c r="J52" i="37" s="1"/>
  <c r="K52" i="37" s="1"/>
  <c r="L52" i="37" s="1"/>
  <c r="M52" i="37" s="1"/>
  <c r="N52" i="37" s="1"/>
  <c r="O52" i="37" s="1"/>
  <c r="F58" i="33"/>
  <c r="G58" i="33" s="1"/>
  <c r="H58" i="33" s="1"/>
  <c r="I58" i="33" s="1"/>
  <c r="J58" i="33" s="1"/>
  <c r="K58" i="33" s="1"/>
  <c r="L58" i="33" s="1"/>
  <c r="M58" i="33" s="1"/>
  <c r="N58" i="33" s="1"/>
  <c r="O58" i="33" s="1"/>
  <c r="E48" i="35"/>
  <c r="F46" i="36"/>
  <c r="G46" i="36" s="1"/>
  <c r="H46" i="36" s="1"/>
  <c r="I46" i="36" s="1"/>
  <c r="J46" i="36" s="1"/>
  <c r="K46" i="36" s="1"/>
  <c r="L46" i="36" s="1"/>
  <c r="M46" i="36" s="1"/>
  <c r="N46" i="36" s="1"/>
  <c r="O46" i="36" s="1"/>
  <c r="F10" i="39"/>
  <c r="H10" i="39"/>
  <c r="J10" i="39"/>
  <c r="J10" i="40"/>
  <c r="F10" i="40"/>
  <c r="H10" i="40"/>
  <c r="G58" i="21"/>
  <c r="H7" i="34"/>
  <c r="H7" i="36"/>
  <c r="F7" i="33"/>
  <c r="F7" i="36"/>
  <c r="C35" i="68"/>
  <c r="C38" i="68"/>
  <c r="D19" i="68"/>
  <c r="C19" i="68" s="1"/>
  <c r="C20" i="68" s="1"/>
  <c r="C28" i="68" s="1"/>
  <c r="C27" i="68" s="1"/>
  <c r="R16" i="1"/>
  <c r="C12" i="12"/>
  <c r="C14" i="12"/>
  <c r="C8" i="69"/>
  <c r="C5" i="69" s="1"/>
  <c r="D19" i="69"/>
  <c r="C19" i="69" s="1"/>
  <c r="C18" i="12"/>
  <c r="B10" i="70"/>
  <c r="F63" i="67"/>
  <c r="C62" i="67" s="1"/>
  <c r="C34" i="67"/>
  <c r="D103" i="9"/>
  <c r="B6" i="70"/>
  <c r="C27" i="15"/>
  <c r="F71" i="15"/>
  <c r="B13" i="70"/>
  <c r="F51" i="67"/>
  <c r="B7" i="70"/>
  <c r="B12" i="70"/>
  <c r="B8" i="70"/>
  <c r="B9" i="70"/>
  <c r="J20" i="67"/>
  <c r="F69" i="67"/>
  <c r="Q71" i="15"/>
  <c r="F31" i="15"/>
  <c r="C6" i="15"/>
  <c r="F63" i="15"/>
  <c r="C62" i="15" s="1"/>
  <c r="C34" i="15"/>
  <c r="G20" i="9"/>
  <c r="C32" i="9" s="1"/>
  <c r="C103" i="9"/>
  <c r="I1" i="73"/>
  <c r="B39" i="1" s="1"/>
  <c r="F64" i="15"/>
  <c r="B11" i="70"/>
  <c r="J20" i="15"/>
  <c r="F66" i="67"/>
  <c r="L59" i="15"/>
  <c r="N59" i="15"/>
  <c r="M59" i="15"/>
  <c r="L58" i="15"/>
  <c r="F66" i="15"/>
  <c r="C27" i="67"/>
  <c r="F51" i="15"/>
  <c r="C18" i="15"/>
  <c r="C15" i="15"/>
  <c r="F69" i="15"/>
  <c r="Q71" i="67"/>
  <c r="D102" i="9"/>
  <c r="D21" i="9"/>
  <c r="F65" i="67"/>
  <c r="F64" i="67"/>
  <c r="F68" i="15"/>
  <c r="C6" i="67"/>
  <c r="F31" i="67"/>
  <c r="B20" i="31"/>
  <c r="B21" i="31" s="1"/>
  <c r="F71" i="67"/>
  <c r="I54" i="67"/>
  <c r="L56" i="67"/>
  <c r="J53" i="67"/>
  <c r="J57" i="67"/>
  <c r="J55" i="67" s="1"/>
  <c r="J58" i="67" s="1"/>
  <c r="Q50" i="67" s="1"/>
  <c r="L58" i="67"/>
  <c r="M59" i="67"/>
  <c r="N59" i="67"/>
  <c r="L59" i="67"/>
  <c r="F50" i="67"/>
  <c r="M7" i="67"/>
  <c r="J6" i="67" s="1"/>
  <c r="M7" i="15"/>
  <c r="J6" i="15" s="1"/>
  <c r="F50" i="15"/>
  <c r="K1" i="73"/>
  <c r="F65" i="15"/>
  <c r="C102" i="9"/>
  <c r="D22" i="9"/>
  <c r="C21" i="9"/>
  <c r="G19" i="9"/>
  <c r="G21" i="9" s="1"/>
  <c r="F68" i="67"/>
  <c r="J53" i="15"/>
  <c r="L56" i="15" s="1"/>
  <c r="J57" i="15"/>
  <c r="J55" i="15" s="1"/>
  <c r="J58" i="15" s="1"/>
  <c r="Q50" i="15" s="1"/>
  <c r="I54" i="15"/>
  <c r="C29" i="68"/>
  <c r="D27" i="68" s="1"/>
  <c r="F45" i="68"/>
  <c r="C47" i="68"/>
  <c r="D45" i="68" s="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C38" i="69"/>
  <c r="C35" i="69"/>
  <c r="C47" i="69"/>
  <c r="D45" i="69" s="1"/>
  <c r="F45" i="69"/>
  <c r="C16" i="67"/>
  <c r="C17" i="15"/>
  <c r="C16" i="15"/>
  <c r="C14" i="67"/>
  <c r="C17" i="67"/>
  <c r="G1" i="73"/>
  <c r="T11" i="43" l="1"/>
  <c r="V11" i="43" s="1"/>
  <c r="T14" i="43"/>
  <c r="V14" i="43" s="1"/>
  <c r="T4" i="43"/>
  <c r="V4" i="43" s="1"/>
  <c r="T5" i="43"/>
  <c r="V5" i="43" s="1"/>
  <c r="T9" i="43"/>
  <c r="V9" i="43" s="1"/>
  <c r="T12" i="43"/>
  <c r="V12" i="43" s="1"/>
  <c r="T3" i="43"/>
  <c r="V3" i="43" s="1"/>
  <c r="C33" i="43"/>
  <c r="T15" i="43"/>
  <c r="V15" i="43" s="1"/>
  <c r="T7" i="43"/>
  <c r="V7" i="43" s="1"/>
  <c r="T10" i="43"/>
  <c r="V10" i="43" s="1"/>
  <c r="T2" i="43"/>
  <c r="V2" i="43" s="1"/>
  <c r="T13" i="43"/>
  <c r="V13" i="43" s="1"/>
  <c r="T16" i="43"/>
  <c r="V16" i="43" s="1"/>
  <c r="T8" i="43"/>
  <c r="V8" i="43" s="1"/>
  <c r="T6" i="43"/>
  <c r="V6" i="43" s="1"/>
  <c r="C41" i="43"/>
  <c r="C42" i="43"/>
  <c r="C38" i="43"/>
  <c r="C40" i="43"/>
  <c r="C37" i="43"/>
  <c r="C39" i="43"/>
  <c r="H23" i="21"/>
  <c r="F23" i="21"/>
  <c r="G85" i="21"/>
  <c r="W23" i="21"/>
  <c r="AC23" i="21"/>
  <c r="AB38" i="21"/>
  <c r="AA38" i="21"/>
  <c r="W38" i="21"/>
  <c r="AC38" i="21"/>
  <c r="AC17" i="21"/>
  <c r="AB17" i="21"/>
  <c r="U17" i="21"/>
  <c r="AA17" i="21"/>
  <c r="S17" i="21"/>
  <c r="S15" i="21"/>
  <c r="AA15" i="21"/>
  <c r="AB15" i="21"/>
  <c r="U15" i="21"/>
  <c r="AC15" i="21"/>
  <c r="V48" i="21" s="1"/>
  <c r="J7" i="36"/>
  <c r="AC7" i="36" s="1"/>
  <c r="V36" i="36" s="1"/>
  <c r="I36" i="36" s="1"/>
  <c r="J7" i="33"/>
  <c r="F7" i="34"/>
  <c r="S7" i="34" s="1"/>
  <c r="E65" i="40"/>
  <c r="F63" i="40"/>
  <c r="W23" i="33"/>
  <c r="S23" i="33"/>
  <c r="AB25" i="33"/>
  <c r="U23" i="33"/>
  <c r="U20" i="35"/>
  <c r="U14" i="35"/>
  <c r="W14" i="35"/>
  <c r="AC14" i="35"/>
  <c r="J20" i="35"/>
  <c r="S20" i="35"/>
  <c r="AB29" i="35"/>
  <c r="U29" i="35"/>
  <c r="W29" i="35"/>
  <c r="AC29" i="35"/>
  <c r="J15" i="33"/>
  <c r="AB15" i="33"/>
  <c r="U15" i="33"/>
  <c r="AA15" i="33"/>
  <c r="S15" i="33"/>
  <c r="AB36" i="33"/>
  <c r="U36" i="33"/>
  <c r="AC36" i="33"/>
  <c r="AA36" i="33"/>
  <c r="S36" i="33"/>
  <c r="AC10" i="40"/>
  <c r="W10" i="40"/>
  <c r="AB7" i="36"/>
  <c r="T36" i="36" s="1"/>
  <c r="G36" i="36" s="1"/>
  <c r="U7" i="36"/>
  <c r="W7" i="36"/>
  <c r="F48" i="35"/>
  <c r="S7" i="36"/>
  <c r="AA7" i="36"/>
  <c r="R36" i="36" s="1"/>
  <c r="H58" i="21"/>
  <c r="I58" i="21" s="1"/>
  <c r="J58" i="21" s="1"/>
  <c r="K58" i="21" s="1"/>
  <c r="L58" i="21" s="1"/>
  <c r="M58" i="21" s="1"/>
  <c r="N58" i="21" s="1"/>
  <c r="O58" i="21" s="1"/>
  <c r="W10" i="39"/>
  <c r="AC10" i="39"/>
  <c r="H7" i="37"/>
  <c r="J7" i="34"/>
  <c r="S10" i="40"/>
  <c r="AA10" i="40"/>
  <c r="U7" i="34"/>
  <c r="AB7" i="34"/>
  <c r="T49" i="34" s="1"/>
  <c r="G49" i="34" s="1"/>
  <c r="F7" i="37"/>
  <c r="C39" i="11"/>
  <c r="C46" i="11"/>
  <c r="C45" i="11" s="1"/>
  <c r="S7" i="33"/>
  <c r="AA7" i="33"/>
  <c r="AB10" i="40"/>
  <c r="U10" i="40"/>
  <c r="U10" i="39"/>
  <c r="AB10" i="39"/>
  <c r="W7" i="33"/>
  <c r="AC7" i="33"/>
  <c r="J7" i="37"/>
  <c r="S10" i="39"/>
  <c r="AA10" i="39"/>
  <c r="U7" i="33"/>
  <c r="AB7" i="33"/>
  <c r="E67" i="39"/>
  <c r="D69" i="39"/>
  <c r="D37" i="68"/>
  <c r="C37" i="68" s="1"/>
  <c r="C33" i="68" s="1"/>
  <c r="C39" i="68" s="1"/>
  <c r="C46" i="68" s="1"/>
  <c r="C45" i="68" s="1"/>
  <c r="F59" i="67"/>
  <c r="D37" i="69"/>
  <c r="C37" i="69" s="1"/>
  <c r="C20" i="69"/>
  <c r="C28" i="69" s="1"/>
  <c r="C27" i="69" s="1"/>
  <c r="C16" i="12"/>
  <c r="C21" i="12" s="1"/>
  <c r="C22" i="12" s="1"/>
  <c r="C30" i="12" s="1"/>
  <c r="C28" i="12" s="1"/>
  <c r="F59" i="15"/>
  <c r="M17" i="67"/>
  <c r="C19" i="15"/>
  <c r="C18" i="67"/>
  <c r="C15" i="67"/>
  <c r="B40" i="1"/>
  <c r="J18" i="15"/>
  <c r="J19" i="15"/>
  <c r="J18" i="67"/>
  <c r="J19" i="67"/>
  <c r="Q52" i="67"/>
  <c r="F1" i="67"/>
  <c r="C33" i="67"/>
  <c r="C32" i="67"/>
  <c r="M17" i="15"/>
  <c r="Q74" i="67"/>
  <c r="Q61" i="67"/>
  <c r="C33" i="69"/>
  <c r="Q74" i="15"/>
  <c r="Q61" i="15"/>
  <c r="C35" i="9"/>
  <c r="C34" i="9" s="1"/>
  <c r="C49" i="67"/>
  <c r="C49" i="15"/>
  <c r="F11" i="15"/>
  <c r="M11" i="67"/>
  <c r="J10" i="67" s="1"/>
  <c r="J5" i="67" s="1"/>
  <c r="F11" i="67"/>
  <c r="M11" i="15"/>
  <c r="J10" i="15" s="1"/>
  <c r="J5" i="15" s="1"/>
  <c r="Q52" i="15"/>
  <c r="F1" i="15"/>
  <c r="Q60" i="67"/>
  <c r="Q73" i="67"/>
  <c r="Q60" i="15"/>
  <c r="Q73" i="15"/>
  <c r="C33" i="15"/>
  <c r="C32" i="15"/>
  <c r="B2" i="70"/>
  <c r="B3" i="70" s="1"/>
  <c r="E39" i="43" l="1"/>
  <c r="G39" i="43"/>
  <c r="I39" i="43" s="1"/>
  <c r="E37" i="43"/>
  <c r="G37" i="43"/>
  <c r="I37" i="43" s="1"/>
  <c r="E41" i="43"/>
  <c r="G41" i="43"/>
  <c r="I41" i="43" s="1"/>
  <c r="E40" i="43"/>
  <c r="G40" i="43"/>
  <c r="I40" i="43" s="1"/>
  <c r="C34" i="43"/>
  <c r="E34" i="43" s="1"/>
  <c r="E33" i="43"/>
  <c r="G38" i="43"/>
  <c r="I38" i="43" s="1"/>
  <c r="E38" i="43"/>
  <c r="E42" i="43"/>
  <c r="G42" i="43"/>
  <c r="I42" i="43" s="1"/>
  <c r="S23" i="21"/>
  <c r="AA23" i="21"/>
  <c r="U23" i="21"/>
  <c r="AB23" i="21"/>
  <c r="T48" i="21" s="1"/>
  <c r="R49" i="21" s="1"/>
  <c r="AA7" i="34"/>
  <c r="R49" i="34" s="1"/>
  <c r="E49" i="34" s="1"/>
  <c r="G63" i="40"/>
  <c r="F65" i="40"/>
  <c r="G48" i="33"/>
  <c r="G52" i="33" s="1"/>
  <c r="H52" i="33" s="1"/>
  <c r="W20" i="35"/>
  <c r="AC20" i="35"/>
  <c r="AC15" i="33"/>
  <c r="I48" i="33" s="1"/>
  <c r="I52" i="33" s="1"/>
  <c r="J52" i="33" s="1"/>
  <c r="W15" i="33"/>
  <c r="E48" i="33"/>
  <c r="F67" i="39"/>
  <c r="E69" i="39"/>
  <c r="R50" i="34"/>
  <c r="F7" i="21"/>
  <c r="H7" i="21"/>
  <c r="AC7" i="37"/>
  <c r="V42" i="37" s="1"/>
  <c r="I42" i="37" s="1"/>
  <c r="W7" i="37"/>
  <c r="AA7" i="37"/>
  <c r="R42" i="37" s="1"/>
  <c r="S7" i="37"/>
  <c r="R37" i="36"/>
  <c r="E36" i="36"/>
  <c r="I41" i="36" s="1"/>
  <c r="J41" i="36" s="1"/>
  <c r="G48" i="35"/>
  <c r="G41" i="36"/>
  <c r="H41" i="36" s="1"/>
  <c r="G40" i="36"/>
  <c r="H40" i="36" s="1"/>
  <c r="G54" i="34"/>
  <c r="H54" i="34" s="1"/>
  <c r="G53" i="34"/>
  <c r="H53" i="34" s="1"/>
  <c r="W7" i="34"/>
  <c r="AC7" i="34"/>
  <c r="V49" i="34" s="1"/>
  <c r="I49" i="34" s="1"/>
  <c r="J7" i="21"/>
  <c r="I40" i="36"/>
  <c r="J40" i="36" s="1"/>
  <c r="U7" i="37"/>
  <c r="AB7" i="37"/>
  <c r="T42" i="37" s="1"/>
  <c r="G42" i="37" s="1"/>
  <c r="C31" i="15"/>
  <c r="C19" i="67"/>
  <c r="C20" i="67" s="1"/>
  <c r="C26" i="67" s="1"/>
  <c r="J17" i="15"/>
  <c r="J26" i="67"/>
  <c r="J29" i="67" s="1"/>
  <c r="J24" i="67"/>
  <c r="J24" i="15"/>
  <c r="J26" i="15"/>
  <c r="J29" i="15" s="1"/>
  <c r="C10" i="67"/>
  <c r="C5" i="67" s="1"/>
  <c r="C53" i="67"/>
  <c r="C48" i="67" s="1"/>
  <c r="C61" i="15"/>
  <c r="C61" i="67"/>
  <c r="J17" i="67"/>
  <c r="C53" i="15"/>
  <c r="C48" i="15" s="1"/>
  <c r="C10" i="15"/>
  <c r="C5" i="15" s="1"/>
  <c r="C39" i="69"/>
  <c r="C31" i="67"/>
  <c r="F22" i="68"/>
  <c r="C43" i="68" s="1"/>
  <c r="F24" i="67"/>
  <c r="C24" i="67" s="1"/>
  <c r="F24" i="15"/>
  <c r="C24" i="15" s="1"/>
  <c r="F25" i="12"/>
  <c r="F22" i="69"/>
  <c r="F22" i="11"/>
  <c r="L36" i="43"/>
  <c r="C20" i="15"/>
  <c r="C26" i="15" s="1"/>
  <c r="C31" i="43" l="1"/>
  <c r="C30" i="43"/>
  <c r="G65" i="40"/>
  <c r="H63" i="40"/>
  <c r="G53" i="33"/>
  <c r="H53" i="33" s="1"/>
  <c r="C48" i="33"/>
  <c r="AB7" i="21"/>
  <c r="G48" i="21" s="1"/>
  <c r="U7" i="21"/>
  <c r="E53" i="34"/>
  <c r="F53" i="34" s="1"/>
  <c r="E54" i="34"/>
  <c r="F54" i="34" s="1"/>
  <c r="I53" i="34"/>
  <c r="J53" i="34" s="1"/>
  <c r="I54" i="34"/>
  <c r="J54" i="34" s="1"/>
  <c r="E42" i="37"/>
  <c r="R43" i="37"/>
  <c r="I47" i="37"/>
  <c r="J47" i="37" s="1"/>
  <c r="I46" i="37"/>
  <c r="J46" i="37" s="1"/>
  <c r="S7" i="21"/>
  <c r="AA7" i="21"/>
  <c r="C50" i="34"/>
  <c r="C49" i="34"/>
  <c r="W7" i="21"/>
  <c r="AC7" i="21"/>
  <c r="I48" i="21" s="1"/>
  <c r="H48" i="35"/>
  <c r="E41" i="36"/>
  <c r="F41" i="36" s="1"/>
  <c r="E40" i="36"/>
  <c r="F40" i="36" s="1"/>
  <c r="I53" i="33"/>
  <c r="J53" i="33" s="1"/>
  <c r="E53" i="33"/>
  <c r="F53" i="33" s="1"/>
  <c r="E52" i="33"/>
  <c r="F52" i="33" s="1"/>
  <c r="G67" i="39"/>
  <c r="F69" i="39"/>
  <c r="C36" i="36"/>
  <c r="C37" i="36"/>
  <c r="G47" i="37"/>
  <c r="H47" i="37" s="1"/>
  <c r="G46" i="37"/>
  <c r="H46" i="37" s="1"/>
  <c r="C43" i="69"/>
  <c r="C23" i="15"/>
  <c r="C29" i="15" s="1"/>
  <c r="C57" i="15" s="1"/>
  <c r="C64" i="15" s="1"/>
  <c r="C60" i="15"/>
  <c r="C59" i="15" s="1"/>
  <c r="C66" i="15"/>
  <c r="C26" i="12"/>
  <c r="D25" i="12" s="1"/>
  <c r="C27" i="12"/>
  <c r="C25" i="12" s="1"/>
  <c r="C44" i="11"/>
  <c r="D41" i="11" s="1"/>
  <c r="C25" i="11"/>
  <c r="C26" i="11"/>
  <c r="D22" i="11" s="1"/>
  <c r="C24" i="11"/>
  <c r="C43" i="11"/>
  <c r="C42" i="11"/>
  <c r="C23" i="11"/>
  <c r="F41" i="69"/>
  <c r="C26" i="69"/>
  <c r="D22" i="69" s="1"/>
  <c r="C44" i="69"/>
  <c r="D41" i="69" s="1"/>
  <c r="C23" i="69"/>
  <c r="C25" i="69"/>
  <c r="C24" i="69"/>
  <c r="C26" i="68"/>
  <c r="D22" i="68" s="1"/>
  <c r="C44" i="68"/>
  <c r="D41" i="68" s="1"/>
  <c r="F41" i="68"/>
  <c r="C23" i="68"/>
  <c r="C24" i="68"/>
  <c r="C25" i="68"/>
  <c r="C42" i="68"/>
  <c r="C41" i="68" s="1"/>
  <c r="C42" i="69"/>
  <c r="C66" i="67"/>
  <c r="C60" i="67"/>
  <c r="C59" i="67" s="1"/>
  <c r="C46" i="69"/>
  <c r="C45" i="69" s="1"/>
  <c r="C38" i="67"/>
  <c r="C23" i="67"/>
  <c r="C29" i="67" s="1"/>
  <c r="C38" i="15"/>
  <c r="L37" i="43"/>
  <c r="O36" i="43"/>
  <c r="P36" i="43"/>
  <c r="M36" i="43"/>
  <c r="N36" i="43"/>
  <c r="Q36" i="43"/>
  <c r="E6" i="76"/>
  <c r="E2" i="76" l="1"/>
  <c r="B2" i="43"/>
  <c r="H65" i="40"/>
  <c r="I63" i="40"/>
  <c r="C49" i="33"/>
  <c r="E46" i="37"/>
  <c r="F46" i="37" s="1"/>
  <c r="E47" i="37"/>
  <c r="F47" i="37" s="1"/>
  <c r="I48" i="35"/>
  <c r="G52" i="21"/>
  <c r="H52" i="21" s="1"/>
  <c r="G53" i="21"/>
  <c r="H53" i="21" s="1"/>
  <c r="H67" i="39"/>
  <c r="G69" i="39"/>
  <c r="I52" i="21"/>
  <c r="J52" i="21" s="1"/>
  <c r="E48" i="21"/>
  <c r="I53" i="21" s="1"/>
  <c r="J53" i="21" s="1"/>
  <c r="C43" i="37"/>
  <c r="C42" i="37"/>
  <c r="C41" i="69"/>
  <c r="C49" i="69" s="1"/>
  <c r="C51" i="69" s="1"/>
  <c r="C36" i="15"/>
  <c r="J59" i="15"/>
  <c r="J60" i="15" s="1"/>
  <c r="Q48" i="15" s="1"/>
  <c r="C13" i="15"/>
  <c r="Q70" i="15" s="1"/>
  <c r="J14" i="15"/>
  <c r="J22" i="15" s="1"/>
  <c r="Q49" i="15"/>
  <c r="C49" i="68"/>
  <c r="C51" i="68" s="1"/>
  <c r="C22" i="11"/>
  <c r="C31" i="11" s="1"/>
  <c r="J14" i="67"/>
  <c r="C57" i="67"/>
  <c r="C64" i="67" s="1"/>
  <c r="Q49" i="67"/>
  <c r="C36" i="67"/>
  <c r="C13" i="67"/>
  <c r="J59" i="67"/>
  <c r="J60" i="67" s="1"/>
  <c r="C22" i="69"/>
  <c r="C31" i="69" s="1"/>
  <c r="C32" i="12"/>
  <c r="B2" i="12" s="1"/>
  <c r="B3" i="12" s="1"/>
  <c r="M37" i="43"/>
  <c r="Q37" i="43"/>
  <c r="O37" i="43"/>
  <c r="N37" i="43"/>
  <c r="P37" i="43"/>
  <c r="C22" i="68"/>
  <c r="C31" i="68" s="1"/>
  <c r="C41" i="11"/>
  <c r="C49" i="11" s="1"/>
  <c r="C51" i="11" s="1"/>
  <c r="B6" i="76"/>
  <c r="B2" i="76" l="1"/>
  <c r="B3" i="76" s="1"/>
  <c r="B3" i="43"/>
  <c r="J63" i="40"/>
  <c r="I65" i="40"/>
  <c r="J13" i="15"/>
  <c r="J23" i="15" s="1"/>
  <c r="J16" i="15" s="1"/>
  <c r="J25" i="15" s="1"/>
  <c r="C52" i="68"/>
  <c r="B2" i="68" s="1"/>
  <c r="B3" i="68" s="1"/>
  <c r="H7" i="35"/>
  <c r="I67" i="39"/>
  <c r="H69" i="39"/>
  <c r="C49" i="21"/>
  <c r="C48" i="21"/>
  <c r="M51" i="21" s="1"/>
  <c r="E52" i="21"/>
  <c r="F52" i="21" s="1"/>
  <c r="E53" i="21"/>
  <c r="F53" i="21" s="1"/>
  <c r="J48" i="35"/>
  <c r="K48" i="35" s="1"/>
  <c r="L48" i="35" s="1"/>
  <c r="M48" i="35" s="1"/>
  <c r="N48" i="35" s="1"/>
  <c r="O48" i="35" s="1"/>
  <c r="F7" i="35"/>
  <c r="C56" i="15"/>
  <c r="C65" i="15" s="1"/>
  <c r="C58" i="15" s="1"/>
  <c r="C67" i="15" s="1"/>
  <c r="C68" i="15" s="1"/>
  <c r="C71" i="15" s="1"/>
  <c r="C75" i="15"/>
  <c r="L46" i="15"/>
  <c r="C37" i="15"/>
  <c r="C30" i="15" s="1"/>
  <c r="C39" i="15" s="1"/>
  <c r="C52" i="69"/>
  <c r="B2" i="69" s="1"/>
  <c r="B3" i="69" s="1"/>
  <c r="Q48" i="67"/>
  <c r="L46" i="67"/>
  <c r="C52" i="11"/>
  <c r="B2" i="11" s="1"/>
  <c r="B3" i="11" s="1"/>
  <c r="C37" i="67"/>
  <c r="C30" i="67" s="1"/>
  <c r="C39" i="67" s="1"/>
  <c r="Q70" i="67"/>
  <c r="C75" i="67"/>
  <c r="C56" i="67"/>
  <c r="C65" i="67" s="1"/>
  <c r="C58" i="67" s="1"/>
  <c r="C67" i="67" s="1"/>
  <c r="C68" i="67" s="1"/>
  <c r="J22" i="67"/>
  <c r="J13" i="67"/>
  <c r="J23" i="67" s="1"/>
  <c r="L51" i="15"/>
  <c r="N44" i="21" l="1"/>
  <c r="N45" i="21"/>
  <c r="M50" i="21"/>
  <c r="J7" i="35"/>
  <c r="W7" i="35" s="1"/>
  <c r="J65" i="40"/>
  <c r="K63" i="40"/>
  <c r="C57" i="68"/>
  <c r="C56" i="68" s="1"/>
  <c r="AA7" i="35"/>
  <c r="R38" i="35" s="1"/>
  <c r="S7" i="35"/>
  <c r="I69" i="39"/>
  <c r="J67" i="39"/>
  <c r="U7" i="35"/>
  <c r="AB7" i="35"/>
  <c r="T38" i="35" s="1"/>
  <c r="G38" i="35" s="1"/>
  <c r="C80" i="15"/>
  <c r="C79" i="15" s="1"/>
  <c r="C57" i="69"/>
  <c r="C56" i="69" s="1"/>
  <c r="C40" i="15"/>
  <c r="C46" i="15" s="1"/>
  <c r="Q69" i="15"/>
  <c r="Q68" i="15" s="1"/>
  <c r="J16" i="67"/>
  <c r="J25" i="67" s="1"/>
  <c r="Q67" i="15"/>
  <c r="L57" i="15"/>
  <c r="L60" i="15" s="1"/>
  <c r="C40" i="67"/>
  <c r="C45" i="67" s="1"/>
  <c r="C46" i="67" s="1"/>
  <c r="Q69" i="67"/>
  <c r="Q68" i="67" s="1"/>
  <c r="C56" i="11"/>
  <c r="C57" i="11" s="1"/>
  <c r="C80" i="67"/>
  <c r="C79" i="67" s="1"/>
  <c r="C71" i="67"/>
  <c r="L51" i="67"/>
  <c r="K65" i="40" l="1"/>
  <c r="L63" i="40"/>
  <c r="AC7" i="35"/>
  <c r="V38" i="35" s="1"/>
  <c r="I38" i="35" s="1"/>
  <c r="R39" i="35"/>
  <c r="E38" i="35"/>
  <c r="G42" i="35"/>
  <c r="H42" i="35" s="1"/>
  <c r="G43" i="35"/>
  <c r="H43" i="35" s="1"/>
  <c r="I42" i="35"/>
  <c r="J42" i="35" s="1"/>
  <c r="I43" i="35"/>
  <c r="J43" i="35" s="1"/>
  <c r="J69" i="39"/>
  <c r="K67" i="39"/>
  <c r="Q47" i="15"/>
  <c r="Q53" i="15" s="1"/>
  <c r="C43" i="15"/>
  <c r="C83" i="15"/>
  <c r="C82" i="15" s="1"/>
  <c r="B2" i="15"/>
  <c r="B3" i="15" s="1"/>
  <c r="Q56" i="15"/>
  <c r="Q65" i="15"/>
  <c r="Q67" i="67"/>
  <c r="L57" i="67"/>
  <c r="L60" i="67" s="1"/>
  <c r="Q57" i="15"/>
  <c r="Q66" i="15"/>
  <c r="Q65" i="67"/>
  <c r="Q56" i="67"/>
  <c r="D2" i="67"/>
  <c r="Q47" i="67"/>
  <c r="Q53" i="67" s="1"/>
  <c r="C43" i="67"/>
  <c r="C83" i="67"/>
  <c r="C82" i="67" s="1"/>
  <c r="L65" i="40" l="1"/>
  <c r="M63" i="40"/>
  <c r="Q75" i="15"/>
  <c r="L67" i="39"/>
  <c r="K69" i="39"/>
  <c r="E42" i="35"/>
  <c r="F42" i="35" s="1"/>
  <c r="E43" i="35"/>
  <c r="F43" i="35" s="1"/>
  <c r="C39" i="35"/>
  <c r="C38" i="35"/>
  <c r="Q62" i="15"/>
  <c r="Q66" i="67"/>
  <c r="Q75" i="67" s="1"/>
  <c r="Q57" i="67"/>
  <c r="Q62" i="67" s="1"/>
  <c r="B3" i="67"/>
  <c r="B2" i="67"/>
  <c r="N63" i="40" l="1"/>
  <c r="M65" i="40"/>
  <c r="A42" i="35"/>
  <c r="A41" i="35"/>
  <c r="M3" i="35"/>
  <c r="B3" i="35"/>
  <c r="L69" i="39"/>
  <c r="M67" i="39"/>
  <c r="J7" i="40" l="1"/>
  <c r="O63" i="40"/>
  <c r="O65" i="40" s="1"/>
  <c r="H7" i="40" s="1"/>
  <c r="N65" i="40"/>
  <c r="M69" i="39"/>
  <c r="N67" i="39"/>
  <c r="F7" i="40" l="1"/>
  <c r="U7" i="40"/>
  <c r="AB7" i="40"/>
  <c r="T42" i="40" s="1"/>
  <c r="G42" i="40" s="1"/>
  <c r="W7" i="40"/>
  <c r="AC7" i="40"/>
  <c r="V42" i="40" s="1"/>
  <c r="I42" i="40" s="1"/>
  <c r="N69" i="39"/>
  <c r="O67" i="39"/>
  <c r="O69" i="39" s="1"/>
  <c r="AA7" i="40" l="1"/>
  <c r="R42" i="40" s="1"/>
  <c r="S7" i="40"/>
  <c r="G46" i="40"/>
  <c r="H46" i="40" s="1"/>
  <c r="G47" i="40"/>
  <c r="H47" i="40" s="1"/>
  <c r="I46" i="40"/>
  <c r="J46" i="40" s="1"/>
  <c r="F7" i="39"/>
  <c r="J7" i="39"/>
  <c r="H7" i="39"/>
  <c r="R43" i="40" l="1"/>
  <c r="E42" i="40"/>
  <c r="S7" i="39"/>
  <c r="AA7" i="39"/>
  <c r="R47" i="39" s="1"/>
  <c r="W7" i="39"/>
  <c r="AC7" i="39"/>
  <c r="V47" i="39" s="1"/>
  <c r="I47" i="39" s="1"/>
  <c r="U7" i="39"/>
  <c r="AB7" i="39"/>
  <c r="T47" i="39" s="1"/>
  <c r="G47" i="39" s="1"/>
  <c r="E46" i="40" l="1"/>
  <c r="F46" i="40" s="1"/>
  <c r="E47" i="40"/>
  <c r="F47" i="40" s="1"/>
  <c r="I47" i="40"/>
  <c r="J47" i="40" s="1"/>
  <c r="C42" i="40"/>
  <c r="C43" i="40"/>
  <c r="I51" i="39"/>
  <c r="J51" i="39" s="1"/>
  <c r="G51" i="39"/>
  <c r="H51" i="39" s="1"/>
  <c r="G52" i="39"/>
  <c r="H52" i="39" s="1"/>
  <c r="E47" i="39"/>
  <c r="R48" i="39"/>
  <c r="B60" i="40" l="1"/>
  <c r="F60" i="40" s="1"/>
  <c r="B56" i="40"/>
  <c r="F56" i="40" s="1"/>
  <c r="B58" i="40"/>
  <c r="F58" i="40" s="1"/>
  <c r="B51" i="40"/>
  <c r="F51" i="40" s="1"/>
  <c r="B57" i="40"/>
  <c r="F57" i="40" s="1"/>
  <c r="B53" i="40"/>
  <c r="F53" i="40" s="1"/>
  <c r="B54" i="40"/>
  <c r="F54" i="40" s="1"/>
  <c r="F61" i="40"/>
  <c r="B2" i="40" s="1"/>
  <c r="B3" i="40" s="1"/>
  <c r="B52" i="40"/>
  <c r="F52" i="40" s="1"/>
  <c r="B59" i="40"/>
  <c r="F59" i="40" s="1"/>
  <c r="E51" i="39"/>
  <c r="F51" i="39" s="1"/>
  <c r="E52" i="39"/>
  <c r="F52" i="39" s="1"/>
  <c r="C48" i="39"/>
  <c r="C47" i="39"/>
  <c r="I52" i="39"/>
  <c r="J52" i="39" s="1"/>
  <c r="B63" i="39" l="1"/>
  <c r="F63" i="39" s="1"/>
  <c r="B60" i="39"/>
  <c r="F60" i="39" s="1"/>
  <c r="B57" i="39"/>
  <c r="F57" i="39" s="1"/>
  <c r="B62" i="39"/>
  <c r="F62" i="39" s="1"/>
  <c r="B64" i="39"/>
  <c r="F64" i="39" s="1"/>
  <c r="B61" i="39"/>
  <c r="F61" i="39" s="1"/>
  <c r="B58" i="39"/>
  <c r="F58" i="39" s="1"/>
  <c r="B59" i="39"/>
  <c r="F59" i="39" s="1"/>
  <c r="B56" i="39"/>
  <c r="F56" i="39" s="1"/>
  <c r="F65" i="39" s="1"/>
  <c r="B2" i="39" s="1"/>
  <c r="B3" i="39" s="1"/>
  <c r="B32" i="72"/>
  <c r="D14" i="53"/>
  <c r="B22" i="72"/>
  <c r="D6" i="53"/>
  <c r="B48" i="72"/>
  <c r="E4" i="52"/>
  <c r="M55" i="9"/>
  <c r="D59" i="9"/>
  <c r="C73" i="9"/>
  <c r="C78" i="9"/>
  <c r="C6" i="74"/>
  <c r="C5" i="74"/>
  <c r="B51" i="72"/>
  <c r="F4" i="52"/>
  <c r="C81" i="9"/>
  <c r="D54" i="9"/>
  <c r="C64" i="9"/>
  <c r="C63" i="9"/>
  <c r="C67" i="9"/>
  <c r="C68" i="9"/>
  <c r="M48" i="9"/>
  <c r="B52" i="72"/>
  <c r="G4" i="52"/>
  <c r="C72" i="9"/>
  <c r="C79" i="9"/>
  <c r="C80" i="9"/>
  <c r="E80" i="9"/>
  <c r="E81" i="9"/>
  <c r="N60" i="9"/>
  <c r="N59" i="9"/>
  <c r="N61" i="9"/>
  <c r="D5" i="53"/>
  <c r="B20" i="72"/>
  <c r="C97" i="9"/>
  <c r="D58" i="9"/>
  <c r="D56" i="9"/>
  <c r="M54" i="9"/>
  <c r="H102" i="9"/>
  <c r="D7" i="53"/>
  <c r="B21" i="72"/>
  <c r="D4" i="52"/>
  <c r="B47" i="72"/>
  <c r="C86" i="9"/>
  <c r="C93" i="9"/>
  <c r="D9" i="52"/>
  <c r="D123" i="9"/>
  <c r="H4" i="52"/>
  <c r="C104" i="9"/>
  <c r="H119" i="9"/>
  <c r="H5" i="52"/>
  <c r="E118" i="9"/>
  <c r="D118" i="9"/>
  <c r="D119" i="9"/>
  <c r="D5" i="52"/>
  <c r="B49" i="72"/>
  <c r="I4" i="52"/>
  <c r="C105" i="9"/>
  <c r="C85" i="9"/>
  <c r="C95" i="9"/>
  <c r="C96" i="9"/>
  <c r="E96" i="9"/>
  <c r="E97" i="9"/>
  <c r="D52" i="9"/>
  <c r="D53" i="9"/>
  <c r="D122" i="9"/>
  <c r="D8" i="52"/>
  <c r="D13" i="53"/>
  <c r="B30" i="72"/>
  <c r="G118" i="9"/>
  <c r="F118" i="9"/>
  <c r="F119" i="9"/>
  <c r="F5" i="52"/>
  <c r="B53" i="72"/>
  <c r="H107" i="9"/>
  <c r="H108" i="9"/>
  <c r="D15" i="53"/>
  <c r="B31" i="72"/>
  <c r="N58" i="9"/>
  <c r="I118" i="9"/>
  <c r="H118" i="9"/>
  <c r="H101" i="9"/>
  <c r="D45" i="9"/>
  <c r="D55" i="9"/>
  <c r="M53" i="9"/>
  <c r="N57"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628C906-E594-436A-A5E0-A07DACABFECE}">
      <text>
        <r>
          <rPr>
            <b/>
            <sz val="9"/>
            <color indexed="81"/>
            <rFont val="宋体"/>
            <family val="3"/>
            <charset val="134"/>
          </rPr>
          <t>权重验证</t>
        </r>
        <r>
          <rPr>
            <sz val="9"/>
            <color indexed="81"/>
            <rFont val="宋体"/>
            <family val="3"/>
            <charset val="134"/>
          </rPr>
          <t xml:space="preserve">
</t>
        </r>
      </text>
    </comment>
    <comment ref="C58" authorId="1" shapeId="0" xr:uid="{3EEC788F-6660-470D-BEFF-FB1CECE17F59}">
      <text>
        <r>
          <rPr>
            <b/>
            <sz val="12"/>
            <color indexed="81"/>
            <rFont val="宋体"/>
            <family val="3"/>
            <charset val="134"/>
          </rPr>
          <t>价值时点所在月度</t>
        </r>
        <r>
          <rPr>
            <sz val="12"/>
            <color indexed="81"/>
            <rFont val="宋体"/>
            <family val="3"/>
            <charset val="134"/>
          </rPr>
          <t xml:space="preserve">
</t>
        </r>
      </text>
    </comment>
    <comment ref="B102" authorId="1" shapeId="0" xr:uid="{8DC08AF2-5E13-4A53-B27E-C7C6843203B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<sst xmlns="http://schemas.openxmlformats.org/spreadsheetml/2006/main" count="8193" uniqueCount="3438">
  <si>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</si>
  <si>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</si>
  <si>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</si>
  <si>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</si>
  <si>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</si>
  <si>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</si>
  <si>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</si>
  <si>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</si>
  <si>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</si>
  <si>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</si>
  <si>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</si>
  <si>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</si>
  <si>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</si>
  <si>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</si>
  <si>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</si>
  <si>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</si>
  <si>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</si>
  <si>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</si>
  <si>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</si>
  <si>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</si>
  <si>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</si>
  <si>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</si>
  <si>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</si>
  <si>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</si>
  <si>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</si>
  <si>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</si>
  <si>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</si>
  <si>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</si>
  <si>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</si>
  <si>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</si>
  <si>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</si>
  <si>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</si>
  <si>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</si>
  <si>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</si>
  <si>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</si>
  <si>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</si>
  <si>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</si>
  <si>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</si>
  <si>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</si>
  <si>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</si>
  <si>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</si>
  <si>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</si>
  <si>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</si>
  <si>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</si>
  <si>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</si>
  <si>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</si>
  <si>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</si>
  <si>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</si>
  <si>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</si>
  <si>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</si>
  <si>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</si>
  <si>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</si>
  <si>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</si>
  <si>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</si>
  <si>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</si>
  <si>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</si>
  <si>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</si>
  <si>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</si>
  <si>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</si>
  <si>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</si>
  <si>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</si>
  <si>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</si>
  <si>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</si>
  <si>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</si>
  <si>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</si>
  <si>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</si>
  <si>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</si>
  <si>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</si>
  <si>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</si>
  <si>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</si>
  <si>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</si>
  <si>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</si>
  <si>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</si>
  <si>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</si>
  <si>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</si>
  <si>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</si>
  <si>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</si>
  <si>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</si>
  <si>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</si>
  <si>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</si>
  <si>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</si>
  <si>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</si>
  <si>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</si>
  <si>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</si>
  <si>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</si>
  <si>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</si>
  <si>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</si>
  <si>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</si>
  <si>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</si>
  <si>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</si>
  <si>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</si>
  <si>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</si>
  <si>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</si>
  <si>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</si>
  <si>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</si>
  <si>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</si>
  <si>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</si>
  <si>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</si>
  <si>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</si>
  <si>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</si>
  <si>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</si>
  <si>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</si>
  <si>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</si>
  <si>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</si>
  <si>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</si>
  <si>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</si>
  <si>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</si>
  <si>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</si>
  <si>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</si>
  <si>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</si>
  <si>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</si>
  <si>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</si>
  <si>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</si>
  <si>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</si>
  <si>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</si>
  <si>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</si>
  <si>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</si>
  <si>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</si>
  <si>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</si>
  <si>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</si>
  <si>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</si>
  <si>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</si>
  <si>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</si>
  <si>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</si>
  <si>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</si>
  <si>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</si>
  <si>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</si>
  <si>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</si>
  <si>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</si>
  <si>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</si>
  <si>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</si>
  <si>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</si>
  <si>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</si>
  <si>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</si>
  <si>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</si>
  <si>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</si>
  <si>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</si>
  <si>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</si>
  <si>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</si>
  <si>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</si>
  <si>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</si>
  <si>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</si>
  <si>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</si>
  <si>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</si>
  <si>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</si>
  <si>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</si>
  <si>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</si>
  <si>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</si>
  <si>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</si>
  <si>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</si>
  <si>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</si>
  <si>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</si>
  <si>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</si>
  <si>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</si>
  <si>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</si>
  <si>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</si>
  <si>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</si>
  <si>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</si>
  <si>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</si>
  <si>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</si>
  <si>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</si>
  <si>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</si>
  <si>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</si>
  <si>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</si>
  <si>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</si>
  <si>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</si>
  <si>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</si>
  <si>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</si>
  <si>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</si>
  <si>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</si>
  <si>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</si>
  <si>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</si>
  <si>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</si>
  <si>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</si>
  <si>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</si>
  <si>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</si>
  <si>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</si>
  <si>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</si>
  <si>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</si>
  <si>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</si>
  <si>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</si>
  <si>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</si>
  <si>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</si>
  <si>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</si>
  <si>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</si>
  <si>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</si>
  <si>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</si>
  <si>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</si>
  <si>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</si>
  <si>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</si>
  <si>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</si>
  <si>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</si>
  <si>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</si>
  <si>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</si>
  <si>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</si>
  <si>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</si>
  <si>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</si>
  <si>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</si>
  <si>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</si>
  <si>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</si>
  <si>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</si>
  <si>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</si>
  <si>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</si>
  <si>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</si>
  <si>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</si>
  <si>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</si>
  <si>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</si>
  <si>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</si>
  <si>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</si>
  <si>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</si>
  <si>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</si>
  <si>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</si>
  <si>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</si>
  <si>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</si>
  <si>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</si>
  <si>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</si>
  <si>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</si>
  <si>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</si>
  <si>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</si>
  <si>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</si>
  <si>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</si>
  <si>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</si>
  <si>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</si>
  <si>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</si>
  <si>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</si>
  <si>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</si>
  <si>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</si>
  <si>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</si>
  <si>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</si>
  <si>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</si>
  <si>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</si>
  <si>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</si>
  <si>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</si>
  <si>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</si>
  <si>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</si>
  <si>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</si>
  <si>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</si>
  <si>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</si>
  <si>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</si>
  <si>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</si>
  <si>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</si>
  <si>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</si>
  <si>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</si>
  <si>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</si>
  <si>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</si>
  <si>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</si>
  <si>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</si>
  <si>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</si>
  <si>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</si>
  <si>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</si>
  <si>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</si>
  <si>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</si>
  <si>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</si>
  <si>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</si>
  <si>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</si>
  <si>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</si>
  <si>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</si>
  <si>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</si>
  <si>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</si>
  <si>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</si>
  <si>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</si>
  <si>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</si>
  <si>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</si>
  <si>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</si>
  <si>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</si>
  <si>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</si>
  <si>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</si>
  <si>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</si>
  <si>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</si>
  <si>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</si>
  <si>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</si>
  <si>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</si>
  <si>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</si>
  <si>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</si>
  <si>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</si>
  <si>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</si>
  <si>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</si>
  <si>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</si>
  <si>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</si>
  <si>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</si>
  <si>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</si>
  <si>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</si>
  <si>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</si>
  <si>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</si>
  <si>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</si>
  <si>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</si>
  <si>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</si>
  <si>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</si>
  <si>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</si>
  <si>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</si>
  <si>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</si>
  <si>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</si>
  <si>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</si>
  <si>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</si>
  <si>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</si>
  <si>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</si>
  <si>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</si>
  <si>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</si>
  <si>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</si>
  <si>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</si>
  <si>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</si>
  <si>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</si>
  <si>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</si>
  <si>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</si>
  <si>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</si>
  <si>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</si>
  <si>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</si>
  <si>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</si>
  <si>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</si>
  <si>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</si>
  <si>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</si>
  <si>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</si>
  <si>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</si>
  <si>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</si>
  <si>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</si>
  <si>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</si>
  <si>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</si>
  <si>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</si>
  <si>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</si>
  <si>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</si>
  <si>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</si>
  <si>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</si>
  <si>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</si>
  <si>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</si>
  <si>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</si>
  <si>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</si>
  <si>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</si>
  <si>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</si>
  <si>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</si>
  <si>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</si>
  <si>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</si>
  <si>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</si>
  <si>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</si>
  <si>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</si>
  <si>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</si>
  <si>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</si>
  <si>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</si>
  <si>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</si>
  <si>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</si>
  <si>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</si>
  <si>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</si>
  <si>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</si>
  <si>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</si>
  <si>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</si>
  <si>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</si>
  <si>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</si>
  <si>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</si>
  <si>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</si>
  <si>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</si>
  <si>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</si>
  <si>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</si>
  <si>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</si>
  <si>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</si>
  <si>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</si>
  <si>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</si>
  <si>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</si>
  <si>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</si>
  <si>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</si>
  <si>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</si>
  <si>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</si>
  <si>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</si>
  <si>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</si>
  <si>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</si>
  <si>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</si>
  <si>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</si>
  <si>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</si>
  <si>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</si>
  <si>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</si>
  <si>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</si>
  <si>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</si>
  <si>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</si>
  <si>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</si>
  <si>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</si>
  <si>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</si>
  <si>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</si>
  <si>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</si>
  <si>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</si>
  <si>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</si>
  <si>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</si>
  <si>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</si>
  <si>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</si>
  <si>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</si>
  <si>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</si>
  <si>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</si>
  <si>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</si>
  <si>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</si>
  <si>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</si>
  <si>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</si>
  <si>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</si>
  <si>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</si>
  <si>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</si>
  <si>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</si>
  <si>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</si>
  <si>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</si>
  <si>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</si>
  <si>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</si>
  <si>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</si>
  <si>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</si>
  <si>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</si>
  <si>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</si>
  <si>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</si>
  <si>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</si>
  <si>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</si>
  <si>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</si>
  <si>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</si>
  <si>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</si>
  <si>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</si>
  <si>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</si>
  <si>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</si>
  <si>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</si>
  <si>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</si>
  <si>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</si>
  <si>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</si>
  <si>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</si>
  <si>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</si>
  <si>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</si>
  <si>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</si>
  <si>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</si>
  <si>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</si>
  <si>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</si>
  <si>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</si>
  <si>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</si>
  <si>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</si>
  <si>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</si>
  <si>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</si>
  <si>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</si>
  <si>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</si>
  <si>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</si>
  <si>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</si>
  <si>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</si>
  <si>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</si>
  <si>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</si>
  <si>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</si>
  <si>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</si>
  <si>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</si>
  <si>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</si>
  <si>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</si>
  <si>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</si>
  <si>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</si>
  <si>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</si>
  <si>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</si>
  <si>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</si>
  <si>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</si>
  <si>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</si>
  <si>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</si>
  <si>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</si>
  <si>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</si>
  <si>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</si>
  <si>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</si>
  <si>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</si>
  <si>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</si>
  <si>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</si>
  <si>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</si>
  <si>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</si>
  <si>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</si>
  <si>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</si>
  <si>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</si>
  <si>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</si>
  <si>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</si>
  <si>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</si>
  <si>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</si>
  <si>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</si>
  <si>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</si>
  <si>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</si>
  <si>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</si>
  <si>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</si>
  <si>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</si>
  <si>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</si>
  <si>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</si>
  <si>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</si>
  <si>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</si>
  <si>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</si>
  <si>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</si>
  <si>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</si>
  <si>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</si>
  <si>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</si>
  <si>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</si>
  <si>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</si>
  <si>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</si>
  <si>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</si>
  <si>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</si>
  <si>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</si>
  <si>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</si>
  <si>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</si>
  <si>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</si>
  <si>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</si>
  <si>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</si>
  <si>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</si>
  <si>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</si>
  <si>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</si>
  <si>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</si>
  <si>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</si>
  <si>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</si>
  <si>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</si>
  <si>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</si>
  <si>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</si>
  <si>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</si>
  <si>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</si>
  <si>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</si>
  <si>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</si>
  <si>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</si>
  <si>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</si>
  <si>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</si>
  <si>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</si>
  <si>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</si>
  <si>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</si>
  <si>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</si>
  <si>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</si>
  <si>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</si>
  <si>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</si>
  <si>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</si>
  <si>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</si>
  <si>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</si>
  <si>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</si>
  <si>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</si>
  <si>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</si>
  <si>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</si>
  <si>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</si>
  <si>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</si>
  <si>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</si>
  <si>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</si>
  <si>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</si>
  <si>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</si>
  <si>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</si>
  <si>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</si>
  <si>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</si>
  <si>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</si>
  <si>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</si>
  <si>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</si>
  <si>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</si>
  <si>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</si>
  <si>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</si>
  <si>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</si>
  <si>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</si>
  <si>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</si>
  <si>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</si>
  <si>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</si>
  <si>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</si>
  <si>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</si>
  <si>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</si>
  <si>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</si>
  <si>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</si>
  <si>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</si>
  <si>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</si>
  <si>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</si>
  <si>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</si>
  <si>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</si>
  <si>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</si>
  <si>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</si>
  <si>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</si>
  <si>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</si>
  <si>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</si>
  <si>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</si>
  <si>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</si>
  <si>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</si>
  <si>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</si>
  <si>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</si>
  <si>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</si>
  <si>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</si>
  <si>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</si>
  <si>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</si>
  <si>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</si>
  <si>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</si>
  <si>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</si>
  <si>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</si>
  <si>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</si>
  <si>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</si>
  <si>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</si>
  <si>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</si>
  <si>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</si>
  <si>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</si>
  <si>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</si>
  <si>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</si>
  <si>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</si>
  <si>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</si>
  <si>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</si>
  <si>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</si>
  <si>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</si>
  <si>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</si>
  <si>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</si>
  <si>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</si>
  <si>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</si>
  <si>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</si>
  <si>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</si>
  <si>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</si>
  <si>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</si>
  <si>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</si>
  <si>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</si>
  <si>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</si>
  <si>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</si>
  <si>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</si>
  <si>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</si>
  <si>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</si>
  <si>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</si>
  <si>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</si>
  <si>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</si>
  <si>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</si>
  <si>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</si>
  <si>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</si>
  <si>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</si>
  <si>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</si>
  <si>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</si>
  <si>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</si>
  <si>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</si>
  <si>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</si>
  <si>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</si>
  <si>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</si>
  <si>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</si>
  <si>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</si>
  <si>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</si>
  <si>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</si>
  <si>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</si>
  <si>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</si>
  <si>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</si>
  <si>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</si>
  <si>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</si>
  <si>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</si>
  <si>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</si>
  <si>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</si>
  <si>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</si>
  <si>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</si>
  <si>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</si>
  <si>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</si>
  <si>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</si>
  <si>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</si>
  <si>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</si>
  <si>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</si>
  <si>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</si>
  <si>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</si>
  <si>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</si>
  <si>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</si>
  <si>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</si>
  <si>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</si>
  <si>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</si>
  <si>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</si>
  <si>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</si>
  <si>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</si>
  <si>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</si>
  <si>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</si>
  <si>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</si>
  <si>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</si>
  <si>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</si>
  <si>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</si>
  <si>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</si>
  <si>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</si>
  <si>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</si>
  <si>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</si>
  <si>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</si>
  <si>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</si>
  <si>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</si>
  <si>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</si>
  <si>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</si>
  <si>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</si>
  <si>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</si>
  <si>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</si>
  <si>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</si>
  <si>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</si>
  <si>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</si>
  <si>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</si>
  <si>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</si>
  <si>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</si>
  <si>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</si>
  <si>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</si>
  <si>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</si>
  <si>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</si>
  <si>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</si>
  <si>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</si>
  <si>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</si>
  <si>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</si>
  <si>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</si>
  <si>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</si>
  <si>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</si>
  <si>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</si>
  <si>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</si>
  <si>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</si>
  <si>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</si>
  <si>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</si>
  <si>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</si>
  <si>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</si>
  <si>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</si>
  <si>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</si>
  <si>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</si>
  <si>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</si>
  <si>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</si>
  <si>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</si>
  <si>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</si>
  <si>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</si>
  <si>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</si>
  <si>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</si>
  <si>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</si>
  <si>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</si>
  <si>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</si>
  <si>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</si>
  <si>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</si>
  <si>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</si>
  <si>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</si>
  <si>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</si>
  <si>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</si>
  <si>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</si>
  <si>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</si>
  <si>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</si>
  <si>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</si>
  <si>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</si>
  <si>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</si>
  <si>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</si>
  <si>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</si>
  <si>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</si>
  <si>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</si>
  <si>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</si>
  <si>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</si>
  <si>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</si>
  <si>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</si>
  <si>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</si>
  <si>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</si>
  <si>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</si>
  <si>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</si>
  <si>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</si>
  <si>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</si>
  <si>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</si>
  <si>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</si>
  <si>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</si>
  <si>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</si>
  <si>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</si>
  <si>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</si>
  <si>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</si>
  <si>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</si>
  <si>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</si>
  <si>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</si>
  <si>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</si>
  <si>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</si>
  <si>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</si>
  <si>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</si>
  <si>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</si>
  <si>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</si>
  <si>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</si>
  <si>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</si>
  <si>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</si>
  <si>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</si>
  <si>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</si>
  <si>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</si>
  <si>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</si>
  <si>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</si>
  <si>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</si>
  <si>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</si>
  <si>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</si>
  <si>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</si>
  <si>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</si>
  <si>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</si>
  <si>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</si>
  <si>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</si>
  <si>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</si>
  <si>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</si>
  <si>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</si>
  <si>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</si>
  <si>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</si>
  <si>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</si>
  <si>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</si>
  <si>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</si>
  <si>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</si>
  <si>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</si>
  <si>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</si>
  <si>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</si>
  <si>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</si>
  <si>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</si>
  <si>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</si>
  <si>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</si>
  <si>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</si>
  <si>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</si>
  <si>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</si>
  <si>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</si>
  <si>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</si>
  <si>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</si>
  <si>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</si>
  <si>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</si>
  <si>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</si>
  <si>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</si>
  <si>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</si>
  <si>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</si>
  <si>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</si>
  <si>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</si>
  <si>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</si>
  <si>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</si>
  <si>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</si>
  <si>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</si>
  <si>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</si>
  <si>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</si>
  <si>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</si>
  <si>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</si>
  <si>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</si>
  <si>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</si>
  <si>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</si>
  <si>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</si>
  <si>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</si>
  <si>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</si>
  <si>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</si>
  <si>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</si>
  <si>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</si>
  <si>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</si>
  <si>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</si>
  <si>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</si>
  <si>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</si>
  <si>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</si>
  <si>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</si>
  <si>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</si>
  <si>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</si>
  <si>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</si>
  <si>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</si>
  <si>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</si>
  <si>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</si>
  <si>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</si>
  <si>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</si>
  <si>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</si>
  <si>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</si>
  <si>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</si>
  <si>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</si>
  <si>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</si>
  <si>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</si>
  <si>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</si>
  <si>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</si>
  <si>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</si>
  <si>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</si>
  <si>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</si>
  <si>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</si>
  <si>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</si>
  <si>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</si>
  <si>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</si>
  <si>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</si>
  <si>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</si>
  <si>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</si>
  <si>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</si>
  <si>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</si>
  <si>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</si>
  <si>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</si>
  <si>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</si>
  <si>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</si>
  <si>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</si>
  <si>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</si>
  <si>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</si>
  <si>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</si>
  <si>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</si>
  <si>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</si>
  <si>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</si>
  <si>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</si>
  <si>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</si>
  <si>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</si>
  <si>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</si>
  <si>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</si>
  <si>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</si>
  <si>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</si>
  <si>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</si>
  <si>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</si>
  <si>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</si>
  <si>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</si>
  <si>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</si>
  <si>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</si>
  <si>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</si>
  <si>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</si>
  <si>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</si>
  <si>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</si>
  <si>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</si>
  <si>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</si>
  <si>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</si>
  <si>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</si>
  <si>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</si>
  <si>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</si>
  <si>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</si>
  <si>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</si>
  <si>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</si>
  <si>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</si>
  <si>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</si>
  <si>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</si>
  <si>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</si>
  <si>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</si>
  <si>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</si>
  <si>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</si>
  <si>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</si>
  <si>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</si>
  <si>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</si>
  <si>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</si>
  <si>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</si>
  <si>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</si>
  <si>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</si>
  <si>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</si>
  <si>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</si>
  <si>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</si>
  <si>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</si>
  <si>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</si>
  <si>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</si>
  <si>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</si>
  <si>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</si>
  <si>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</si>
  <si>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</si>
  <si>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</si>
  <si>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</si>
  <si>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</si>
  <si>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</si>
  <si>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</si>
  <si>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</si>
  <si>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</si>
  <si>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</si>
  <si>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</si>
  <si>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</si>
  <si>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</si>
  <si>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</si>
  <si>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</si>
  <si>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</si>
  <si>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</si>
  <si>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</si>
  <si>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</si>
  <si>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</si>
  <si>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</si>
  <si>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</si>
  <si>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</si>
  <si>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</si>
  <si>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</si>
  <si>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</si>
  <si>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</si>
  <si>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</si>
  <si>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</si>
  <si>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</si>
  <si>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</si>
  <si>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</si>
  <si>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</si>
  <si>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</si>
  <si>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</si>
  <si>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</si>
  <si>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</si>
  <si>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</si>
  <si>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</si>
  <si>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</si>
  <si>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</si>
  <si>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</si>
  <si>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</si>
  <si>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</si>
  <si>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</si>
  <si>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</si>
  <si>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</si>
  <si>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</si>
  <si>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</si>
  <si>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</si>
  <si>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</si>
  <si>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</si>
  <si>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</si>
  <si>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</si>
  <si>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</si>
  <si>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</si>
  <si>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</si>
  <si>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</si>
  <si>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</si>
  <si>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</si>
  <si>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</si>
  <si>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</si>
  <si>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</si>
  <si>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</si>
  <si>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</si>
  <si>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</si>
  <si>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</si>
  <si>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</si>
  <si>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</si>
  <si>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</si>
  <si>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</si>
  <si>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</si>
  <si>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</si>
  <si>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</si>
  <si>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</si>
  <si>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</si>
  <si>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</si>
  <si>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</si>
  <si>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</si>
  <si>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</si>
  <si>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</si>
  <si>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</si>
  <si>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</si>
  <si>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</si>
  <si>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</si>
  <si>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</si>
  <si>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</si>
  <si>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</si>
  <si>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</si>
  <si>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</si>
  <si>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</si>
  <si>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</si>
  <si>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</si>
  <si>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</si>
  <si>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</si>
  <si>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</si>
  <si>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</si>
  <si>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</si>
  <si>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</si>
  <si>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</si>
  <si>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</si>
  <si>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</si>
  <si>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</si>
  <si>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</si>
  <si>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</si>
  <si>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</si>
  <si>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</si>
  <si>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</si>
  <si>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</si>
  <si>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</si>
  <si>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</si>
  <si>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</si>
  <si>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</si>
  <si>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</si>
  <si>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</si>
  <si>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</si>
  <si>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</si>
  <si>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</si>
  <si>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</si>
  <si>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</si>
  <si>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</si>
  <si>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</si>
  <si>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</si>
  <si>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</si>
  <si>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</si>
  <si>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</si>
  <si>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</si>
  <si>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</si>
  <si>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</si>
  <si>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</si>
  <si>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</si>
  <si>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</si>
  <si>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</si>
  <si>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</si>
  <si>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</si>
  <si>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</si>
  <si>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</si>
  <si>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</si>
  <si>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</si>
  <si>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</si>
  <si>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</si>
  <si>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</si>
  <si>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</si>
  <si>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</si>
  <si>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</si>
  <si>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</si>
  <si>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</si>
  <si>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</si>
  <si>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</si>
  <si>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</si>
  <si>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</si>
  <si>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</si>
  <si>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</si>
  <si>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</si>
  <si>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</si>
  <si>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</si>
  <si>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</si>
  <si>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</si>
  <si>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</si>
  <si>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</si>
  <si>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</si>
  <si>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</si>
  <si>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</si>
  <si>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</si>
  <si>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</si>
  <si>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</si>
  <si>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</si>
  <si>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</si>
  <si>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</si>
  <si>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</si>
  <si>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</si>
  <si>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</si>
  <si>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</si>
  <si>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</si>
  <si>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</si>
  <si>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</si>
  <si>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</si>
  <si>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</si>
  <si>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</si>
  <si>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</si>
  <si>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</si>
  <si>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</si>
  <si>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</si>
  <si>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</si>
  <si>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</si>
  <si>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</si>
  <si>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</si>
  <si>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</si>
  <si>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</si>
  <si>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</si>
  <si>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</si>
  <si>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</si>
  <si>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</si>
  <si>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</si>
  <si>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</si>
  <si>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</si>
  <si>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</si>
  <si>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</si>
  <si>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</si>
  <si>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</si>
  <si>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</si>
  <si>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</si>
  <si>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</si>
  <si>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</si>
  <si>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</si>
  <si>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</si>
  <si>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</si>
  <si>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</si>
  <si>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</si>
  <si>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</si>
  <si>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</si>
  <si>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</si>
  <si>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</si>
  <si>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</si>
  <si>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</si>
  <si>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</si>
  <si>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</si>
  <si>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</si>
  <si>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</si>
  <si>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</si>
  <si>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</si>
  <si>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</si>
  <si>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</si>
  <si>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</si>
  <si>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</si>
  <si>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</si>
  <si>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</si>
  <si>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</si>
  <si>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</si>
  <si>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</si>
  <si>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</si>
  <si>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</si>
  <si>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</si>
  <si>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</si>
  <si>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</si>
  <si>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</si>
  <si>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</si>
  <si>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</si>
  <si>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</si>
  <si>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</si>
  <si>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</si>
  <si>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</si>
  <si>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</si>
  <si>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</si>
  <si>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</si>
  <si>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</si>
  <si>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</si>
  <si>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</si>
  <si>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</si>
  <si>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</si>
  <si>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</si>
  <si>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</si>
  <si>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</si>
  <si>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</si>
  <si>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</si>
  <si>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</si>
  <si>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</si>
  <si>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</si>
  <si>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</si>
  <si>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</si>
  <si>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</si>
  <si>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</si>
  <si>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</si>
  <si>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</si>
  <si>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</si>
  <si>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</si>
  <si>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</si>
  <si>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</si>
  <si>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</si>
  <si>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</si>
  <si>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</si>
  <si>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</si>
  <si>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</si>
  <si>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</si>
  <si>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</si>
  <si>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</si>
  <si>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</si>
  <si>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</si>
  <si>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</si>
  <si>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</si>
  <si>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</si>
  <si>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</si>
  <si>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</si>
  <si>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</si>
  <si>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</si>
  <si>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</si>
  <si>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</si>
  <si>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</si>
  <si>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</si>
  <si>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</si>
  <si>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</si>
  <si>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</si>
  <si>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</si>
  <si>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</si>
  <si>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</si>
  <si>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</si>
  <si>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</si>
  <si>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</si>
  <si>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</si>
  <si>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</si>
  <si>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</si>
  <si>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</si>
  <si>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</si>
  <si>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</si>
  <si>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</si>
  <si>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</si>
  <si>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</si>
  <si>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</si>
  <si>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</si>
  <si>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</si>
  <si>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</si>
  <si>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</si>
  <si>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</si>
  <si>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</si>
  <si>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</si>
  <si>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</si>
  <si>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</si>
  <si>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</si>
  <si>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</si>
  <si>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</si>
  <si>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</si>
  <si>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</si>
  <si>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</si>
  <si>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</si>
  <si>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</si>
  <si>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</si>
  <si>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</si>
  <si>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</si>
  <si>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</si>
  <si>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</si>
  <si>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</si>
  <si>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</si>
  <si>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</si>
  <si>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</si>
  <si>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</si>
  <si>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</si>
  <si>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</si>
  <si>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</si>
  <si>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</si>
  <si>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</si>
  <si>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</si>
  <si>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</si>
  <si>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</si>
  <si>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</si>
  <si>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</si>
  <si>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</si>
  <si>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</si>
  <si>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</si>
  <si>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</si>
  <si>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</si>
  <si>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</si>
  <si>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</si>
  <si>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</si>
  <si>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</si>
  <si>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</si>
  <si>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</si>
  <si>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</si>
  <si>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</si>
  <si>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</si>
  <si>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</si>
  <si>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</si>
  <si>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</si>
  <si>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</si>
  <si>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</si>
  <si>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</si>
  <si>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</si>
  <si>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</si>
  <si>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</si>
  <si>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</si>
  <si>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</si>
  <si>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</si>
  <si>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</si>
  <si>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</si>
  <si>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</si>
  <si>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</si>
  <si>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</si>
  <si>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</si>
  <si>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</si>
  <si>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</si>
  <si>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</si>
  <si>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</si>
  <si>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</si>
  <si>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</si>
  <si>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</si>
  <si>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</si>
  <si>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</si>
  <si>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</si>
  <si>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</si>
  <si>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</si>
  <si>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</si>
  <si>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</si>
  <si>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</si>
  <si>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</si>
  <si>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</si>
  <si>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</si>
  <si>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</si>
  <si>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</si>
  <si>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</si>
  <si>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</si>
  <si>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</si>
  <si>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</si>
  <si>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</si>
  <si>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</si>
  <si>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</si>
  <si>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</si>
  <si>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</si>
  <si>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</si>
  <si>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</si>
  <si>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</si>
  <si>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</si>
  <si>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</si>
  <si>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</si>
  <si>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</si>
  <si>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</si>
  <si>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</si>
  <si>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</si>
  <si>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</si>
  <si>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</si>
  <si>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</si>
  <si>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</si>
  <si>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</si>
  <si>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</si>
  <si>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</si>
  <si>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</si>
  <si>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</si>
  <si>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</si>
  <si>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</si>
  <si>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</si>
  <si>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</si>
  <si>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</si>
  <si>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</si>
  <si>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</si>
  <si>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</si>
  <si>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</si>
  <si>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</si>
  <si>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</si>
  <si>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</si>
  <si>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</si>
  <si>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</si>
  <si>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</si>
  <si>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</si>
  <si>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</si>
  <si>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</si>
  <si>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</si>
  <si>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</si>
  <si>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</si>
  <si>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</si>
  <si>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</si>
  <si>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</si>
  <si>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</si>
  <si>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</si>
  <si>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</si>
  <si>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</si>
  <si>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</si>
  <si>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</si>
  <si>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</si>
  <si>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</si>
  <si>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</si>
  <si>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</si>
  <si>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</si>
  <si>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</si>
  <si>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</si>
  <si>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</si>
  <si>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</si>
  <si>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</si>
  <si>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</si>
  <si>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</si>
  <si>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</si>
  <si>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</si>
  <si>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</si>
  <si>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</si>
  <si>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</si>
  <si>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</si>
  <si>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</si>
  <si>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</si>
  <si>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</si>
  <si>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</si>
  <si>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</si>
  <si>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</si>
  <si>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</si>
  <si>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</si>
  <si>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</si>
  <si>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</si>
  <si>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</si>
  <si>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</si>
  <si>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</si>
  <si>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</si>
  <si>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</si>
  <si>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</si>
  <si>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</si>
  <si>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</si>
  <si>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</si>
  <si>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</si>
  <si>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</si>
  <si>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</si>
  <si>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</si>
  <si>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</si>
  <si>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</si>
  <si>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</si>
  <si>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</si>
  <si>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</si>
  <si>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</si>
  <si>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</si>
  <si>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</si>
  <si>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</si>
  <si>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</si>
  <si>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</si>
  <si>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</si>
  <si>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</si>
  <si>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</si>
  <si>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</si>
  <si>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</si>
  <si>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</si>
  <si>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</si>
  <si>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</si>
  <si>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</si>
  <si>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</si>
  <si>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</si>
  <si>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</si>
  <si>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</si>
  <si>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</si>
  <si>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</si>
  <si>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</si>
  <si>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</si>
  <si>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</si>
  <si>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</si>
  <si>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</si>
  <si>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</si>
  <si>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</si>
  <si>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</si>
  <si>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</si>
  <si>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</si>
  <si>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</si>
  <si>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</si>
  <si>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</si>
  <si>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</si>
  <si>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</si>
  <si>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</si>
  <si>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</si>
  <si>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</si>
  <si>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</si>
  <si>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</si>
  <si>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</si>
  <si>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</si>
  <si>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</si>
  <si>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</si>
  <si>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</si>
  <si>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</si>
  <si>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</si>
  <si>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</si>
  <si>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</si>
  <si>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</si>
  <si>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</si>
  <si>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</si>
  <si>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</si>
  <si>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</si>
  <si>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</si>
  <si>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</si>
  <si>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</si>
  <si>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</si>
  <si>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</si>
  <si>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</si>
  <si>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</si>
  <si>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</si>
  <si>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</si>
  <si>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</si>
  <si>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</si>
  <si>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</si>
  <si>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</si>
  <si>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</si>
  <si>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</si>
  <si>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</si>
  <si>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</si>
  <si>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</si>
  <si>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</si>
  <si>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</si>
  <si>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</si>
  <si>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</si>
  <si>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</si>
  <si>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</si>
  <si>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</si>
  <si>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</si>
  <si>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</si>
  <si>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</si>
  <si>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</si>
  <si>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</si>
  <si>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</si>
  <si>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</si>
  <si>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</si>
  <si>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</si>
  <si>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</si>
  <si>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</si>
  <si>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</si>
  <si>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</si>
  <si>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</si>
  <si>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</si>
  <si>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</si>
  <si>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</si>
  <si>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</si>
  <si>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</si>
  <si>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</si>
  <si>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</si>
  <si>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</si>
  <si>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</si>
  <si>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</si>
  <si>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</si>
  <si>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</si>
  <si>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</si>
  <si>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</si>
  <si>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</si>
  <si>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</si>
  <si>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</si>
  <si>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</si>
  <si>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</si>
  <si>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</si>
  <si>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</si>
  <si>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</si>
  <si>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</si>
  <si>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</si>
  <si>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</si>
  <si>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</si>
  <si>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</si>
  <si>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</si>
  <si>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</si>
  <si>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</si>
  <si>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</si>
  <si>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</si>
  <si>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</si>
  <si>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</si>
  <si>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</si>
  <si>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</si>
  <si>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</si>
  <si>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</si>
  <si>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</si>
  <si>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</si>
  <si>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</si>
  <si>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</si>
  <si>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</si>
  <si>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</si>
  <si>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</si>
  <si>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</si>
  <si>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</si>
  <si>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</si>
  <si>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</si>
  <si>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</si>
  <si>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</si>
  <si>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</si>
  <si>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</si>
  <si>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</si>
  <si>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</si>
  <si>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</si>
  <si>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</si>
  <si>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</si>
  <si>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</si>
  <si>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</si>
  <si>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</si>
  <si>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</si>
  <si>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</si>
  <si>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</si>
  <si>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</si>
  <si>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</si>
  <si>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</si>
  <si>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</si>
  <si>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</si>
  <si>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</si>
  <si>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</si>
  <si>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</si>
  <si>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</si>
  <si>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</si>
  <si>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</si>
  <si>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</si>
  <si>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</si>
  <si>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</si>
  <si>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</si>
  <si>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</si>
  <si>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</si>
  <si>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</si>
  <si>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</si>
  <si>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</si>
  <si>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</si>
  <si>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</si>
  <si>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</si>
  <si>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</si>
  <si>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</si>
  <si>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</si>
  <si>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</si>
  <si>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</si>
  <si>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</si>
  <si>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</si>
  <si>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</si>
  <si>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</si>
  <si>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</si>
  <si>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</si>
  <si>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</si>
  <si>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</si>
  <si>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</si>
  <si>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</si>
  <si>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</si>
  <si>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</si>
  <si>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</si>
  <si>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</si>
  <si>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</si>
  <si>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</si>
  <si>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</si>
  <si>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</si>
  <si>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</si>
  <si>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</si>
  <si>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</si>
  <si>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</si>
  <si>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</si>
  <si>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</si>
  <si>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</si>
  <si>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</si>
  <si>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</si>
  <si>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</si>
  <si>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</si>
  <si>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</si>
  <si>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</si>
  <si>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</si>
  <si>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</si>
  <si>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</si>
  <si>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</si>
  <si>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</si>
  <si>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</si>
  <si>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</si>
  <si>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</si>
  <si>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</si>
  <si>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</si>
  <si>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</si>
  <si>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</si>
  <si>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</si>
  <si>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</si>
  <si>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</si>
  <si>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</si>
  <si>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</si>
  <si>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</si>
  <si>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</si>
  <si>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</si>
  <si>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</si>
  <si>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</si>
  <si>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</si>
  <si>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</si>
  <si>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</si>
  <si>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</si>
  <si>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</si>
  <si>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</si>
  <si>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</si>
  <si>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</si>
  <si>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</si>
  <si>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</si>
  <si>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</si>
  <si>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</si>
  <si>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</si>
  <si>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</si>
  <si>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</si>
  <si>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</si>
  <si>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</si>
  <si>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</si>
  <si>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</si>
  <si>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</si>
  <si>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</si>
  <si>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</si>
  <si>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</si>
  <si>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</si>
  <si>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</si>
  <si>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</si>
  <si>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</si>
  <si>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</si>
  <si>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</si>
  <si>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</si>
  <si>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</si>
  <si>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</si>
  <si>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</si>
  <si>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</si>
  <si>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</si>
  <si>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</si>
  <si>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</si>
  <si>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</si>
  <si>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</si>
  <si>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</si>
  <si>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</si>
  <si>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</si>
  <si>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</si>
  <si>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</si>
  <si>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</si>
  <si>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</si>
  <si>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</si>
  <si>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</si>
  <si>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</si>
  <si>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</si>
  <si>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</si>
  <si>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</si>
  <si>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</si>
  <si>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</si>
  <si>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</si>
  <si>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</si>
  <si>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</si>
  <si>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</si>
  <si>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</si>
  <si>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</si>
  <si>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</si>
  <si>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</si>
  <si>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</si>
  <si>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</si>
  <si>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</si>
  <si>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</si>
  <si>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</si>
  <si>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</si>
  <si>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</si>
  <si>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</si>
  <si>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</si>
  <si>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</si>
  <si>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</si>
  <si>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</si>
  <si>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</si>
  <si>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</si>
  <si>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</si>
  <si>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</si>
  <si>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</si>
  <si>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</si>
  <si>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</si>
  <si>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</si>
  <si>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</si>
  <si>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</si>
  <si>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</si>
  <si>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</si>
  <si>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</si>
  <si>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</si>
  <si>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</si>
  <si>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</si>
  <si>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</si>
  <si>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</si>
  <si>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</si>
  <si>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</si>
  <si>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</si>
  <si>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</si>
  <si>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</si>
  <si>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</si>
  <si>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</si>
  <si>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</si>
  <si>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</si>
  <si>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</si>
  <si>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</si>
  <si>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</si>
  <si>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</si>
  <si>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</si>
  <si>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</si>
  <si>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</si>
  <si>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</si>
  <si>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</si>
  <si>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</si>
  <si>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</si>
  <si>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</si>
  <si>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</si>
  <si>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</si>
  <si>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</si>
  <si>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</si>
  <si>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</si>
  <si>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</si>
  <si>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</si>
  <si>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</si>
  <si>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</si>
  <si>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</si>
  <si>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</si>
  <si>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</si>
  <si>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</si>
  <si>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</si>
  <si>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</si>
  <si>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</si>
  <si>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</si>
  <si>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</si>
  <si>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</si>
  <si>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</si>
  <si>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</si>
  <si>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</si>
  <si>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</si>
  <si>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</si>
  <si>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</si>
  <si>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</si>
  <si>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</si>
  <si>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</si>
  <si>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</si>
  <si>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</si>
  <si>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</si>
  <si>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</si>
  <si>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</si>
  <si>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</si>
  <si>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</si>
  <si>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</si>
  <si>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</si>
  <si>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</si>
  <si>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</si>
  <si>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</si>
  <si>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</si>
  <si>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</si>
  <si>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</si>
  <si>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</si>
  <si>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</si>
  <si>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</si>
  <si>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</si>
  <si>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</si>
  <si>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</si>
  <si>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</si>
  <si>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</si>
  <si>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</si>
  <si>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</si>
  <si>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</si>
  <si>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</si>
  <si>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</si>
  <si>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</si>
  <si>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</si>
  <si>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</si>
  <si>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</si>
  <si>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</si>
  <si>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</si>
  <si>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</si>
  <si>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</si>
  <si>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</si>
  <si>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</si>
  <si>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</si>
  <si>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</si>
  <si>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</si>
  <si>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</si>
  <si>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</si>
  <si>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</si>
  <si>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</si>
  <si>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</si>
  <si>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</si>
  <si>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</si>
  <si>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</si>
  <si>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</si>
  <si>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</si>
  <si>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</si>
  <si>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</si>
  <si>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</si>
  <si>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</si>
  <si>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</si>
  <si>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</si>
  <si>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</si>
  <si>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</si>
  <si>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</si>
  <si>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</si>
  <si>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</si>
  <si>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</si>
  <si>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</si>
  <si>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</si>
  <si>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</si>
  <si>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</si>
  <si>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</si>
  <si>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</si>
  <si>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</si>
  <si>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</si>
  <si>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</si>
  <si>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</si>
  <si>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</si>
  <si>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</si>
  <si>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</si>
  <si>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</si>
  <si>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</si>
  <si>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</si>
  <si>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</si>
  <si>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</si>
  <si>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</si>
  <si>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</si>
  <si>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</si>
  <si>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</si>
  <si>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</si>
  <si>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</si>
  <si>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</si>
  <si>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</si>
  <si>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</si>
  <si>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</si>
  <si>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</si>
  <si>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</si>
  <si>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</si>
  <si>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</si>
  <si>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</si>
  <si>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</si>
  <si>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</si>
  <si>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</si>
  <si>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</si>
  <si>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</si>
  <si>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</si>
  <si>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</si>
  <si>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</si>
  <si>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</si>
  <si>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</si>
  <si>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</si>
  <si>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</si>
  <si>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</si>
  <si>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</si>
  <si>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</si>
  <si>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</si>
  <si>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</si>
  <si>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</si>
  <si>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</si>
  <si>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</si>
  <si>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</si>
  <si>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</si>
  <si>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</si>
  <si>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</si>
  <si>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</si>
  <si>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</si>
  <si>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</si>
  <si>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</si>
  <si>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</si>
  <si>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</si>
  <si>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</si>
  <si>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</si>
  <si>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</si>
  <si>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</si>
  <si>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</si>
  <si>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</si>
  <si>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</si>
  <si>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</si>
  <si>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</si>
  <si>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</si>
  <si>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</si>
  <si>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</si>
  <si>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</si>
  <si>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</si>
  <si>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</si>
  <si>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</si>
  <si>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</si>
  <si>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</si>
  <si>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</si>
  <si>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</si>
  <si>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</si>
  <si>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</si>
  <si>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</si>
  <si>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</si>
  <si>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</si>
  <si>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</si>
  <si>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</si>
  <si>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</si>
  <si>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</si>
  <si>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</si>
  <si>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</si>
  <si>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</si>
  <si>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</si>
  <si>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</si>
  <si>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</si>
  <si>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</si>
  <si>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</si>
  <si>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</si>
  <si>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</si>
  <si>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</si>
  <si>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</si>
  <si>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</si>
  <si>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</si>
  <si>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</si>
  <si>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</si>
  <si>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</si>
  <si>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</si>
  <si>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</si>
  <si>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</si>
  <si>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</si>
  <si>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</si>
  <si>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</si>
  <si>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</si>
  <si>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</si>
  <si>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</si>
  <si>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</si>
  <si>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</si>
  <si>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</si>
  <si>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</si>
  <si>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</si>
  <si>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</si>
  <si>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</si>
  <si>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</si>
  <si>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</si>
  <si>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</si>
  <si>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</si>
  <si>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</si>
  <si>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</si>
  <si>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</si>
  <si>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</si>
  <si>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</si>
  <si>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</si>
  <si>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</si>
  <si>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</si>
  <si>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</si>
  <si>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</si>
  <si>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</si>
  <si>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</si>
  <si>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</si>
  <si>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</si>
  <si>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</si>
  <si>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</si>
  <si>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</si>
  <si>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</si>
  <si>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</si>
  <si>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</si>
  <si>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</si>
  <si>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</si>
  <si>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</si>
  <si>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</si>
  <si>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</si>
  <si>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</si>
  <si>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</si>
  <si>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</si>
  <si>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</si>
  <si>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</si>
  <si>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</si>
  <si>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</si>
  <si>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</si>
  <si>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</si>
  <si>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</si>
  <si>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</si>
  <si>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</si>
  <si>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</si>
  <si>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</si>
  <si>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</si>
  <si>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</si>
  <si>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</si>
  <si>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</si>
  <si>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</si>
  <si>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</si>
  <si>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</si>
  <si>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</si>
  <si>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</si>
  <si>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</si>
  <si>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</si>
  <si>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</si>
  <si>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</si>
  <si>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</si>
  <si>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</si>
  <si>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</si>
  <si>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</si>
  <si>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</si>
  <si>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</si>
  <si>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</si>
  <si>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</si>
  <si>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</si>
  <si>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</si>
  <si>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</si>
  <si>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</si>
  <si>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</si>
  <si>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</si>
  <si>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</si>
  <si>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</si>
  <si>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</si>
  <si>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</si>
  <si>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</si>
  <si>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</si>
  <si>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</si>
  <si>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</si>
  <si>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</si>
  <si>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</si>
  <si>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</si>
  <si>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</si>
  <si>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</si>
  <si>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</si>
  <si>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</si>
  <si>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</si>
  <si>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</si>
  <si>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</si>
  <si>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</si>
  <si>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</si>
  <si>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</si>
  <si>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</si>
  <si>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</si>
  <si>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</si>
  <si>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</si>
  <si>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</si>
  <si>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</si>
  <si>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</si>
  <si>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</si>
  <si>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</si>
  <si>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</si>
  <si>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</si>
  <si>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</si>
  <si>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</si>
  <si>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</si>
  <si>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</si>
  <si>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</si>
  <si>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</si>
  <si>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</si>
  <si>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</si>
  <si>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</si>
  <si>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</si>
  <si>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</si>
  <si>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</si>
  <si>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</si>
  <si>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</si>
  <si>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</si>
  <si>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</si>
  <si>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</si>
  <si>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</si>
  <si>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</si>
  <si>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</si>
  <si>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</si>
  <si>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</si>
  <si>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</si>
  <si>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</si>
  <si>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</si>
  <si>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</si>
  <si>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</si>
  <si>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</si>
  <si>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</si>
  <si>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</si>
  <si>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</si>
  <si>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</si>
  <si>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</si>
  <si>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</si>
  <si>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</si>
  <si>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</si>
  <si>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</si>
  <si>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</si>
  <si>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</si>
  <si>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</si>
  <si>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</si>
  <si>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</si>
  <si>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</si>
  <si>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</si>
  <si>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</si>
  <si>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</si>
  <si>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</si>
  <si>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</si>
  <si>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</si>
  <si>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</si>
  <si>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</si>
  <si>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</si>
  <si>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</si>
  <si>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</si>
  <si>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</si>
  <si>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</si>
  <si>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</si>
  <si>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</si>
  <si>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</si>
  <si>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</si>
  <si>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</si>
  <si>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</si>
  <si>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</si>
  <si>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</si>
  <si>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</si>
  <si>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</si>
  <si>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</si>
  <si>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</si>
  <si>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</si>
  <si>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</si>
  <si>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</si>
  <si>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</si>
  <si>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</si>
  <si>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</si>
  <si>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</si>
  <si>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</si>
  <si>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</si>
  <si>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</si>
  <si>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</si>
  <si>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</si>
  <si>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</si>
  <si>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</si>
  <si>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</si>
  <si>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</si>
  <si>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</si>
  <si>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</si>
  <si>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</si>
  <si>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</si>
  <si>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</si>
  <si>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</si>
  <si>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</si>
  <si>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</si>
  <si>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</si>
  <si>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</si>
  <si>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</si>
  <si>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</si>
  <si>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</si>
  <si>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</si>
  <si>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</si>
  <si>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</si>
  <si>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</si>
  <si>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</si>
  <si>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</si>
  <si>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</si>
  <si>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</si>
  <si>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</si>
  <si>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</si>
  <si>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</si>
  <si>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</si>
  <si>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</si>
  <si>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</si>
  <si>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</si>
  <si>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</si>
  <si>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</si>
  <si>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</si>
  <si>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</si>
  <si>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</si>
  <si>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</si>
  <si>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</si>
  <si>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</si>
  <si>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</si>
  <si>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</si>
  <si>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</si>
  <si>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</si>
  <si>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</si>
  <si>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</si>
  <si>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</si>
  <si>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</si>
  <si>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</si>
  <si>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</si>
  <si>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</si>
  <si>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</si>
  <si>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</si>
  <si>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</si>
  <si>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</si>
  <si>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</si>
  <si>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</si>
  <si>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</si>
  <si>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</si>
  <si>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</si>
  <si>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</si>
  <si>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</si>
  <si>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</si>
  <si>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</si>
  <si>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</si>
  <si>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</si>
  <si>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</si>
  <si>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</si>
  <si>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</si>
  <si>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</si>
  <si>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</si>
  <si>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</si>
  <si>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</si>
  <si>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</si>
  <si>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</si>
  <si>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</si>
  <si>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</si>
  <si>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</si>
  <si>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</si>
  <si>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</si>
  <si>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</si>
  <si>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</si>
  <si>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</si>
  <si>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</si>
  <si>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</si>
  <si>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</si>
  <si>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</si>
  <si>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</si>
  <si>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</si>
  <si>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</si>
  <si>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</si>
  <si>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</si>
  <si>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</si>
  <si>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</si>
  <si>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</si>
  <si>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</si>
  <si>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</si>
  <si>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</si>
  <si>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</si>
  <si>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</si>
  <si>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</si>
  <si>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</si>
  <si>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</si>
  <si>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</si>
  <si>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</si>
  <si>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</si>
  <si>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</si>
  <si>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</si>
  <si>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</si>
  <si>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</si>
  <si>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</si>
  <si>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</si>
  <si>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</si>
  <si>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</si>
  <si>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</si>
  <si>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</si>
  <si>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</si>
  <si>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</si>
  <si>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</si>
  <si>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</si>
  <si>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</si>
  <si>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</si>
  <si>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</si>
  <si>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</si>
  <si>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</si>
  <si>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</si>
  <si>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</si>
  <si>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</si>
  <si>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</si>
  <si>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</si>
  <si>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</si>
  <si>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</si>
  <si>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</si>
  <si>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</si>
  <si>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</si>
  <si>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</si>
  <si>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</si>
  <si>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</si>
  <si>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</si>
  <si>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</si>
  <si>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</si>
  <si>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</si>
  <si>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</si>
  <si>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</si>
  <si>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</si>
  <si>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</si>
  <si>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</si>
  <si>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</si>
  <si>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</si>
  <si>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</si>
  <si>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</si>
  <si>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</si>
  <si>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</si>
  <si>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</si>
  <si>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</si>
  <si>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</si>
  <si>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</si>
  <si>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</si>
  <si>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</si>
  <si>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</si>
  <si>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</si>
  <si>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</si>
  <si>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</si>
  <si>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</si>
  <si>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</si>
  <si>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</si>
  <si>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</si>
  <si>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</si>
  <si>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</si>
  <si>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</si>
  <si>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</si>
  <si>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</si>
  <si>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</si>
  <si>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</si>
  <si>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</si>
  <si>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</si>
  <si>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</si>
  <si>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</si>
  <si>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</si>
  <si>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</si>
  <si>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</si>
  <si>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</si>
  <si>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</si>
  <si>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</si>
  <si>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</si>
  <si>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</si>
  <si>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</si>
  <si>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</si>
  <si>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</si>
  <si>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</si>
  <si>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</si>
  <si>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</si>
  <si>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</si>
  <si>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</si>
  <si>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</si>
  <si>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</si>
  <si>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</si>
  <si>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</si>
  <si>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</si>
  <si>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</si>
  <si>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</si>
  <si>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</si>
  <si>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</si>
  <si>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</si>
  <si>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</si>
  <si>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</si>
  <si>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</si>
  <si>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</si>
  <si>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</si>
  <si>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</si>
  <si>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</si>
  <si>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</si>
  <si>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</si>
  <si>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</si>
  <si>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</si>
  <si>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</si>
  <si>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</si>
  <si>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</si>
  <si>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</si>
  <si>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</si>
  <si>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</si>
  <si>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</si>
  <si>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</si>
  <si>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</si>
  <si>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</si>
  <si>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</si>
  <si>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</si>
  <si>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</si>
  <si>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</si>
  <si>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</si>
  <si>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</si>
  <si>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</si>
  <si>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</si>
  <si>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</si>
  <si>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</si>
  <si>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</si>
  <si>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</si>
  <si>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</si>
  <si>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</si>
  <si>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</si>
  <si>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</si>
  <si>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</si>
  <si>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</si>
  <si>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</si>
  <si>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</si>
  <si>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</si>
  <si>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</si>
  <si>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</si>
  <si>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</si>
  <si>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</si>
  <si>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</si>
  <si>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</si>
  <si>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</si>
  <si>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</si>
  <si>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</si>
  <si>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</si>
  <si>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</si>
  <si>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</si>
  <si>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</si>
  <si>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</si>
  <si>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</si>
  <si>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</si>
  <si>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</si>
  <si>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</si>
  <si>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</si>
  <si>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</si>
  <si>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</si>
  <si>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</si>
  <si>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</si>
  <si>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</si>
  <si>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</si>
  <si>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</si>
  <si>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</si>
  <si>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</si>
  <si>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</si>
  <si>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</si>
  <si>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</si>
  <si>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</si>
  <si>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</si>
  <si>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</si>
  <si>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</si>
  <si>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</si>
  <si>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</si>
  <si>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</si>
  <si>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</si>
  <si>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</si>
  <si>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</si>
  <si>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</si>
  <si>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</si>
  <si>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</si>
  <si>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</si>
  <si>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</si>
  <si>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</si>
  <si>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</si>
  <si>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</si>
  <si>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</si>
  <si>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</si>
  <si>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</si>
  <si>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</si>
  <si>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</si>
  <si>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</si>
  <si>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</si>
  <si>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</si>
  <si>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</si>
  <si>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</si>
  <si>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</si>
  <si>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</si>
  <si>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</si>
  <si>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</si>
  <si>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</si>
  <si>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</si>
  <si>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</si>
  <si>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</si>
  <si>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</si>
  <si>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</si>
  <si>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</si>
  <si>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</si>
  <si>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</si>
  <si>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</si>
  <si>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</si>
  <si>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</si>
  <si>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</si>
  <si>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</si>
  <si>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</si>
  <si>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</si>
  <si>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</si>
  <si>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</si>
  <si>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</si>
  <si>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</si>
  <si>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</si>
  <si>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</si>
  <si>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</si>
  <si>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</si>
  <si>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</si>
  <si>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</si>
  <si>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</si>
  <si>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</si>
  <si>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</si>
  <si>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</si>
  <si>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</si>
  <si>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</si>
  <si>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</si>
  <si>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</si>
  <si>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</si>
  <si>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</si>
  <si>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</si>
  <si>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</si>
  <si>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</si>
  <si>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</si>
  <si>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</si>
  <si>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</si>
  <si>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</si>
  <si>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</si>
  <si>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</si>
  <si>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</si>
  <si>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</si>
  <si>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</si>
  <si>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</si>
  <si>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</si>
  <si>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</si>
  <si>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</si>
  <si>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</si>
  <si>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</si>
  <si>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</si>
  <si>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</si>
  <si>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</si>
  <si>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</si>
  <si>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</si>
  <si>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</si>
  <si>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</si>
  <si>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</si>
  <si>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</si>
  <si>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</si>
  <si>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</si>
  <si>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</si>
  <si>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</si>
  <si>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</si>
  <si>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</si>
  <si>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</si>
  <si>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</si>
  <si>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</si>
  <si>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</si>
  <si>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</si>
  <si>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</si>
  <si>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</si>
  <si>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</si>
  <si>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</si>
  <si>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</si>
  <si>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</si>
  <si>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</si>
  <si>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</si>
  <si>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</si>
  <si>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</si>
  <si>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</si>
  <si>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</si>
  <si>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</si>
  <si>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</si>
  <si>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</si>
  <si>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</si>
  <si>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</si>
  <si>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</si>
  <si>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</si>
  <si>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</si>
  <si>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</si>
  <si>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</si>
  <si>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</si>
  <si>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</si>
  <si>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</si>
  <si>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</si>
  <si>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</si>
  <si>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</si>
  <si>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</si>
  <si>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</si>
  <si>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</si>
  <si>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</si>
  <si>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</si>
  <si>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</si>
  <si>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</si>
  <si>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</si>
  <si>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</si>
  <si>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</si>
  <si>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</si>
  <si>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</si>
  <si>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</si>
  <si>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</si>
  <si>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</si>
  <si>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</si>
  <si>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</si>
  <si>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</si>
  <si>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</si>
  <si>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</si>
  <si>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</si>
  <si>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</si>
  <si>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</si>
  <si>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</si>
  <si>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</si>
  <si>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</si>
  <si>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</si>
  <si>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</si>
  <si>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</si>
  <si>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</si>
  <si>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</si>
  <si>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</si>
  <si>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</si>
  <si>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</si>
  <si>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</si>
  <si>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</si>
  <si>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</si>
  <si>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</si>
  <si>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</si>
  <si>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</si>
  <si>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</si>
  <si>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</si>
  <si>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</si>
  <si>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</si>
  <si>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</si>
  <si>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</si>
  <si>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</si>
  <si>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</si>
  <si>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</si>
  <si>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</si>
  <si>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</si>
  <si>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</si>
  <si>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</si>
  <si>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</si>
  <si>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</si>
  <si>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</si>
  <si>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</si>
  <si>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</si>
  <si>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</si>
  <si>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</si>
  <si>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</si>
  <si>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</si>
  <si>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</si>
  <si>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</si>
  <si>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</si>
  <si>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</si>
  <si>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</si>
  <si>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</si>
  <si>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</si>
  <si>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</si>
  <si>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</si>
  <si>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</si>
  <si>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</si>
  <si>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</si>
  <si>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</si>
  <si>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</si>
  <si>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</si>
  <si>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</si>
  <si>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</si>
  <si>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</si>
  <si>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</si>
  <si>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</si>
  <si>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</si>
  <si>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</si>
  <si>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</si>
  <si>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</si>
  <si>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</si>
  <si>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</si>
  <si>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</si>
  <si>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</si>
  <si>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</si>
  <si>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</si>
  <si>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</si>
  <si>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</si>
  <si>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</si>
  <si>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</si>
  <si>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</si>
  <si>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</si>
  <si>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</si>
  <si>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</si>
  <si>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</si>
  <si>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</si>
  <si>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</si>
  <si>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</si>
  <si>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</si>
  <si>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</si>
  <si>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</si>
  <si>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</si>
  <si>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</si>
  <si>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</si>
  <si>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</si>
  <si>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</si>
  <si>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</si>
  <si>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</si>
  <si>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</si>
  <si>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</si>
  <si>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</si>
  <si>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</si>
  <si>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</si>
  <si>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</si>
  <si>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</si>
  <si>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</si>
  <si>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</si>
  <si>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</si>
  <si>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</si>
  <si>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</si>
  <si>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</si>
  <si>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</si>
  <si>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</si>
  <si>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</si>
  <si>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</si>
  <si>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</si>
  <si>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</si>
  <si>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</si>
  <si>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</si>
  <si>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</si>
  <si>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</si>
  <si>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</si>
  <si>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</si>
  <si>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</si>
  <si>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</si>
  <si>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</si>
  <si>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</si>
  <si>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</si>
  <si>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</si>
  <si>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</si>
  <si>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</si>
  <si>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</si>
  <si>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</si>
  <si>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</si>
  <si>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</si>
  <si>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</si>
  <si>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</si>
  <si>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</si>
  <si>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</si>
  <si>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</si>
  <si>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</si>
  <si>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</si>
  <si>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</si>
  <si>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</si>
  <si>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</si>
  <si>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</si>
  <si>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</si>
  <si>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</si>
  <si>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</si>
  <si>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</si>
  <si>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</si>
  <si>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</si>
  <si>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</si>
  <si>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</si>
  <si>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</si>
  <si>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</si>
  <si>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</si>
  <si>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</si>
  <si>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</si>
  <si>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</si>
  <si>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</si>
  <si>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</si>
  <si>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</si>
  <si>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</si>
  <si>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</si>
  <si>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</si>
  <si>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</si>
  <si>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</si>
  <si>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</si>
  <si>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</si>
  <si>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</si>
  <si>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</si>
  <si>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</si>
  <si>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</si>
  <si>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</si>
  <si>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</si>
  <si>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</si>
  <si>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</si>
  <si>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</si>
  <si>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</si>
  <si>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</si>
  <si>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</si>
  <si>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</si>
  <si>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</si>
  <si>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</si>
  <si>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</si>
  <si>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</si>
  <si>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</si>
  <si>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</si>
  <si>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</si>
  <si>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</si>
  <si>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</si>
  <si>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</si>
  <si>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</si>
  <si>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</si>
  <si>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</si>
  <si>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</si>
  <si>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</si>
  <si>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</si>
  <si>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</si>
  <si>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</si>
  <si>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</si>
  <si>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</si>
  <si>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</si>
  <si>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</si>
  <si>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</si>
  <si>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</si>
  <si>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</si>
  <si>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</si>
  <si>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</si>
  <si>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</si>
  <si>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</si>
  <si>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</si>
  <si>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</si>
  <si>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</si>
  <si>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</si>
  <si>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</si>
  <si>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</si>
  <si>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</si>
  <si>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</si>
  <si>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</si>
  <si>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</si>
  <si>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</si>
  <si>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</si>
  <si>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</si>
  <si>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</si>
  <si>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</si>
  <si>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</si>
  <si>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</si>
  <si>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</si>
  <si>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</si>
  <si>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</si>
  <si>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</si>
  <si>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</si>
  <si>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</si>
  <si>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</si>
  <si>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</si>
  <si>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</si>
  <si>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</si>
  <si>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</si>
  <si>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</si>
  <si>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</si>
  <si>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</si>
  <si>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</si>
  <si>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</si>
  <si>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</si>
  <si>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</si>
  <si>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</si>
  <si>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</si>
  <si>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</si>
  <si>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</si>
  <si>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</si>
  <si>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</si>
  <si>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</si>
  <si>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</si>
  <si>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</si>
  <si>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</si>
  <si>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</si>
  <si>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</si>
  <si>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</si>
  <si>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</si>
  <si>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</si>
  <si>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</si>
  <si>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</si>
  <si>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</si>
  <si>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</si>
  <si>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</si>
  <si>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</si>
  <si>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</si>
  <si>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</si>
  <si>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</si>
  <si>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</si>
  <si>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</si>
  <si>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</si>
  <si>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</si>
  <si>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</si>
  <si>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</si>
  <si>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</si>
  <si>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</si>
  <si>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</si>
  <si>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</si>
  <si>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</si>
  <si>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</si>
  <si>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</si>
  <si>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</si>
  <si>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</si>
  <si>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</si>
  <si>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</si>
  <si>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</si>
  <si>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</si>
  <si>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</si>
  <si>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</si>
  <si>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</si>
  <si>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</si>
  <si>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</si>
  <si>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</si>
  <si>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</si>
  <si>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</si>
  <si>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</si>
  <si>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</si>
  <si>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</si>
  <si>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</si>
  <si>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</si>
  <si>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</si>
  <si>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</si>
  <si>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</si>
  <si>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</si>
  <si>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</si>
  <si>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</si>
  <si>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</si>
  <si>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</si>
  <si>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</si>
  <si>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</si>
  <si>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</si>
  <si>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</si>
  <si>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</si>
  <si>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</si>
  <si>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</si>
  <si>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</si>
  <si>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</si>
  <si>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</si>
  <si>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</si>
  <si>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</si>
  <si>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</si>
  <si>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</si>
  <si>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</si>
  <si>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</si>
  <si>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</si>
  <si>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</si>
  <si>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</si>
  <si>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</si>
  <si>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</si>
  <si>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</si>
  <si>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</si>
  <si>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</si>
  <si>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</si>
  <si>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</si>
  <si>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</si>
  <si>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</si>
  <si>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</si>
  <si>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</si>
  <si>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</si>
  <si>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</si>
  <si>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</si>
  <si>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</si>
  <si>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</si>
  <si>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</si>
  <si>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</si>
  <si>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</si>
  <si>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</si>
  <si>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</si>
  <si>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</si>
  <si>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</si>
  <si>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</si>
  <si>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</si>
  <si>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</si>
  <si>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</si>
  <si>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</si>
  <si>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</si>
  <si>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</si>
  <si>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</si>
  <si>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</si>
  <si>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</si>
  <si>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</si>
  <si>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</si>
  <si>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</si>
  <si>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</si>
  <si>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</si>
  <si>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</si>
  <si>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</si>
  <si>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</si>
  <si>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</si>
  <si>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</si>
  <si>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</si>
  <si>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</si>
  <si>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</si>
  <si>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</si>
  <si>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</si>
  <si>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</si>
  <si>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</si>
  <si>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</si>
  <si>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</si>
  <si>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</si>
  <si>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</si>
  <si>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</si>
  <si>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</si>
  <si>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</si>
  <si>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</si>
  <si>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</si>
  <si>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</si>
  <si>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</si>
  <si>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</si>
  <si>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</si>
  <si>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</si>
  <si>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</si>
  <si>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</si>
  <si>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</si>
  <si>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</si>
  <si>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</si>
  <si>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</si>
  <si>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</si>
  <si>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</si>
  <si>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</si>
  <si>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</si>
  <si>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</si>
  <si>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</si>
  <si>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</si>
  <si>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</si>
  <si>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</si>
  <si>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</si>
  <si>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</si>
  <si>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</si>
  <si>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</si>
  <si>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</si>
  <si>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</si>
  <si>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</si>
  <si>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</si>
  <si>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</si>
  <si>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</si>
  <si>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</si>
  <si>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</si>
  <si>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</si>
  <si>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</si>
  <si>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</si>
  <si>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</si>
  <si>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</si>
  <si>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</si>
  <si>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</si>
  <si>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</si>
  <si>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</si>
  <si>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</si>
  <si>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</si>
  <si>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</si>
  <si>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</si>
  <si>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</si>
  <si>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</si>
  <si>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</si>
  <si>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</si>
  <si>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</si>
  <si>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</si>
  <si>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</si>
  <si>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</si>
  <si>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</si>
  <si>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</si>
  <si>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</si>
  <si>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</si>
  <si>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</si>
  <si>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</si>
  <si>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</si>
  <si>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</si>
  <si>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</si>
  <si>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</si>
  <si>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</si>
  <si>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</si>
  <si>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</si>
  <si>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</si>
  <si>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</si>
  <si>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</si>
  <si>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</si>
  <si>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</si>
  <si>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</si>
  <si>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</si>
  <si>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</si>
  <si>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</si>
  <si>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</si>
  <si>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</si>
  <si>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</si>
  <si>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</si>
  <si>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</si>
  <si>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</si>
  <si>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</si>
  <si>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</si>
  <si>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</si>
  <si>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</si>
  <si>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</si>
  <si>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</si>
  <si>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</si>
  <si>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</si>
  <si>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</si>
  <si>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</si>
  <si>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</si>
  <si>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</si>
  <si>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</si>
  <si>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</si>
  <si>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</si>
  <si>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</si>
  <si>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</si>
  <si>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</si>
  <si>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</si>
  <si>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</si>
  <si>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</si>
  <si>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</si>
  <si>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</si>
  <si>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</si>
  <si>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</si>
  <si>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</si>
  <si>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</si>
  <si>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</si>
  <si>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</si>
  <si>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</si>
  <si>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</si>
  <si>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</si>
  <si>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</si>
  <si>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</si>
  <si>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</si>
  <si>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</si>
  <si>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</si>
  <si>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</si>
  <si>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</si>
  <si>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</si>
  <si>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</si>
  <si>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</si>
  <si>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</si>
  <si>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</si>
  <si>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</si>
  <si>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</si>
  <si>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</si>
  <si>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</si>
  <si>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</si>
  <si>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</si>
  <si>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</si>
  <si>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</si>
  <si>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</si>
  <si>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</si>
  <si>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</si>
  <si>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</si>
  <si>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</si>
  <si>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</si>
  <si>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</si>
  <si>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</si>
  <si>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</si>
  <si>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</si>
  <si>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</si>
  <si>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</si>
  <si>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</si>
  <si>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</si>
  <si>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</si>
  <si>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</si>
  <si>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</si>
  <si>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</si>
  <si>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</si>
  <si>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</si>
  <si>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</si>
  <si>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</si>
  <si>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</si>
  <si>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</si>
  <si>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</si>
  <si>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</si>
  <si>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</si>
  <si>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</si>
  <si>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</si>
  <si>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</si>
  <si>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</si>
  <si>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</si>
  <si>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</si>
  <si>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</si>
  <si>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</si>
  <si>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</si>
  <si>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</si>
  <si>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</si>
  <si>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</si>
  <si>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</si>
  <si>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</si>
  <si>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</si>
  <si>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</si>
  <si>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</si>
  <si>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</si>
  <si>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</si>
  <si>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</si>
  <si>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</si>
  <si>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</si>
  <si>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</si>
  <si>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</si>
  <si>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</si>
  <si>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</si>
  <si>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</si>
  <si>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</si>
  <si>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</si>
  <si>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</si>
  <si>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</si>
  <si>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</si>
  <si>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</si>
  <si>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</si>
  <si>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</si>
  <si>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</si>
  <si>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</si>
  <si>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</si>
  <si>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</si>
  <si>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</si>
  <si>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</si>
  <si>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</si>
  <si>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</si>
  <si>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</si>
  <si>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</si>
  <si>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</si>
  <si>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</si>
  <si>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</si>
  <si>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</si>
  <si>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</si>
  <si>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</si>
  <si>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</si>
  <si>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</si>
  <si>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</si>
  <si>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</si>
  <si>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</si>
  <si>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</si>
  <si>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</si>
  <si>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</si>
  <si>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</si>
  <si>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</si>
  <si>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</si>
  <si>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</si>
  <si>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</si>
  <si>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</si>
  <si>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</si>
  <si>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</si>
  <si>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</si>
  <si>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</si>
  <si>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</si>
  <si>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</si>
  <si>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</si>
  <si>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</si>
  <si>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</si>
  <si>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</si>
  <si>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</si>
  <si>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</si>
  <si>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</si>
  <si>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</si>
  <si>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</si>
  <si>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</si>
  <si>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</si>
  <si>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</si>
  <si>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</si>
  <si>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</si>
  <si>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</si>
  <si>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</si>
  <si>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</si>
  <si>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</si>
  <si>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</si>
  <si>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</si>
  <si>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</si>
  <si>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</si>
  <si>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</si>
  <si>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</si>
  <si>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</si>
  <si>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</si>
  <si>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</si>
  <si>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</si>
  <si>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</si>
  <si>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</si>
  <si>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</si>
  <si>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</si>
  <si>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</si>
  <si>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</si>
  <si>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</si>
  <si>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</si>
  <si>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</si>
  <si>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</si>
  <si>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</si>
  <si>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</si>
  <si>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</si>
  <si>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</si>
  <si>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</si>
  <si>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</si>
  <si>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</si>
  <si>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</si>
  <si>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</si>
  <si>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</si>
  <si>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</si>
  <si>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</si>
  <si>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</si>
  <si>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</si>
  <si>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</si>
  <si>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</si>
  <si>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</si>
  <si>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</si>
  <si>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</si>
  <si>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</si>
  <si>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</si>
  <si>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</si>
  <si>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</si>
  <si>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</si>
  <si>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</si>
  <si>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</si>
  <si>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</si>
  <si>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</si>
  <si>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</si>
  <si>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</si>
  <si>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</si>
  <si>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</si>
  <si>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</si>
  <si>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</si>
  <si>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</si>
  <si>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</si>
  <si>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</si>
  <si>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</si>
  <si>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</si>
  <si>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</si>
  <si>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</si>
  <si>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</si>
  <si>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</si>
  <si>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</si>
  <si>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</si>
  <si>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</si>
  <si>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</si>
  <si>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</si>
  <si>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</si>
  <si>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</si>
  <si>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</si>
  <si>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</si>
  <si>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</si>
  <si>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</si>
  <si>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</si>
  <si>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</si>
  <si>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</si>
  <si>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</si>
  <si>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</si>
  <si>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</si>
  <si>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</si>
  <si>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</si>
  <si>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</si>
  <si>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</si>
  <si>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</si>
  <si>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</si>
  <si>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</si>
  <si>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</si>
  <si>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</si>
  <si>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</si>
  <si>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</si>
  <si>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</si>
  <si>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</si>
  <si>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</si>
  <si>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</si>
  <si>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</si>
  <si>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</si>
  <si>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</si>
  <si>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</si>
  <si>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</si>
  <si>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</si>
  <si>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</si>
  <si>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</si>
  <si>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</si>
  <si>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</si>
  <si>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</si>
  <si>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</si>
  <si>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</si>
  <si>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</si>
  <si>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</si>
  <si>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</si>
  <si>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</si>
  <si>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</si>
  <si>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</si>
  <si>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</si>
  <si>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</si>
  <si>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</si>
  <si>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</si>
  <si>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</si>
  <si>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</si>
  <si>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</si>
  <si>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</si>
  <si>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</si>
  <si>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</si>
  <si>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</si>
  <si>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</si>
  <si>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</si>
  <si>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</si>
  <si>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</si>
  <si>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</si>
  <si>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</si>
  <si>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</si>
  <si>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</si>
  <si>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</si>
  <si>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</si>
  <si>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</si>
  <si>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</si>
  <si>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</si>
  <si>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</si>
  <si>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</si>
  <si>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</si>
  <si>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</si>
  <si>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</si>
  <si>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</si>
  <si>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</si>
  <si>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</si>
  <si>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</si>
  <si>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</si>
  <si>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</si>
  <si>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</si>
  <si>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</si>
  <si>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</si>
  <si>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</si>
  <si>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</si>
  <si>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</si>
  <si>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</si>
  <si>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</si>
  <si>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</si>
  <si>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</si>
  <si>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</si>
  <si>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</si>
  <si>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</si>
  <si>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</si>
  <si>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</si>
  <si>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</si>
  <si>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</si>
  <si>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</si>
  <si>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</si>
  <si>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</si>
  <si>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</si>
  <si>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</si>
  <si>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</si>
  <si>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</si>
  <si>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</si>
  <si>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运潮馨苑位于通州区西集镇仪府路12号院，项目包括小套型建筑面积约48.98㎡；中套型建筑面积约52.08㎡。租金标准为16元/建筑平方米·月。</t>
    <phoneticPr fontId="134" type="noConversion"/>
  </si>
  <si>
    <t>首开缇香郡公租房项目位于通州区于家务乡首开缇香郡2号楼。项目小套型建筑面积约43.76-43.94㎡，大套型建筑面积60.7㎡。租金标准为16元/建筑平方米·月。</t>
    <phoneticPr fontId="134" type="noConversion"/>
  </si>
  <si>
    <t>正常</t>
  </si>
  <si>
    <t>商业</t>
    <phoneticPr fontId="30" type="noConversion"/>
  </si>
  <si>
    <t>一般</t>
  </si>
  <si>
    <t>较差</t>
  </si>
  <si>
    <t>含管理费</t>
    <phoneticPr fontId="134" type="noConversion"/>
  </si>
  <si>
    <t>地下车位</t>
  </si>
  <si>
    <t>地下车位</t>
    <phoneticPr fontId="31" type="noConversion"/>
  </si>
  <si>
    <t>较好</t>
  </si>
  <si>
    <t>售价</t>
  </si>
  <si>
    <t>通瑞嘉苑</t>
    <phoneticPr fontId="134" type="noConversion"/>
  </si>
  <si>
    <t>扣除管理费</t>
    <phoneticPr fontId="134" type="noConversion"/>
  </si>
  <si>
    <t>东亚尚品台湖</t>
    <phoneticPr fontId="134" type="noConversion"/>
  </si>
  <si>
    <t>金隅自由筑</t>
    <phoneticPr fontId="134" type="noConversion"/>
  </si>
  <si>
    <t>高速路</t>
    <phoneticPr fontId="30" type="noConversion"/>
  </si>
  <si>
    <t>主干道</t>
    <phoneticPr fontId="30" type="noConversion"/>
  </si>
  <si>
    <t>次干道</t>
  </si>
  <si>
    <t>次干道</t>
    <phoneticPr fontId="30" type="noConversion"/>
  </si>
  <si>
    <t>较大</t>
  </si>
  <si>
    <t>较大</t>
    <phoneticPr fontId="30" type="noConversion"/>
  </si>
  <si>
    <t>一般</t>
    <phoneticPr fontId="30" type="noConversion"/>
  </si>
  <si>
    <t>张家湾镇商铺</t>
    <phoneticPr fontId="134" type="noConversion"/>
  </si>
  <si>
    <t>张家湾环湖小镇</t>
    <phoneticPr fontId="134" type="noConversion"/>
  </si>
  <si>
    <r>
      <t>1</t>
    </r>
    <r>
      <rPr>
        <sz val="11"/>
        <color theme="1"/>
        <rFont val="宋体"/>
        <family val="3"/>
        <charset val="134"/>
        <scheme val="minor"/>
      </rPr>
      <t>-2层</t>
    </r>
    <phoneticPr fontId="134" type="noConversion"/>
  </si>
  <si>
    <t>祥和乐园</t>
    <phoneticPr fontId="134" type="noConversion"/>
  </si>
  <si>
    <t>大玉园</t>
    <phoneticPr fontId="134" type="noConversion"/>
  </si>
  <si>
    <t>1-2层</t>
    <phoneticPr fontId="134" type="noConversion"/>
  </si>
  <si>
    <t>1层</t>
    <phoneticPr fontId="134" type="noConversion"/>
  </si>
  <si>
    <t>漷县商铺</t>
    <phoneticPr fontId="134" type="noConversion"/>
  </si>
  <si>
    <t>漷县金三角商贸</t>
    <phoneticPr fontId="134" type="noConversion"/>
  </si>
  <si>
    <t>于家务商铺</t>
    <phoneticPr fontId="134" type="noConversion"/>
  </si>
  <si>
    <t>亦庄建设者之家</t>
    <phoneticPr fontId="134" type="noConversion"/>
  </si>
  <si>
    <t>南</t>
    <phoneticPr fontId="134" type="noConversion"/>
  </si>
  <si>
    <t>城市之光东望</t>
    <phoneticPr fontId="134" type="noConversion"/>
  </si>
  <si>
    <t>南北</t>
    <phoneticPr fontId="134" type="noConversion"/>
  </si>
  <si>
    <t>福运佳园</t>
    <phoneticPr fontId="134" type="noConversion"/>
  </si>
  <si>
    <t>芳草园小区</t>
    <phoneticPr fontId="134" type="noConversion"/>
  </si>
  <si>
    <t>月亮湾晓镇</t>
    <phoneticPr fontId="134" type="noConversion"/>
  </si>
  <si>
    <t>欢乐嘉苑</t>
    <phoneticPr fontId="134" type="noConversion"/>
  </si>
  <si>
    <t>环湖小镇</t>
    <phoneticPr fontId="134" type="noConversion"/>
  </si>
  <si>
    <t>韶华颂</t>
    <phoneticPr fontId="134" type="noConversion"/>
  </si>
  <si>
    <t>光谷公寓</t>
    <phoneticPr fontId="134" type="noConversion"/>
  </si>
  <si>
    <t>永康公寓</t>
    <phoneticPr fontId="134" type="noConversion"/>
  </si>
  <si>
    <t>兴达公寓</t>
    <phoneticPr fontId="134" type="noConversion"/>
  </si>
  <si>
    <t>亦园青年创业园</t>
    <phoneticPr fontId="134" type="noConversion"/>
  </si>
  <si>
    <t>专业</t>
    <phoneticPr fontId="24" type="noConversion"/>
  </si>
  <si>
    <t>普通</t>
  </si>
  <si>
    <t>普通</t>
    <phoneticPr fontId="24" type="noConversion"/>
  </si>
  <si>
    <t>运潮馨苑</t>
    <phoneticPr fontId="134" type="noConversion"/>
  </si>
  <si>
    <t>成套住宅</t>
  </si>
  <si>
    <t>成套住宅</t>
    <phoneticPr fontId="24" type="noConversion"/>
  </si>
  <si>
    <t>公寓</t>
  </si>
  <si>
    <t>公寓</t>
    <phoneticPr fontId="24" type="noConversion"/>
  </si>
  <si>
    <t>挂牌</t>
  </si>
  <si>
    <t>挂牌</t>
    <phoneticPr fontId="30" type="noConversion"/>
  </si>
  <si>
    <t>无</t>
    <phoneticPr fontId="24" type="noConversion"/>
  </si>
  <si>
    <t>齐全</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</si>
</sst>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96" fillId="0" borderId="0" xfId="0" applyFont="1">
      <alignment vertical="center"/>
    </xf>
    <xf numFmtId="0" fontId="128" fillId="0" borderId="44" xfId="0" applyFont="1" applyBorder="1" applyAlignment="1" applyProtection="1">
      <alignment horizontal="center" vertical="center" wrapText="1"/>
      <protection locked="0"/>
    </xf>
    <xf numFmtId="0" fontId="95" fillId="5" borderId="0" xfId="0" applyFont="1" applyFill="1">
      <alignment vertical="center"/>
    </xf>
    <xf numFmtId="0" fontId="0" fillId="5" borderId="0" xfId="0" applyFill="1">
      <alignment vertical="center"/>
    </xf>
    <xf numFmtId="0" fontId="0" fillId="0" borderId="0" xfId="0" applyAlignment="1">
      <alignment horizontal="center" vertical="center"/>
    </xf>
    <xf numFmtId="0" fontId="95" fillId="5" borderId="0" xfId="0" applyFont="1" applyFill="1" applyAlignment="1">
      <alignment horizontal="center" vertical="center"/>
    </xf>
    <xf numFmtId="0" fontId="0" fillId="5" borderId="0" xfId="0" applyFill="1" applyAlignment="1">
      <alignment horizontal="center" vertical="center"/>
    </xf>
    <xf numFmtId="0" fontId="269" fillId="0" borderId="0" xfId="0" applyFont="1" applyAlignment="1">
      <alignment horizontal="center" vertical="center"/>
    </xf>
    <xf numFmtId="0" fontId="95" fillId="22" borderId="0" xfId="0" applyFont="1" applyFill="1" applyAlignment="1">
      <alignment horizontal="center" vertical="center"/>
    </xf>
    <xf numFmtId="0" fontId="0" fillId="22" borderId="0" xfId="0" applyFill="1" applyAlignment="1">
      <alignment horizontal="center" vertical="center"/>
    </xf>
    <xf numFmtId="49" fontId="94" fillId="2" borderId="7"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495300</xdr:colOff>
      <xdr:row>2</xdr:row>
      <xdr:rowOff>161925</xdr:rowOff>
    </xdr:from>
    <xdr:to>
      <xdr:col>45</xdr:col>
      <xdr:colOff>150814</xdr:colOff>
      <xdr:row>35</xdr:row>
      <xdr:rowOff>85027</xdr:rowOff>
    </xdr:to>
    <xdr:pic>
      <xdr:nvPicPr>
        <xdr:cNvPr id="2" name="图片 1">
          <a:extLst>
            <a:ext uri="{FF2B5EF4-FFF2-40B4-BE49-F238E27FC236}">
              <a16:creationId xmlns:a16="http://schemas.microsoft.com/office/drawing/2014/main" id="{E6D461AD-9BBC-E82C-6DD9-626612AEED49}"/>
            </a:ext>
          </a:extLst>
        </xdr:cNvPr>
        <xdr:cNvPicPr>
          <a:picLocks noChangeAspect="1"/>
        </xdr:cNvPicPr>
      </xdr:nvPicPr>
      <xdr:blipFill>
        <a:blip xmlns:r="http://schemas.openxmlformats.org/officeDocument/2006/relationships" r:embed="rId1"/>
        <a:stretch>
          <a:fillRect/>
        </a:stretch>
      </xdr:blipFill>
      <xdr:spPr>
        <a:xfrm>
          <a:off x="18326100" y="504825"/>
          <a:ext cx="12685714" cy="5580952"/>
        </a:xfrm>
        <a:prstGeom prst="rect">
          <a:avLst/>
        </a:prstGeom>
      </xdr:spPr>
    </xdr:pic>
    <xdr:clientData/>
  </xdr:twoCellAnchor>
  <xdr:twoCellAnchor editAs="oneCell">
    <xdr:from>
      <xdr:col>10</xdr:col>
      <xdr:colOff>542925</xdr:colOff>
      <xdr:row>0</xdr:row>
      <xdr:rowOff>0</xdr:rowOff>
    </xdr:from>
    <xdr:to>
      <xdr:col>31</xdr:col>
      <xdr:colOff>7792</xdr:colOff>
      <xdr:row>35</xdr:row>
      <xdr:rowOff>170679</xdr:rowOff>
    </xdr:to>
    <xdr:pic>
      <xdr:nvPicPr>
        <xdr:cNvPr id="3" name="图片 2">
          <a:extLst>
            <a:ext uri="{FF2B5EF4-FFF2-40B4-BE49-F238E27FC236}">
              <a16:creationId xmlns:a16="http://schemas.microsoft.com/office/drawing/2014/main" id="{4AECDA5F-F37F-07AF-EC54-1B518C55A5FE}"/>
            </a:ext>
          </a:extLst>
        </xdr:cNvPr>
        <xdr:cNvPicPr>
          <a:picLocks noChangeAspect="1"/>
        </xdr:cNvPicPr>
      </xdr:nvPicPr>
      <xdr:blipFill>
        <a:blip xmlns:r="http://schemas.openxmlformats.org/officeDocument/2006/relationships" r:embed="rId2"/>
        <a:stretch>
          <a:fillRect/>
        </a:stretch>
      </xdr:blipFill>
      <xdr:spPr>
        <a:xfrm>
          <a:off x="7400925" y="0"/>
          <a:ext cx="13866667" cy="6171429"/>
        </a:xfrm>
        <a:prstGeom prst="rect">
          <a:avLst/>
        </a:prstGeom>
      </xdr:spPr>
    </xdr:pic>
    <xdr:clientData/>
  </xdr:twoCellAnchor>
  <xdr:twoCellAnchor editAs="oneCell">
    <xdr:from>
      <xdr:col>9</xdr:col>
      <xdr:colOff>257175</xdr:colOff>
      <xdr:row>22</xdr:row>
      <xdr:rowOff>95250</xdr:rowOff>
    </xdr:from>
    <xdr:to>
      <xdr:col>26</xdr:col>
      <xdr:colOff>665242</xdr:colOff>
      <xdr:row>65</xdr:row>
      <xdr:rowOff>132424</xdr:rowOff>
    </xdr:to>
    <xdr:pic>
      <xdr:nvPicPr>
        <xdr:cNvPr id="4" name="图片 3">
          <a:extLst>
            <a:ext uri="{FF2B5EF4-FFF2-40B4-BE49-F238E27FC236}">
              <a16:creationId xmlns:a16="http://schemas.microsoft.com/office/drawing/2014/main" id="{468018EE-26E7-4F4D-8CBE-97B15740A9EC}"/>
            </a:ext>
          </a:extLst>
        </xdr:cNvPr>
        <xdr:cNvPicPr>
          <a:picLocks noChangeAspect="1"/>
        </xdr:cNvPicPr>
      </xdr:nvPicPr>
      <xdr:blipFill>
        <a:blip xmlns:r="http://schemas.openxmlformats.org/officeDocument/2006/relationships" r:embed="rId3"/>
        <a:stretch>
          <a:fillRect/>
        </a:stretch>
      </xdr:blipFill>
      <xdr:spPr>
        <a:xfrm>
          <a:off x="6429375" y="3867150"/>
          <a:ext cx="12066667" cy="7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13</xdr:col>
      <xdr:colOff>103648</xdr:colOff>
      <xdr:row>29</xdr:row>
      <xdr:rowOff>47426</xdr:rowOff>
    </xdr:to>
    <xdr:pic>
      <xdr:nvPicPr>
        <xdr:cNvPr id="2" name="图片 1">
          <a:extLst>
            <a:ext uri="{FF2B5EF4-FFF2-40B4-BE49-F238E27FC236}">
              <a16:creationId xmlns:a16="http://schemas.microsoft.com/office/drawing/2014/main" id="{4DDE5191-F0EE-4C0C-B426-D9CEEF2DBC68}"/>
            </a:ext>
          </a:extLst>
        </xdr:cNvPr>
        <xdr:cNvPicPr>
          <a:picLocks noChangeAspect="1"/>
        </xdr:cNvPicPr>
      </xdr:nvPicPr>
      <xdr:blipFill>
        <a:blip xmlns:r="http://schemas.openxmlformats.org/officeDocument/2006/relationships" r:embed="rId1"/>
        <a:stretch>
          <a:fillRect/>
        </a:stretch>
      </xdr:blipFill>
      <xdr:spPr>
        <a:xfrm>
          <a:off x="0" y="0"/>
          <a:ext cx="9019048" cy="1590476"/>
        </a:xfrm>
        <a:prstGeom prst="rect">
          <a:avLst/>
        </a:prstGeom>
      </xdr:spPr>
    </xdr:pic>
    <xdr:clientData/>
  </xdr:twoCellAnchor>
  <xdr:twoCellAnchor editAs="oneCell">
    <xdr:from>
      <xdr:col>0</xdr:col>
      <xdr:colOff>0</xdr:colOff>
      <xdr:row>27</xdr:row>
      <xdr:rowOff>161925</xdr:rowOff>
    </xdr:from>
    <xdr:to>
      <xdr:col>12</xdr:col>
      <xdr:colOff>475162</xdr:colOff>
      <xdr:row>34</xdr:row>
      <xdr:rowOff>171299</xdr:rowOff>
    </xdr:to>
    <xdr:pic>
      <xdr:nvPicPr>
        <xdr:cNvPr id="3" name="图片 2">
          <a:extLst>
            <a:ext uri="{FF2B5EF4-FFF2-40B4-BE49-F238E27FC236}">
              <a16:creationId xmlns:a16="http://schemas.microsoft.com/office/drawing/2014/main" id="{BB688D0F-81FA-4785-99D2-63008B793BA6}"/>
            </a:ext>
          </a:extLst>
        </xdr:cNvPr>
        <xdr:cNvPicPr>
          <a:picLocks noChangeAspect="1"/>
        </xdr:cNvPicPr>
      </xdr:nvPicPr>
      <xdr:blipFill>
        <a:blip xmlns:r="http://schemas.openxmlformats.org/officeDocument/2006/relationships" r:embed="rId2"/>
        <a:stretch>
          <a:fillRect/>
        </a:stretch>
      </xdr:blipFill>
      <xdr:spPr>
        <a:xfrm>
          <a:off x="0" y="1362075"/>
          <a:ext cx="8704762" cy="1209524"/>
        </a:xfrm>
        <a:prstGeom prst="rect">
          <a:avLst/>
        </a:prstGeom>
      </xdr:spPr>
    </xdr:pic>
    <xdr:clientData/>
  </xdr:twoCellAnchor>
  <xdr:twoCellAnchor editAs="oneCell">
    <xdr:from>
      <xdr:col>0</xdr:col>
      <xdr:colOff>0</xdr:colOff>
      <xdr:row>34</xdr:row>
      <xdr:rowOff>95250</xdr:rowOff>
    </xdr:from>
    <xdr:to>
      <xdr:col>12</xdr:col>
      <xdr:colOff>465638</xdr:colOff>
      <xdr:row>50</xdr:row>
      <xdr:rowOff>18717</xdr:rowOff>
    </xdr:to>
    <xdr:pic>
      <xdr:nvPicPr>
        <xdr:cNvPr id="4" name="图片 3">
          <a:extLst>
            <a:ext uri="{FF2B5EF4-FFF2-40B4-BE49-F238E27FC236}">
              <a16:creationId xmlns:a16="http://schemas.microsoft.com/office/drawing/2014/main" id="{6DE92EF9-41B4-4389-A492-B4DBD219A30D}"/>
            </a:ext>
          </a:extLst>
        </xdr:cNvPr>
        <xdr:cNvPicPr>
          <a:picLocks noChangeAspect="1"/>
        </xdr:cNvPicPr>
      </xdr:nvPicPr>
      <xdr:blipFill>
        <a:blip xmlns:r="http://schemas.openxmlformats.org/officeDocument/2006/relationships" r:embed="rId3"/>
        <a:stretch>
          <a:fillRect/>
        </a:stretch>
      </xdr:blipFill>
      <xdr:spPr>
        <a:xfrm>
          <a:off x="0" y="2495550"/>
          <a:ext cx="8695238" cy="2666667"/>
        </a:xfrm>
        <a:prstGeom prst="rect">
          <a:avLst/>
        </a:prstGeom>
      </xdr:spPr>
    </xdr:pic>
    <xdr:clientData/>
  </xdr:twoCellAnchor>
  <xdr:twoCellAnchor editAs="oneCell">
    <xdr:from>
      <xdr:col>0</xdr:col>
      <xdr:colOff>0</xdr:colOff>
      <xdr:row>49</xdr:row>
      <xdr:rowOff>152400</xdr:rowOff>
    </xdr:from>
    <xdr:to>
      <xdr:col>12</xdr:col>
      <xdr:colOff>560876</xdr:colOff>
      <xdr:row>73</xdr:row>
      <xdr:rowOff>161409</xdr:rowOff>
    </xdr:to>
    <xdr:pic>
      <xdr:nvPicPr>
        <xdr:cNvPr id="5" name="图片 4">
          <a:extLst>
            <a:ext uri="{FF2B5EF4-FFF2-40B4-BE49-F238E27FC236}">
              <a16:creationId xmlns:a16="http://schemas.microsoft.com/office/drawing/2014/main" id="{BF0731DB-93D5-43A8-B444-923A3022777B}"/>
            </a:ext>
          </a:extLst>
        </xdr:cNvPr>
        <xdr:cNvPicPr>
          <a:picLocks noChangeAspect="1"/>
        </xdr:cNvPicPr>
      </xdr:nvPicPr>
      <xdr:blipFill>
        <a:blip xmlns:r="http://schemas.openxmlformats.org/officeDocument/2006/relationships" r:embed="rId4"/>
        <a:stretch>
          <a:fillRect/>
        </a:stretch>
      </xdr:blipFill>
      <xdr:spPr>
        <a:xfrm>
          <a:off x="0" y="5124450"/>
          <a:ext cx="8790476" cy="4123809"/>
        </a:xfrm>
        <a:prstGeom prst="rect">
          <a:avLst/>
        </a:prstGeom>
      </xdr:spPr>
    </xdr:pic>
    <xdr:clientData/>
  </xdr:twoCellAnchor>
  <xdr:twoCellAnchor editAs="oneCell">
    <xdr:from>
      <xdr:col>0</xdr:col>
      <xdr:colOff>0</xdr:colOff>
      <xdr:row>73</xdr:row>
      <xdr:rowOff>171449</xdr:rowOff>
    </xdr:from>
    <xdr:to>
      <xdr:col>12</xdr:col>
      <xdr:colOff>664727</xdr:colOff>
      <xdr:row>99</xdr:row>
      <xdr:rowOff>66100</xdr:rowOff>
    </xdr:to>
    <xdr:pic>
      <xdr:nvPicPr>
        <xdr:cNvPr id="6" name="图片 5">
          <a:extLst>
            <a:ext uri="{FF2B5EF4-FFF2-40B4-BE49-F238E27FC236}">
              <a16:creationId xmlns:a16="http://schemas.microsoft.com/office/drawing/2014/main" id="{83BE36E7-A2F7-4A6E-A089-55B3F6ABADC2}"/>
            </a:ext>
          </a:extLst>
        </xdr:cNvPr>
        <xdr:cNvPicPr>
          <a:picLocks noChangeAspect="1"/>
        </xdr:cNvPicPr>
      </xdr:nvPicPr>
      <xdr:blipFill>
        <a:blip xmlns:r="http://schemas.openxmlformats.org/officeDocument/2006/relationships" r:embed="rId5"/>
        <a:stretch>
          <a:fillRect/>
        </a:stretch>
      </xdr:blipFill>
      <xdr:spPr>
        <a:xfrm>
          <a:off x="0" y="9258299"/>
          <a:ext cx="8894327" cy="4352351"/>
        </a:xfrm>
        <a:prstGeom prst="rect">
          <a:avLst/>
        </a:prstGeom>
      </xdr:spPr>
    </xdr:pic>
    <xdr:clientData/>
  </xdr:twoCellAnchor>
  <xdr:twoCellAnchor editAs="oneCell">
    <xdr:from>
      <xdr:col>12</xdr:col>
      <xdr:colOff>495300</xdr:colOff>
      <xdr:row>25</xdr:row>
      <xdr:rowOff>161925</xdr:rowOff>
    </xdr:from>
    <xdr:to>
      <xdr:col>26</xdr:col>
      <xdr:colOff>589338</xdr:colOff>
      <xdr:row>43</xdr:row>
      <xdr:rowOff>94873</xdr:rowOff>
    </xdr:to>
    <xdr:pic>
      <xdr:nvPicPr>
        <xdr:cNvPr id="7" name="图片 6">
          <a:extLst>
            <a:ext uri="{FF2B5EF4-FFF2-40B4-BE49-F238E27FC236}">
              <a16:creationId xmlns:a16="http://schemas.microsoft.com/office/drawing/2014/main" id="{F90877CF-6E08-4084-B13C-39DCC7C25870}"/>
            </a:ext>
          </a:extLst>
        </xdr:cNvPr>
        <xdr:cNvPicPr>
          <a:picLocks noChangeAspect="1"/>
        </xdr:cNvPicPr>
      </xdr:nvPicPr>
      <xdr:blipFill>
        <a:blip xmlns:r="http://schemas.openxmlformats.org/officeDocument/2006/relationships" r:embed="rId6"/>
        <a:stretch>
          <a:fillRect/>
        </a:stretch>
      </xdr:blipFill>
      <xdr:spPr>
        <a:xfrm>
          <a:off x="8724900" y="1019175"/>
          <a:ext cx="9695238" cy="3019048"/>
        </a:xfrm>
        <a:prstGeom prst="rect">
          <a:avLst/>
        </a:prstGeom>
      </xdr:spPr>
    </xdr:pic>
    <xdr:clientData/>
  </xdr:twoCellAnchor>
  <xdr:twoCellAnchor editAs="oneCell">
    <xdr:from>
      <xdr:col>12</xdr:col>
      <xdr:colOff>657225</xdr:colOff>
      <xdr:row>43</xdr:row>
      <xdr:rowOff>47625</xdr:rowOff>
    </xdr:from>
    <xdr:to>
      <xdr:col>26</xdr:col>
      <xdr:colOff>484596</xdr:colOff>
      <xdr:row>52</xdr:row>
      <xdr:rowOff>9337</xdr:rowOff>
    </xdr:to>
    <xdr:pic>
      <xdr:nvPicPr>
        <xdr:cNvPr id="8" name="图片 7">
          <a:extLst>
            <a:ext uri="{FF2B5EF4-FFF2-40B4-BE49-F238E27FC236}">
              <a16:creationId xmlns:a16="http://schemas.microsoft.com/office/drawing/2014/main" id="{0800A4D6-D7CB-14D3-217E-16468FD5E4A4}"/>
            </a:ext>
          </a:extLst>
        </xdr:cNvPr>
        <xdr:cNvPicPr>
          <a:picLocks noChangeAspect="1"/>
        </xdr:cNvPicPr>
      </xdr:nvPicPr>
      <xdr:blipFill>
        <a:blip xmlns:r="http://schemas.openxmlformats.org/officeDocument/2006/relationships" r:embed="rId7"/>
        <a:stretch>
          <a:fillRect/>
        </a:stretch>
      </xdr:blipFill>
      <xdr:spPr>
        <a:xfrm>
          <a:off x="8886825" y="3990975"/>
          <a:ext cx="9428571" cy="1504762"/>
        </a:xfrm>
        <a:prstGeom prst="rect">
          <a:avLst/>
        </a:prstGeom>
      </xdr:spPr>
    </xdr:pic>
    <xdr:clientData/>
  </xdr:twoCellAnchor>
  <xdr:twoCellAnchor editAs="oneCell">
    <xdr:from>
      <xdr:col>12</xdr:col>
      <xdr:colOff>476250</xdr:colOff>
      <xdr:row>60</xdr:row>
      <xdr:rowOff>57150</xdr:rowOff>
    </xdr:from>
    <xdr:to>
      <xdr:col>26</xdr:col>
      <xdr:colOff>532193</xdr:colOff>
      <xdr:row>69</xdr:row>
      <xdr:rowOff>47433</xdr:rowOff>
    </xdr:to>
    <xdr:pic>
      <xdr:nvPicPr>
        <xdr:cNvPr id="9" name="图片 8">
          <a:extLst>
            <a:ext uri="{FF2B5EF4-FFF2-40B4-BE49-F238E27FC236}">
              <a16:creationId xmlns:a16="http://schemas.microsoft.com/office/drawing/2014/main" id="{F86D18AF-5567-27DA-94BA-E676FCC82173}"/>
            </a:ext>
          </a:extLst>
        </xdr:cNvPr>
        <xdr:cNvPicPr>
          <a:picLocks noChangeAspect="1"/>
        </xdr:cNvPicPr>
      </xdr:nvPicPr>
      <xdr:blipFill>
        <a:blip xmlns:r="http://schemas.openxmlformats.org/officeDocument/2006/relationships" r:embed="rId8"/>
        <a:stretch>
          <a:fillRect/>
        </a:stretch>
      </xdr:blipFill>
      <xdr:spPr>
        <a:xfrm>
          <a:off x="8705850" y="6915150"/>
          <a:ext cx="9657143" cy="1533333"/>
        </a:xfrm>
        <a:prstGeom prst="rect">
          <a:avLst/>
        </a:prstGeom>
      </xdr:spPr>
    </xdr:pic>
    <xdr:clientData/>
  </xdr:twoCellAnchor>
  <xdr:twoCellAnchor editAs="oneCell">
    <xdr:from>
      <xdr:col>12</xdr:col>
      <xdr:colOff>628651</xdr:colOff>
      <xdr:row>51</xdr:row>
      <xdr:rowOff>38099</xdr:rowOff>
    </xdr:from>
    <xdr:to>
      <xdr:col>26</xdr:col>
      <xdr:colOff>390097</xdr:colOff>
      <xdr:row>59</xdr:row>
      <xdr:rowOff>133160</xdr:rowOff>
    </xdr:to>
    <xdr:pic>
      <xdr:nvPicPr>
        <xdr:cNvPr id="10" name="图片 9">
          <a:extLst>
            <a:ext uri="{FF2B5EF4-FFF2-40B4-BE49-F238E27FC236}">
              <a16:creationId xmlns:a16="http://schemas.microsoft.com/office/drawing/2014/main" id="{DE1631C8-845B-C004-D548-2FE298650C37}"/>
            </a:ext>
          </a:extLst>
        </xdr:cNvPr>
        <xdr:cNvPicPr>
          <a:picLocks noChangeAspect="1"/>
        </xdr:cNvPicPr>
      </xdr:nvPicPr>
      <xdr:blipFill>
        <a:blip xmlns:r="http://schemas.openxmlformats.org/officeDocument/2006/relationships" r:embed="rId9"/>
        <a:stretch>
          <a:fillRect/>
        </a:stretch>
      </xdr:blipFill>
      <xdr:spPr>
        <a:xfrm>
          <a:off x="8858251" y="5353049"/>
          <a:ext cx="9362646" cy="1466661"/>
        </a:xfrm>
        <a:prstGeom prst="rect">
          <a:avLst/>
        </a:prstGeom>
      </xdr:spPr>
    </xdr:pic>
    <xdr:clientData/>
  </xdr:twoCellAnchor>
  <xdr:twoCellAnchor editAs="oneCell">
    <xdr:from>
      <xdr:col>8</xdr:col>
      <xdr:colOff>619125</xdr:colOff>
      <xdr:row>66</xdr:row>
      <xdr:rowOff>47625</xdr:rowOff>
    </xdr:from>
    <xdr:to>
      <xdr:col>18</xdr:col>
      <xdr:colOff>513506</xdr:colOff>
      <xdr:row>90</xdr:row>
      <xdr:rowOff>28063</xdr:rowOff>
    </xdr:to>
    <xdr:pic>
      <xdr:nvPicPr>
        <xdr:cNvPr id="11" name="图片 10">
          <a:extLst>
            <a:ext uri="{FF2B5EF4-FFF2-40B4-BE49-F238E27FC236}">
              <a16:creationId xmlns:a16="http://schemas.microsoft.com/office/drawing/2014/main" id="{D471BA73-0B0D-54F5-8B1A-CCA079175FC7}"/>
            </a:ext>
          </a:extLst>
        </xdr:cNvPr>
        <xdr:cNvPicPr>
          <a:picLocks noChangeAspect="1"/>
        </xdr:cNvPicPr>
      </xdr:nvPicPr>
      <xdr:blipFill>
        <a:blip xmlns:r="http://schemas.openxmlformats.org/officeDocument/2006/relationships" r:embed="rId10"/>
        <a:stretch>
          <a:fillRect/>
        </a:stretch>
      </xdr:blipFill>
      <xdr:spPr>
        <a:xfrm>
          <a:off x="6105525" y="11363325"/>
          <a:ext cx="6752381" cy="4095238"/>
        </a:xfrm>
        <a:prstGeom prst="rect">
          <a:avLst/>
        </a:prstGeom>
      </xdr:spPr>
    </xdr:pic>
    <xdr:clientData/>
  </xdr:twoCellAnchor>
  <xdr:twoCellAnchor editAs="oneCell">
    <xdr:from>
      <xdr:col>0</xdr:col>
      <xdr:colOff>0</xdr:colOff>
      <xdr:row>0</xdr:row>
      <xdr:rowOff>0</xdr:rowOff>
    </xdr:from>
    <xdr:to>
      <xdr:col>12</xdr:col>
      <xdr:colOff>152400</xdr:colOff>
      <xdr:row>20</xdr:row>
      <xdr:rowOff>21960</xdr:rowOff>
    </xdr:to>
    <xdr:pic>
      <xdr:nvPicPr>
        <xdr:cNvPr id="12" name="图片 11">
          <a:extLst>
            <a:ext uri="{FF2B5EF4-FFF2-40B4-BE49-F238E27FC236}">
              <a16:creationId xmlns:a16="http://schemas.microsoft.com/office/drawing/2014/main" id="{2B86B44E-9E94-34AF-54E5-0F71B5AA0C25}"/>
            </a:ext>
          </a:extLst>
        </xdr:cNvPr>
        <xdr:cNvPicPr>
          <a:picLocks noChangeAspect="1"/>
        </xdr:cNvPicPr>
      </xdr:nvPicPr>
      <xdr:blipFill>
        <a:blip xmlns:r="http://schemas.openxmlformats.org/officeDocument/2006/relationships" r:embed="rId11"/>
        <a:stretch>
          <a:fillRect/>
        </a:stretch>
      </xdr:blipFill>
      <xdr:spPr>
        <a:xfrm>
          <a:off x="0" y="0"/>
          <a:ext cx="8382000" cy="3450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65552</xdr:colOff>
      <xdr:row>25</xdr:row>
      <xdr:rowOff>161369</xdr:rowOff>
    </xdr:to>
    <xdr:pic>
      <xdr:nvPicPr>
        <xdr:cNvPr id="2" name="图片 1">
          <a:extLst>
            <a:ext uri="{FF2B5EF4-FFF2-40B4-BE49-F238E27FC236}">
              <a16:creationId xmlns:a16="http://schemas.microsoft.com/office/drawing/2014/main" id="{BFD80E9D-DD3B-4611-8E43-EBF1F84F9DF9}"/>
            </a:ext>
          </a:extLst>
        </xdr:cNvPr>
        <xdr:cNvPicPr>
          <a:picLocks noChangeAspect="1"/>
        </xdr:cNvPicPr>
      </xdr:nvPicPr>
      <xdr:blipFill>
        <a:blip xmlns:r="http://schemas.openxmlformats.org/officeDocument/2006/relationships" r:embed="rId1"/>
        <a:stretch>
          <a:fillRect/>
        </a:stretch>
      </xdr:blipFill>
      <xdr:spPr>
        <a:xfrm>
          <a:off x="0" y="0"/>
          <a:ext cx="8980952" cy="4447619"/>
        </a:xfrm>
        <a:prstGeom prst="rect">
          <a:avLst/>
        </a:prstGeom>
      </xdr:spPr>
    </xdr:pic>
    <xdr:clientData/>
  </xdr:twoCellAnchor>
  <xdr:twoCellAnchor editAs="oneCell">
    <xdr:from>
      <xdr:col>0</xdr:col>
      <xdr:colOff>0</xdr:colOff>
      <xdr:row>26</xdr:row>
      <xdr:rowOff>85725</xdr:rowOff>
    </xdr:from>
    <xdr:to>
      <xdr:col>12</xdr:col>
      <xdr:colOff>465638</xdr:colOff>
      <xdr:row>42</xdr:row>
      <xdr:rowOff>152049</xdr:rowOff>
    </xdr:to>
    <xdr:pic>
      <xdr:nvPicPr>
        <xdr:cNvPr id="3" name="图片 2">
          <a:extLst>
            <a:ext uri="{FF2B5EF4-FFF2-40B4-BE49-F238E27FC236}">
              <a16:creationId xmlns:a16="http://schemas.microsoft.com/office/drawing/2014/main" id="{95218AC5-DE17-4E80-A7F3-AE2E0720EF2C}"/>
            </a:ext>
          </a:extLst>
        </xdr:cNvPr>
        <xdr:cNvPicPr>
          <a:picLocks noChangeAspect="1"/>
        </xdr:cNvPicPr>
      </xdr:nvPicPr>
      <xdr:blipFill>
        <a:blip xmlns:r="http://schemas.openxmlformats.org/officeDocument/2006/relationships" r:embed="rId2"/>
        <a:stretch>
          <a:fillRect/>
        </a:stretch>
      </xdr:blipFill>
      <xdr:spPr>
        <a:xfrm>
          <a:off x="0" y="4543425"/>
          <a:ext cx="8695238" cy="2809524"/>
        </a:xfrm>
        <a:prstGeom prst="rect">
          <a:avLst/>
        </a:prstGeom>
      </xdr:spPr>
    </xdr:pic>
    <xdr:clientData/>
  </xdr:twoCellAnchor>
  <xdr:twoCellAnchor editAs="oneCell">
    <xdr:from>
      <xdr:col>0</xdr:col>
      <xdr:colOff>0</xdr:colOff>
      <xdr:row>17</xdr:row>
      <xdr:rowOff>156319</xdr:rowOff>
    </xdr:from>
    <xdr:to>
      <xdr:col>12</xdr:col>
      <xdr:colOff>514350</xdr:colOff>
      <xdr:row>24</xdr:row>
      <xdr:rowOff>168035</xdr:rowOff>
    </xdr:to>
    <xdr:pic>
      <xdr:nvPicPr>
        <xdr:cNvPr id="7" name="图片 6">
          <a:extLst>
            <a:ext uri="{FF2B5EF4-FFF2-40B4-BE49-F238E27FC236}">
              <a16:creationId xmlns:a16="http://schemas.microsoft.com/office/drawing/2014/main" id="{CD438C3A-33E2-FD9D-4481-1FE21A6CABDB}"/>
            </a:ext>
          </a:extLst>
        </xdr:cNvPr>
        <xdr:cNvPicPr>
          <a:picLocks noChangeAspect="1"/>
        </xdr:cNvPicPr>
      </xdr:nvPicPr>
      <xdr:blipFill>
        <a:blip xmlns:r="http://schemas.openxmlformats.org/officeDocument/2006/relationships" r:embed="rId3"/>
        <a:stretch>
          <a:fillRect/>
        </a:stretch>
      </xdr:blipFill>
      <xdr:spPr>
        <a:xfrm>
          <a:off x="0" y="3070969"/>
          <a:ext cx="8743950" cy="1211866"/>
        </a:xfrm>
        <a:prstGeom prst="rect">
          <a:avLst/>
        </a:prstGeom>
      </xdr:spPr>
    </xdr:pic>
    <xdr:clientData/>
  </xdr:twoCellAnchor>
  <xdr:twoCellAnchor editAs="oneCell">
    <xdr:from>
      <xdr:col>0</xdr:col>
      <xdr:colOff>600076</xdr:colOff>
      <xdr:row>47</xdr:row>
      <xdr:rowOff>64658</xdr:rowOff>
    </xdr:from>
    <xdr:to>
      <xdr:col>12</xdr:col>
      <xdr:colOff>47625</xdr:colOff>
      <xdr:row>80</xdr:row>
      <xdr:rowOff>91321</xdr:rowOff>
    </xdr:to>
    <xdr:pic>
      <xdr:nvPicPr>
        <xdr:cNvPr id="12" name="图片 11">
          <a:extLst>
            <a:ext uri="{FF2B5EF4-FFF2-40B4-BE49-F238E27FC236}">
              <a16:creationId xmlns:a16="http://schemas.microsoft.com/office/drawing/2014/main" id="{2A23682D-9110-D44F-6610-CA11925CF7B0}"/>
            </a:ext>
          </a:extLst>
        </xdr:cNvPr>
        <xdr:cNvPicPr>
          <a:picLocks noChangeAspect="1"/>
        </xdr:cNvPicPr>
      </xdr:nvPicPr>
      <xdr:blipFill>
        <a:blip xmlns:r="http://schemas.openxmlformats.org/officeDocument/2006/relationships" r:embed="rId4"/>
        <a:stretch>
          <a:fillRect/>
        </a:stretch>
      </xdr:blipFill>
      <xdr:spPr>
        <a:xfrm>
          <a:off x="600076" y="8122808"/>
          <a:ext cx="7677149" cy="5684513"/>
        </a:xfrm>
        <a:prstGeom prst="rect">
          <a:avLst/>
        </a:prstGeom>
      </xdr:spPr>
    </xdr:pic>
    <xdr:clientData/>
  </xdr:twoCellAnchor>
  <xdr:twoCellAnchor editAs="oneCell">
    <xdr:from>
      <xdr:col>0</xdr:col>
      <xdr:colOff>504825</xdr:colOff>
      <xdr:row>78</xdr:row>
      <xdr:rowOff>161925</xdr:rowOff>
    </xdr:from>
    <xdr:to>
      <xdr:col>12</xdr:col>
      <xdr:colOff>4024</xdr:colOff>
      <xdr:row>111</xdr:row>
      <xdr:rowOff>84633</xdr:rowOff>
    </xdr:to>
    <xdr:pic>
      <xdr:nvPicPr>
        <xdr:cNvPr id="13" name="图片 12">
          <a:extLst>
            <a:ext uri="{FF2B5EF4-FFF2-40B4-BE49-F238E27FC236}">
              <a16:creationId xmlns:a16="http://schemas.microsoft.com/office/drawing/2014/main" id="{7349A8B8-BBD5-83DB-900A-DA45390D3627}"/>
            </a:ext>
          </a:extLst>
        </xdr:cNvPr>
        <xdr:cNvPicPr>
          <a:picLocks noChangeAspect="1"/>
        </xdr:cNvPicPr>
      </xdr:nvPicPr>
      <xdr:blipFill>
        <a:blip xmlns:r="http://schemas.openxmlformats.org/officeDocument/2006/relationships" r:embed="rId5"/>
        <a:stretch>
          <a:fillRect/>
        </a:stretch>
      </xdr:blipFill>
      <xdr:spPr>
        <a:xfrm>
          <a:off x="504825" y="13535025"/>
          <a:ext cx="7728799" cy="5580558"/>
        </a:xfrm>
        <a:prstGeom prst="rect">
          <a:avLst/>
        </a:prstGeom>
      </xdr:spPr>
    </xdr:pic>
    <xdr:clientData/>
  </xdr:twoCellAnchor>
  <xdr:twoCellAnchor editAs="oneCell">
    <xdr:from>
      <xdr:col>0</xdr:col>
      <xdr:colOff>210877</xdr:colOff>
      <xdr:row>109</xdr:row>
      <xdr:rowOff>28574</xdr:rowOff>
    </xdr:from>
    <xdr:to>
      <xdr:col>13</xdr:col>
      <xdr:colOff>208037</xdr:colOff>
      <xdr:row>150</xdr:row>
      <xdr:rowOff>46427</xdr:rowOff>
    </xdr:to>
    <xdr:pic>
      <xdr:nvPicPr>
        <xdr:cNvPr id="14" name="图片 13">
          <a:extLst>
            <a:ext uri="{FF2B5EF4-FFF2-40B4-BE49-F238E27FC236}">
              <a16:creationId xmlns:a16="http://schemas.microsoft.com/office/drawing/2014/main" id="{CABC6BC0-85C3-9D16-F7E4-5DEC85A2E9A9}"/>
            </a:ext>
          </a:extLst>
        </xdr:cNvPr>
        <xdr:cNvPicPr>
          <a:picLocks noChangeAspect="1"/>
        </xdr:cNvPicPr>
      </xdr:nvPicPr>
      <xdr:blipFill>
        <a:blip xmlns:r="http://schemas.openxmlformats.org/officeDocument/2006/relationships" r:embed="rId6"/>
        <a:stretch>
          <a:fillRect/>
        </a:stretch>
      </xdr:blipFill>
      <xdr:spPr>
        <a:xfrm>
          <a:off x="210877" y="18716624"/>
          <a:ext cx="8912560" cy="7047303"/>
        </a:xfrm>
        <a:prstGeom prst="rect">
          <a:avLst/>
        </a:prstGeom>
      </xdr:spPr>
    </xdr:pic>
    <xdr:clientData/>
  </xdr:twoCellAnchor>
  <xdr:twoCellAnchor editAs="oneCell">
    <xdr:from>
      <xdr:col>0</xdr:col>
      <xdr:colOff>581025</xdr:colOff>
      <xdr:row>146</xdr:row>
      <xdr:rowOff>66675</xdr:rowOff>
    </xdr:from>
    <xdr:to>
      <xdr:col>12</xdr:col>
      <xdr:colOff>362926</xdr:colOff>
      <xdr:row>183</xdr:row>
      <xdr:rowOff>122705</xdr:rowOff>
    </xdr:to>
    <xdr:pic>
      <xdr:nvPicPr>
        <xdr:cNvPr id="15" name="图片 14">
          <a:extLst>
            <a:ext uri="{FF2B5EF4-FFF2-40B4-BE49-F238E27FC236}">
              <a16:creationId xmlns:a16="http://schemas.microsoft.com/office/drawing/2014/main" id="{81595A47-D79A-D3D5-40AC-C4DA1F222507}"/>
            </a:ext>
          </a:extLst>
        </xdr:cNvPr>
        <xdr:cNvPicPr>
          <a:picLocks noChangeAspect="1"/>
        </xdr:cNvPicPr>
      </xdr:nvPicPr>
      <xdr:blipFill>
        <a:blip xmlns:r="http://schemas.openxmlformats.org/officeDocument/2006/relationships" r:embed="rId7"/>
        <a:stretch>
          <a:fillRect/>
        </a:stretch>
      </xdr:blipFill>
      <xdr:spPr>
        <a:xfrm>
          <a:off x="581025" y="25098375"/>
          <a:ext cx="8011501" cy="6399680"/>
        </a:xfrm>
        <a:prstGeom prst="rect">
          <a:avLst/>
        </a:prstGeom>
      </xdr:spPr>
    </xdr:pic>
    <xdr:clientData/>
  </xdr:twoCellAnchor>
  <xdr:twoCellAnchor editAs="oneCell">
    <xdr:from>
      <xdr:col>21</xdr:col>
      <xdr:colOff>226152</xdr:colOff>
      <xdr:row>56</xdr:row>
      <xdr:rowOff>133350</xdr:rowOff>
    </xdr:from>
    <xdr:to>
      <xdr:col>32</xdr:col>
      <xdr:colOff>141421</xdr:colOff>
      <xdr:row>88</xdr:row>
      <xdr:rowOff>65619</xdr:rowOff>
    </xdr:to>
    <xdr:pic>
      <xdr:nvPicPr>
        <xdr:cNvPr id="16" name="图片 15">
          <a:extLst>
            <a:ext uri="{FF2B5EF4-FFF2-40B4-BE49-F238E27FC236}">
              <a16:creationId xmlns:a16="http://schemas.microsoft.com/office/drawing/2014/main" id="{694307DA-FF90-4791-E0A5-26A5FC191D13}"/>
            </a:ext>
          </a:extLst>
        </xdr:cNvPr>
        <xdr:cNvPicPr>
          <a:picLocks noChangeAspect="1"/>
        </xdr:cNvPicPr>
      </xdr:nvPicPr>
      <xdr:blipFill>
        <a:blip xmlns:r="http://schemas.openxmlformats.org/officeDocument/2006/relationships" r:embed="rId8"/>
        <a:stretch>
          <a:fillRect/>
        </a:stretch>
      </xdr:blipFill>
      <xdr:spPr>
        <a:xfrm>
          <a:off x="14932752" y="9734550"/>
          <a:ext cx="7459069" cy="5418669"/>
        </a:xfrm>
        <a:prstGeom prst="rect">
          <a:avLst/>
        </a:prstGeom>
      </xdr:spPr>
    </xdr:pic>
    <xdr:clientData/>
  </xdr:twoCellAnchor>
  <xdr:twoCellAnchor editAs="oneCell">
    <xdr:from>
      <xdr:col>21</xdr:col>
      <xdr:colOff>132901</xdr:colOff>
      <xdr:row>77</xdr:row>
      <xdr:rowOff>171449</xdr:rowOff>
    </xdr:from>
    <xdr:to>
      <xdr:col>32</xdr:col>
      <xdr:colOff>512887</xdr:colOff>
      <xdr:row>110</xdr:row>
      <xdr:rowOff>122788</xdr:rowOff>
    </xdr:to>
    <xdr:pic>
      <xdr:nvPicPr>
        <xdr:cNvPr id="17" name="图片 16">
          <a:extLst>
            <a:ext uri="{FF2B5EF4-FFF2-40B4-BE49-F238E27FC236}">
              <a16:creationId xmlns:a16="http://schemas.microsoft.com/office/drawing/2014/main" id="{73775692-CB9D-B485-88E7-301FEAE5CECF}"/>
            </a:ext>
          </a:extLst>
        </xdr:cNvPr>
        <xdr:cNvPicPr>
          <a:picLocks noChangeAspect="1"/>
        </xdr:cNvPicPr>
      </xdr:nvPicPr>
      <xdr:blipFill>
        <a:blip xmlns:r="http://schemas.openxmlformats.org/officeDocument/2006/relationships" r:embed="rId9"/>
        <a:stretch>
          <a:fillRect/>
        </a:stretch>
      </xdr:blipFill>
      <xdr:spPr>
        <a:xfrm>
          <a:off x="14839501" y="13373099"/>
          <a:ext cx="7923786" cy="5609189"/>
        </a:xfrm>
        <a:prstGeom prst="rect">
          <a:avLst/>
        </a:prstGeom>
      </xdr:spPr>
    </xdr:pic>
    <xdr:clientData/>
  </xdr:twoCellAnchor>
  <xdr:twoCellAnchor editAs="oneCell">
    <xdr:from>
      <xdr:col>21</xdr:col>
      <xdr:colOff>458734</xdr:colOff>
      <xdr:row>95</xdr:row>
      <xdr:rowOff>28575</xdr:rowOff>
    </xdr:from>
    <xdr:to>
      <xdr:col>32</xdr:col>
      <xdr:colOff>608136</xdr:colOff>
      <xdr:row>129</xdr:row>
      <xdr:rowOff>103651</xdr:rowOff>
    </xdr:to>
    <xdr:pic>
      <xdr:nvPicPr>
        <xdr:cNvPr id="18" name="图片 17">
          <a:extLst>
            <a:ext uri="{FF2B5EF4-FFF2-40B4-BE49-F238E27FC236}">
              <a16:creationId xmlns:a16="http://schemas.microsoft.com/office/drawing/2014/main" id="{E8787DD9-C033-3208-253A-8240A287C3E8}"/>
            </a:ext>
          </a:extLst>
        </xdr:cNvPr>
        <xdr:cNvPicPr>
          <a:picLocks noChangeAspect="1"/>
        </xdr:cNvPicPr>
      </xdr:nvPicPr>
      <xdr:blipFill>
        <a:blip xmlns:r="http://schemas.openxmlformats.org/officeDocument/2006/relationships" r:embed="rId10"/>
        <a:stretch>
          <a:fillRect/>
        </a:stretch>
      </xdr:blipFill>
      <xdr:spPr>
        <a:xfrm>
          <a:off x="15165334" y="16316325"/>
          <a:ext cx="7693202" cy="5904376"/>
        </a:xfrm>
        <a:prstGeom prst="rect">
          <a:avLst/>
        </a:prstGeom>
      </xdr:spPr>
    </xdr:pic>
    <xdr:clientData/>
  </xdr:twoCellAnchor>
  <xdr:twoCellAnchor editAs="oneCell">
    <xdr:from>
      <xdr:col>16</xdr:col>
      <xdr:colOff>0</xdr:colOff>
      <xdr:row>81</xdr:row>
      <xdr:rowOff>0</xdr:rowOff>
    </xdr:from>
    <xdr:to>
      <xdr:col>33</xdr:col>
      <xdr:colOff>350924</xdr:colOff>
      <xdr:row>136</xdr:row>
      <xdr:rowOff>151202</xdr:rowOff>
    </xdr:to>
    <xdr:pic>
      <xdr:nvPicPr>
        <xdr:cNvPr id="19" name="图片 18">
          <a:extLst>
            <a:ext uri="{FF2B5EF4-FFF2-40B4-BE49-F238E27FC236}">
              <a16:creationId xmlns:a16="http://schemas.microsoft.com/office/drawing/2014/main" id="{90633FB6-2944-1454-13FB-60A626C97758}"/>
            </a:ext>
          </a:extLst>
        </xdr:cNvPr>
        <xdr:cNvPicPr>
          <a:picLocks noChangeAspect="1"/>
        </xdr:cNvPicPr>
      </xdr:nvPicPr>
      <xdr:blipFill>
        <a:blip xmlns:r="http://schemas.openxmlformats.org/officeDocument/2006/relationships" r:embed="rId11"/>
        <a:stretch>
          <a:fillRect/>
        </a:stretch>
      </xdr:blipFill>
      <xdr:spPr>
        <a:xfrm>
          <a:off x="11277600" y="13887450"/>
          <a:ext cx="12009524" cy="9580952"/>
        </a:xfrm>
        <a:prstGeom prst="rect">
          <a:avLst/>
        </a:prstGeom>
      </xdr:spPr>
    </xdr:pic>
    <xdr:clientData/>
  </xdr:twoCellAnchor>
  <xdr:twoCellAnchor editAs="oneCell">
    <xdr:from>
      <xdr:col>12</xdr:col>
      <xdr:colOff>219075</xdr:colOff>
      <xdr:row>71</xdr:row>
      <xdr:rowOff>95250</xdr:rowOff>
    </xdr:from>
    <xdr:to>
      <xdr:col>30</xdr:col>
      <xdr:colOff>112732</xdr:colOff>
      <xdr:row>121</xdr:row>
      <xdr:rowOff>160845</xdr:rowOff>
    </xdr:to>
    <xdr:pic>
      <xdr:nvPicPr>
        <xdr:cNvPr id="20" name="图片 19">
          <a:extLst>
            <a:ext uri="{FF2B5EF4-FFF2-40B4-BE49-F238E27FC236}">
              <a16:creationId xmlns:a16="http://schemas.microsoft.com/office/drawing/2014/main" id="{09B7D0A2-2686-89D1-9C15-EDAAE8C11C28}"/>
            </a:ext>
          </a:extLst>
        </xdr:cNvPr>
        <xdr:cNvPicPr>
          <a:picLocks noChangeAspect="1"/>
        </xdr:cNvPicPr>
      </xdr:nvPicPr>
      <xdr:blipFill>
        <a:blip xmlns:r="http://schemas.openxmlformats.org/officeDocument/2006/relationships" r:embed="rId12"/>
        <a:stretch>
          <a:fillRect/>
        </a:stretch>
      </xdr:blipFill>
      <xdr:spPr>
        <a:xfrm>
          <a:off x="8448675" y="12268200"/>
          <a:ext cx="12542857" cy="8638095"/>
        </a:xfrm>
        <a:prstGeom prst="rect">
          <a:avLst/>
        </a:prstGeom>
      </xdr:spPr>
    </xdr:pic>
    <xdr:clientData/>
  </xdr:twoCellAnchor>
  <xdr:twoCellAnchor editAs="oneCell">
    <xdr:from>
      <xdr:col>13</xdr:col>
      <xdr:colOff>647699</xdr:colOff>
      <xdr:row>65</xdr:row>
      <xdr:rowOff>34530</xdr:rowOff>
    </xdr:from>
    <xdr:to>
      <xdr:col>28</xdr:col>
      <xdr:colOff>74874</xdr:colOff>
      <xdr:row>103</xdr:row>
      <xdr:rowOff>27713</xdr:rowOff>
    </xdr:to>
    <xdr:pic>
      <xdr:nvPicPr>
        <xdr:cNvPr id="21" name="图片 20">
          <a:extLst>
            <a:ext uri="{FF2B5EF4-FFF2-40B4-BE49-F238E27FC236}">
              <a16:creationId xmlns:a16="http://schemas.microsoft.com/office/drawing/2014/main" id="{EC8B4BFB-8BBB-E228-CE50-F2B6FE3F390E}"/>
            </a:ext>
          </a:extLst>
        </xdr:cNvPr>
        <xdr:cNvPicPr>
          <a:picLocks noChangeAspect="1"/>
        </xdr:cNvPicPr>
      </xdr:nvPicPr>
      <xdr:blipFill>
        <a:blip xmlns:r="http://schemas.openxmlformats.org/officeDocument/2006/relationships" r:embed="rId13"/>
        <a:stretch>
          <a:fillRect/>
        </a:stretch>
      </xdr:blipFill>
      <xdr:spPr>
        <a:xfrm>
          <a:off x="9563099" y="11178780"/>
          <a:ext cx="10018975" cy="6508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27371</xdr:colOff>
      <xdr:row>8</xdr:row>
      <xdr:rowOff>56971</xdr:rowOff>
    </xdr:to>
    <xdr:pic>
      <xdr:nvPicPr>
        <xdr:cNvPr id="2" name="图片 1">
          <a:extLst>
            <a:ext uri="{FF2B5EF4-FFF2-40B4-BE49-F238E27FC236}">
              <a16:creationId xmlns:a16="http://schemas.microsoft.com/office/drawing/2014/main" id="{F26AB0F0-94C2-4B18-A3DA-B519C751E087}"/>
            </a:ext>
          </a:extLst>
        </xdr:cNvPr>
        <xdr:cNvPicPr>
          <a:picLocks noChangeAspect="1"/>
        </xdr:cNvPicPr>
      </xdr:nvPicPr>
      <xdr:blipFill>
        <a:blip xmlns:r="http://schemas.openxmlformats.org/officeDocument/2006/relationships" r:embed="rId1"/>
        <a:stretch>
          <a:fillRect/>
        </a:stretch>
      </xdr:blipFill>
      <xdr:spPr>
        <a:xfrm>
          <a:off x="0" y="0"/>
          <a:ext cx="9628571" cy="1428571"/>
        </a:xfrm>
        <a:prstGeom prst="rect">
          <a:avLst/>
        </a:prstGeom>
      </xdr:spPr>
    </xdr:pic>
    <xdr:clientData/>
  </xdr:twoCellAnchor>
  <xdr:twoCellAnchor editAs="oneCell">
    <xdr:from>
      <xdr:col>0</xdr:col>
      <xdr:colOff>0</xdr:colOff>
      <xdr:row>6</xdr:row>
      <xdr:rowOff>161925</xdr:rowOff>
    </xdr:from>
    <xdr:to>
      <xdr:col>13</xdr:col>
      <xdr:colOff>646505</xdr:colOff>
      <xdr:row>16</xdr:row>
      <xdr:rowOff>47425</xdr:rowOff>
    </xdr:to>
    <xdr:pic>
      <xdr:nvPicPr>
        <xdr:cNvPr id="3" name="图片 2">
          <a:extLst>
            <a:ext uri="{FF2B5EF4-FFF2-40B4-BE49-F238E27FC236}">
              <a16:creationId xmlns:a16="http://schemas.microsoft.com/office/drawing/2014/main" id="{9C941254-6E5B-4FAF-A2D2-F696A8493160}"/>
            </a:ext>
          </a:extLst>
        </xdr:cNvPr>
        <xdr:cNvPicPr>
          <a:picLocks noChangeAspect="1"/>
        </xdr:cNvPicPr>
      </xdr:nvPicPr>
      <xdr:blipFill>
        <a:blip xmlns:r="http://schemas.openxmlformats.org/officeDocument/2006/relationships" r:embed="rId2"/>
        <a:stretch>
          <a:fillRect/>
        </a:stretch>
      </xdr:blipFill>
      <xdr:spPr>
        <a:xfrm>
          <a:off x="0" y="1190625"/>
          <a:ext cx="9561905" cy="1600000"/>
        </a:xfrm>
        <a:prstGeom prst="rect">
          <a:avLst/>
        </a:prstGeom>
      </xdr:spPr>
    </xdr:pic>
    <xdr:clientData/>
  </xdr:twoCellAnchor>
  <xdr:twoCellAnchor editAs="oneCell">
    <xdr:from>
      <xdr:col>0</xdr:col>
      <xdr:colOff>0</xdr:colOff>
      <xdr:row>55</xdr:row>
      <xdr:rowOff>123825</xdr:rowOff>
    </xdr:from>
    <xdr:to>
      <xdr:col>14</xdr:col>
      <xdr:colOff>360705</xdr:colOff>
      <xdr:row>60</xdr:row>
      <xdr:rowOff>142765</xdr:rowOff>
    </xdr:to>
    <xdr:pic>
      <xdr:nvPicPr>
        <xdr:cNvPr id="4" name="图片 3">
          <a:extLst>
            <a:ext uri="{FF2B5EF4-FFF2-40B4-BE49-F238E27FC236}">
              <a16:creationId xmlns:a16="http://schemas.microsoft.com/office/drawing/2014/main" id="{1B11EE07-26B9-4AA1-8107-F5E3FF78E1A2}"/>
            </a:ext>
          </a:extLst>
        </xdr:cNvPr>
        <xdr:cNvPicPr>
          <a:picLocks noChangeAspect="1"/>
        </xdr:cNvPicPr>
      </xdr:nvPicPr>
      <xdr:blipFill>
        <a:blip xmlns:r="http://schemas.openxmlformats.org/officeDocument/2006/relationships" r:embed="rId3"/>
        <a:stretch>
          <a:fillRect/>
        </a:stretch>
      </xdr:blipFill>
      <xdr:spPr>
        <a:xfrm>
          <a:off x="0" y="9553575"/>
          <a:ext cx="9961905" cy="876190"/>
        </a:xfrm>
        <a:prstGeom prst="rect">
          <a:avLst/>
        </a:prstGeom>
      </xdr:spPr>
    </xdr:pic>
    <xdr:clientData/>
  </xdr:twoCellAnchor>
  <xdr:twoCellAnchor editAs="oneCell">
    <xdr:from>
      <xdr:col>0</xdr:col>
      <xdr:colOff>0</xdr:colOff>
      <xdr:row>60</xdr:row>
      <xdr:rowOff>104775</xdr:rowOff>
    </xdr:from>
    <xdr:to>
      <xdr:col>14</xdr:col>
      <xdr:colOff>55943</xdr:colOff>
      <xdr:row>66</xdr:row>
      <xdr:rowOff>57027</xdr:rowOff>
    </xdr:to>
    <xdr:pic>
      <xdr:nvPicPr>
        <xdr:cNvPr id="5" name="图片 4">
          <a:extLst>
            <a:ext uri="{FF2B5EF4-FFF2-40B4-BE49-F238E27FC236}">
              <a16:creationId xmlns:a16="http://schemas.microsoft.com/office/drawing/2014/main" id="{3A24090F-A50D-4FCA-886B-C3BCF004202D}"/>
            </a:ext>
          </a:extLst>
        </xdr:cNvPr>
        <xdr:cNvPicPr>
          <a:picLocks noChangeAspect="1"/>
        </xdr:cNvPicPr>
      </xdr:nvPicPr>
      <xdr:blipFill>
        <a:blip xmlns:r="http://schemas.openxmlformats.org/officeDocument/2006/relationships" r:embed="rId4"/>
        <a:stretch>
          <a:fillRect/>
        </a:stretch>
      </xdr:blipFill>
      <xdr:spPr>
        <a:xfrm>
          <a:off x="0" y="10391775"/>
          <a:ext cx="9657143" cy="980952"/>
        </a:xfrm>
        <a:prstGeom prst="rect">
          <a:avLst/>
        </a:prstGeom>
      </xdr:spPr>
    </xdr:pic>
    <xdr:clientData/>
  </xdr:twoCellAnchor>
  <xdr:twoCellAnchor editAs="oneCell">
    <xdr:from>
      <xdr:col>0</xdr:col>
      <xdr:colOff>0</xdr:colOff>
      <xdr:row>27</xdr:row>
      <xdr:rowOff>0</xdr:rowOff>
    </xdr:from>
    <xdr:to>
      <xdr:col>14</xdr:col>
      <xdr:colOff>27371</xdr:colOff>
      <xdr:row>35</xdr:row>
      <xdr:rowOff>56971</xdr:rowOff>
    </xdr:to>
    <xdr:pic>
      <xdr:nvPicPr>
        <xdr:cNvPr id="6" name="图片 5">
          <a:extLst>
            <a:ext uri="{FF2B5EF4-FFF2-40B4-BE49-F238E27FC236}">
              <a16:creationId xmlns:a16="http://schemas.microsoft.com/office/drawing/2014/main" id="{F53CC846-A8E0-484D-A1A4-E8DAC5981564}"/>
            </a:ext>
          </a:extLst>
        </xdr:cNvPr>
        <xdr:cNvPicPr>
          <a:picLocks noChangeAspect="1"/>
        </xdr:cNvPicPr>
      </xdr:nvPicPr>
      <xdr:blipFill>
        <a:blip xmlns:r="http://schemas.openxmlformats.org/officeDocument/2006/relationships" r:embed="rId5"/>
        <a:stretch>
          <a:fillRect/>
        </a:stretch>
      </xdr:blipFill>
      <xdr:spPr>
        <a:xfrm>
          <a:off x="0" y="4629150"/>
          <a:ext cx="9628571" cy="1428571"/>
        </a:xfrm>
        <a:prstGeom prst="rect">
          <a:avLst/>
        </a:prstGeom>
      </xdr:spPr>
    </xdr:pic>
    <xdr:clientData/>
  </xdr:twoCellAnchor>
  <xdr:twoCellAnchor editAs="oneCell">
    <xdr:from>
      <xdr:col>0</xdr:col>
      <xdr:colOff>0</xdr:colOff>
      <xdr:row>32</xdr:row>
      <xdr:rowOff>114300</xdr:rowOff>
    </xdr:from>
    <xdr:to>
      <xdr:col>14</xdr:col>
      <xdr:colOff>227371</xdr:colOff>
      <xdr:row>42</xdr:row>
      <xdr:rowOff>37895</xdr:rowOff>
    </xdr:to>
    <xdr:pic>
      <xdr:nvPicPr>
        <xdr:cNvPr id="7" name="图片 6">
          <a:extLst>
            <a:ext uri="{FF2B5EF4-FFF2-40B4-BE49-F238E27FC236}">
              <a16:creationId xmlns:a16="http://schemas.microsoft.com/office/drawing/2014/main" id="{36A7BCA9-5E44-46A3-9D61-EE423B4C36A3}"/>
            </a:ext>
          </a:extLst>
        </xdr:cNvPr>
        <xdr:cNvPicPr>
          <a:picLocks noChangeAspect="1"/>
        </xdr:cNvPicPr>
      </xdr:nvPicPr>
      <xdr:blipFill>
        <a:blip xmlns:r="http://schemas.openxmlformats.org/officeDocument/2006/relationships" r:embed="rId6"/>
        <a:stretch>
          <a:fillRect/>
        </a:stretch>
      </xdr:blipFill>
      <xdr:spPr>
        <a:xfrm>
          <a:off x="0" y="5600700"/>
          <a:ext cx="9828571" cy="1638095"/>
        </a:xfrm>
        <a:prstGeom prst="rect">
          <a:avLst/>
        </a:prstGeom>
      </xdr:spPr>
    </xdr:pic>
    <xdr:clientData/>
  </xdr:twoCellAnchor>
  <xdr:twoCellAnchor editAs="oneCell">
    <xdr:from>
      <xdr:col>0</xdr:col>
      <xdr:colOff>228600</xdr:colOff>
      <xdr:row>26</xdr:row>
      <xdr:rowOff>0</xdr:rowOff>
    </xdr:from>
    <xdr:to>
      <xdr:col>14</xdr:col>
      <xdr:colOff>122638</xdr:colOff>
      <xdr:row>54</xdr:row>
      <xdr:rowOff>85114</xdr:rowOff>
    </xdr:to>
    <xdr:pic>
      <xdr:nvPicPr>
        <xdr:cNvPr id="8" name="图片 7">
          <a:extLst>
            <a:ext uri="{FF2B5EF4-FFF2-40B4-BE49-F238E27FC236}">
              <a16:creationId xmlns:a16="http://schemas.microsoft.com/office/drawing/2014/main" id="{A4E474D2-DBEE-4D5E-94D9-BB82F8319AFA}"/>
            </a:ext>
          </a:extLst>
        </xdr:cNvPr>
        <xdr:cNvPicPr>
          <a:picLocks noChangeAspect="1"/>
        </xdr:cNvPicPr>
      </xdr:nvPicPr>
      <xdr:blipFill>
        <a:blip xmlns:r="http://schemas.openxmlformats.org/officeDocument/2006/relationships" r:embed="rId7"/>
        <a:stretch>
          <a:fillRect/>
        </a:stretch>
      </xdr:blipFill>
      <xdr:spPr>
        <a:xfrm>
          <a:off x="228600" y="4457700"/>
          <a:ext cx="9495238" cy="4885714"/>
        </a:xfrm>
        <a:prstGeom prst="rect">
          <a:avLst/>
        </a:prstGeom>
      </xdr:spPr>
    </xdr:pic>
    <xdr:clientData/>
  </xdr:twoCellAnchor>
  <xdr:twoCellAnchor editAs="oneCell">
    <xdr:from>
      <xdr:col>14</xdr:col>
      <xdr:colOff>104775</xdr:colOff>
      <xdr:row>7</xdr:row>
      <xdr:rowOff>95250</xdr:rowOff>
    </xdr:from>
    <xdr:to>
      <xdr:col>26</xdr:col>
      <xdr:colOff>37080</xdr:colOff>
      <xdr:row>41</xdr:row>
      <xdr:rowOff>56426</xdr:rowOff>
    </xdr:to>
    <xdr:pic>
      <xdr:nvPicPr>
        <xdr:cNvPr id="9" name="图片 8">
          <a:extLst>
            <a:ext uri="{FF2B5EF4-FFF2-40B4-BE49-F238E27FC236}">
              <a16:creationId xmlns:a16="http://schemas.microsoft.com/office/drawing/2014/main" id="{E6E9E122-5DFF-4583-8BD4-BC074E9F0FF0}"/>
            </a:ext>
          </a:extLst>
        </xdr:cNvPr>
        <xdr:cNvPicPr>
          <a:picLocks noChangeAspect="1"/>
        </xdr:cNvPicPr>
      </xdr:nvPicPr>
      <xdr:blipFill>
        <a:blip xmlns:r="http://schemas.openxmlformats.org/officeDocument/2006/relationships" r:embed="rId8"/>
        <a:stretch>
          <a:fillRect/>
        </a:stretch>
      </xdr:blipFill>
      <xdr:spPr>
        <a:xfrm>
          <a:off x="9705975" y="1295400"/>
          <a:ext cx="8161905" cy="5790476"/>
        </a:xfrm>
        <a:prstGeom prst="rect">
          <a:avLst/>
        </a:prstGeom>
      </xdr:spPr>
    </xdr:pic>
    <xdr:clientData/>
  </xdr:twoCellAnchor>
  <xdr:twoCellAnchor editAs="oneCell">
    <xdr:from>
      <xdr:col>8</xdr:col>
      <xdr:colOff>466725</xdr:colOff>
      <xdr:row>67</xdr:row>
      <xdr:rowOff>142875</xdr:rowOff>
    </xdr:from>
    <xdr:to>
      <xdr:col>13</xdr:col>
      <xdr:colOff>675820</xdr:colOff>
      <xdr:row>105</xdr:row>
      <xdr:rowOff>161108</xdr:rowOff>
    </xdr:to>
    <xdr:pic>
      <xdr:nvPicPr>
        <xdr:cNvPr id="10" name="图片 9">
          <a:extLst>
            <a:ext uri="{FF2B5EF4-FFF2-40B4-BE49-F238E27FC236}">
              <a16:creationId xmlns:a16="http://schemas.microsoft.com/office/drawing/2014/main" id="{2771C688-BD4A-DB82-2496-CABB2C683192}"/>
            </a:ext>
          </a:extLst>
        </xdr:cNvPr>
        <xdr:cNvPicPr>
          <a:picLocks noChangeAspect="1"/>
        </xdr:cNvPicPr>
      </xdr:nvPicPr>
      <xdr:blipFill>
        <a:blip xmlns:r="http://schemas.openxmlformats.org/officeDocument/2006/relationships" r:embed="rId9"/>
        <a:stretch>
          <a:fillRect/>
        </a:stretch>
      </xdr:blipFill>
      <xdr:spPr>
        <a:xfrm>
          <a:off x="5953125" y="11630025"/>
          <a:ext cx="3638095" cy="6533333"/>
        </a:xfrm>
        <a:prstGeom prst="rect">
          <a:avLst/>
        </a:prstGeom>
      </xdr:spPr>
    </xdr:pic>
    <xdr:clientData/>
  </xdr:twoCellAnchor>
  <xdr:twoCellAnchor editAs="oneCell">
    <xdr:from>
      <xdr:col>14</xdr:col>
      <xdr:colOff>0</xdr:colOff>
      <xdr:row>67</xdr:row>
      <xdr:rowOff>85725</xdr:rowOff>
    </xdr:from>
    <xdr:to>
      <xdr:col>18</xdr:col>
      <xdr:colOff>104419</xdr:colOff>
      <xdr:row>84</xdr:row>
      <xdr:rowOff>85361</xdr:rowOff>
    </xdr:to>
    <xdr:pic>
      <xdr:nvPicPr>
        <xdr:cNvPr id="11" name="图片 10">
          <a:extLst>
            <a:ext uri="{FF2B5EF4-FFF2-40B4-BE49-F238E27FC236}">
              <a16:creationId xmlns:a16="http://schemas.microsoft.com/office/drawing/2014/main" id="{32B305F0-47AC-5BA0-D1D5-C8E0CE7122F2}"/>
            </a:ext>
          </a:extLst>
        </xdr:cNvPr>
        <xdr:cNvPicPr>
          <a:picLocks noChangeAspect="1"/>
        </xdr:cNvPicPr>
      </xdr:nvPicPr>
      <xdr:blipFill>
        <a:blip xmlns:r="http://schemas.openxmlformats.org/officeDocument/2006/relationships" r:embed="rId10"/>
        <a:stretch>
          <a:fillRect/>
        </a:stretch>
      </xdr:blipFill>
      <xdr:spPr>
        <a:xfrm>
          <a:off x="9601200" y="11572875"/>
          <a:ext cx="2847619" cy="2914286"/>
        </a:xfrm>
        <a:prstGeom prst="rect">
          <a:avLst/>
        </a:prstGeom>
      </xdr:spPr>
    </xdr:pic>
    <xdr:clientData/>
  </xdr:twoCellAnchor>
  <xdr:twoCellAnchor editAs="oneCell">
    <xdr:from>
      <xdr:col>0</xdr:col>
      <xdr:colOff>0</xdr:colOff>
      <xdr:row>67</xdr:row>
      <xdr:rowOff>114299</xdr:rowOff>
    </xdr:from>
    <xdr:to>
      <xdr:col>8</xdr:col>
      <xdr:colOff>418656</xdr:colOff>
      <xdr:row>92</xdr:row>
      <xdr:rowOff>104124</xdr:rowOff>
    </xdr:to>
    <xdr:pic>
      <xdr:nvPicPr>
        <xdr:cNvPr id="13" name="图片 12">
          <a:extLst>
            <a:ext uri="{FF2B5EF4-FFF2-40B4-BE49-F238E27FC236}">
              <a16:creationId xmlns:a16="http://schemas.microsoft.com/office/drawing/2014/main" id="{827366C1-50D4-B63D-4319-575AFB94464B}"/>
            </a:ext>
          </a:extLst>
        </xdr:cNvPr>
        <xdr:cNvPicPr>
          <a:picLocks noChangeAspect="1"/>
        </xdr:cNvPicPr>
      </xdr:nvPicPr>
      <xdr:blipFill>
        <a:blip xmlns:r="http://schemas.openxmlformats.org/officeDocument/2006/relationships" r:embed="rId11"/>
        <a:stretch>
          <a:fillRect/>
        </a:stretch>
      </xdr:blipFill>
      <xdr:spPr>
        <a:xfrm>
          <a:off x="0" y="11601449"/>
          <a:ext cx="5905056" cy="4276075"/>
        </a:xfrm>
        <a:prstGeom prst="rect">
          <a:avLst/>
        </a:prstGeom>
      </xdr:spPr>
    </xdr:pic>
    <xdr:clientData/>
  </xdr:twoCellAnchor>
  <xdr:twoCellAnchor>
    <xdr:from>
      <xdr:col>0</xdr:col>
      <xdr:colOff>0</xdr:colOff>
      <xdr:row>93</xdr:row>
      <xdr:rowOff>104775</xdr:rowOff>
    </xdr:from>
    <xdr:to>
      <xdr:col>8</xdr:col>
      <xdr:colOff>57150</xdr:colOff>
      <xdr:row>119</xdr:row>
      <xdr:rowOff>38100</xdr:rowOff>
    </xdr:to>
    <xdr:pic>
      <xdr:nvPicPr>
        <xdr:cNvPr id="14" name="图片 1">
          <a:extLst>
            <a:ext uri="{FF2B5EF4-FFF2-40B4-BE49-F238E27FC236}">
              <a16:creationId xmlns:a16="http://schemas.microsoft.com/office/drawing/2014/main" id="{16BB932C-9550-D3AC-A784-310EAD52836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049625"/>
          <a:ext cx="5543550" cy="439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111</xdr:row>
      <xdr:rowOff>114300</xdr:rowOff>
    </xdr:from>
    <xdr:to>
      <xdr:col>19</xdr:col>
      <xdr:colOff>180059</xdr:colOff>
      <xdr:row>144</xdr:row>
      <xdr:rowOff>85021</xdr:rowOff>
    </xdr:to>
    <xdr:pic>
      <xdr:nvPicPr>
        <xdr:cNvPr id="15" name="图片 14">
          <a:extLst>
            <a:ext uri="{FF2B5EF4-FFF2-40B4-BE49-F238E27FC236}">
              <a16:creationId xmlns:a16="http://schemas.microsoft.com/office/drawing/2014/main" id="{E2D15A81-0FC0-079D-AE37-575DC1CDD8F5}"/>
            </a:ext>
          </a:extLst>
        </xdr:cNvPr>
        <xdr:cNvPicPr>
          <a:picLocks noChangeAspect="1"/>
        </xdr:cNvPicPr>
      </xdr:nvPicPr>
      <xdr:blipFill>
        <a:blip xmlns:r="http://schemas.openxmlformats.org/officeDocument/2006/relationships" r:embed="rId13"/>
        <a:stretch>
          <a:fillRect/>
        </a:stretch>
      </xdr:blipFill>
      <xdr:spPr>
        <a:xfrm>
          <a:off x="5886450" y="19145250"/>
          <a:ext cx="7323809"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2581</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2582</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202" t="s">
        <v>2584</v>
      </c>
      <c r="J2" s="3202"/>
      <c r="K2" s="3202"/>
      <c r="L2" s="3202"/>
      <c r="M2" s="3202"/>
      <c r="N2" s="3202"/>
      <c r="O2" s="3202"/>
      <c r="P2" s="3202"/>
      <c r="Q2" s="3202"/>
      <c r="R2" s="3202"/>
    </row>
    <row r="3" spans="1:18">
      <c r="A3" s="2763" t="s">
        <v>2505</v>
      </c>
      <c r="B3" s="2764">
        <f>项目基本情况!D3</f>
        <v>45624</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2.0499999999999998</v>
      </c>
      <c r="D5" s="2768">
        <f>IF(ISERROR(ROUND(POWER(1+E5,A5-C5)*(POWER(1+E5,C5)-1)/(POWER(1+E5,A5)-1),3)),0,ROUND(POWER(1+E5,A5-C5)*(POWER(1+E5,C5)-1)/(POWER(1+E5,A5)-1),4))</f>
        <v>9.7600000000000006E-2</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12.06</v>
      </c>
      <c r="D6" s="2768">
        <f>IF(ISERROR(ROUND(POWER(1+E6,A6-C6)*(POWER(1+E6,C6)-1)/(POWER(1+E6,A6)-1),3)),0,ROUND(POWER(1+E6,A6-C6)*(POWER(1+E6,C6)-1)/(POWER(1+E6,A6)-1),4))</f>
        <v>0.43859999999999999</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32.07</v>
      </c>
      <c r="D7" s="2768">
        <f>IF(ISERROR(ROUND(POWER(1+E7,A7-C7)*(POWER(1+E7,C7)-1)/(POWER(1+E7,A7)-1),3)),0,ROUND(POWER(1+E7,A7-C7)*(POWER(1+E7,C7)-1)/(POWER(1+E7,A7)-1),4))</f>
        <v>0.76480000000000004</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45624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6" t="s">
        <v>2177</v>
      </c>
      <c r="E8" s="2202"/>
      <c r="F8" s="2203"/>
      <c r="G8" s="2442"/>
      <c r="H8" s="2442"/>
      <c r="I8" s="2442"/>
      <c r="J8" s="2245"/>
      <c r="K8" s="2400"/>
      <c r="L8" s="2399"/>
      <c r="M8" s="2399"/>
      <c r="N8" s="2245"/>
      <c r="O8" s="1670"/>
      <c r="P8" s="2245"/>
      <c r="Q8" s="2245"/>
      <c r="R8" s="2245"/>
    </row>
    <row r="9" spans="1:30" ht="13.5" thickBot="1">
      <c r="A9" s="2204" t="s">
        <v>2178</v>
      </c>
      <c r="B9" s="2205"/>
      <c r="C9" s="2206"/>
      <c r="D9" s="320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3338</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0</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9"/>
      <c r="G2" s="2432"/>
      <c r="H2" s="2433"/>
      <c r="I2" s="2146" t="s">
        <v>1132</v>
      </c>
      <c r="J2" s="2439"/>
      <c r="K2" s="2439"/>
      <c r="L2" s="2439"/>
      <c r="M2" s="2439"/>
      <c r="N2" s="2440"/>
      <c r="O2" s="2439"/>
      <c r="P2" s="2439"/>
    </row>
    <row r="3" spans="1:16" ht="15.75" thickBot="1">
      <c r="A3" s="3242" t="s">
        <v>1105</v>
      </c>
      <c r="B3" s="3242"/>
      <c r="C3" s="324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43"/>
      <c r="B4" s="3244"/>
      <c r="C4" s="324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6" t="s">
        <v>1110</v>
      </c>
      <c r="C5" s="324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6" t="s">
        <v>1111</v>
      </c>
      <c r="C6" s="3246"/>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8"/>
      <c r="B7" s="3239"/>
      <c r="C7" s="324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7" t="s">
        <v>2286</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45624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3362</v>
      </c>
      <c r="D10" s="2300" t="s">
        <v>3363</v>
      </c>
      <c r="E10" s="3137"/>
      <c r="F10" s="3141" t="s">
        <v>3364</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100</v>
      </c>
      <c r="C14" s="2306"/>
      <c r="D14" s="2306">
        <f>B14*E14/10000</f>
        <v>200</v>
      </c>
      <c r="E14" s="2306">
        <v>20000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6" t="str">
        <f>项目基本情况!S2</f>
        <v>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4" t="s">
        <v>1265</v>
      </c>
      <c r="B4" s="1625" t="s">
        <v>1266</v>
      </c>
      <c r="C4" s="1626"/>
      <c r="D4" s="1626"/>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4" t="s">
        <v>1268</v>
      </c>
      <c r="B5" s="3319">
        <v>25</v>
      </c>
      <c r="C5" s="3322"/>
      <c r="D5" s="3310"/>
      <c r="E5" s="123" t="s">
        <v>1269</v>
      </c>
      <c r="F5" s="1627"/>
      <c r="G5" s="1627"/>
      <c r="H5" s="1627"/>
      <c r="I5" s="1281"/>
    </row>
    <row r="6" spans="1:12" ht="12.75">
      <c r="A6" s="3264"/>
      <c r="B6" s="3319"/>
      <c r="C6" s="3324"/>
      <c r="D6" s="3310"/>
      <c r="E6" s="123" t="s">
        <v>1270</v>
      </c>
      <c r="F6" s="1627"/>
      <c r="G6" s="1627"/>
      <c r="H6" s="1627"/>
      <c r="I6" s="1281"/>
    </row>
    <row r="7" spans="1:12" ht="12.75">
      <c r="A7" s="3264"/>
      <c r="B7" s="3319"/>
      <c r="C7" s="3323"/>
      <c r="D7" s="3310"/>
      <c r="E7" s="123" t="s">
        <v>1271</v>
      </c>
      <c r="F7" s="1627"/>
      <c r="G7" s="1627"/>
      <c r="H7" s="1627"/>
      <c r="I7" s="1281"/>
    </row>
    <row r="8" spans="1:12" ht="12.75">
      <c r="A8" s="3264" t="s">
        <v>1272</v>
      </c>
      <c r="B8" s="3319">
        <v>15</v>
      </c>
      <c r="C8" s="3322"/>
      <c r="D8" s="3310"/>
      <c r="E8" s="123" t="s">
        <v>1273</v>
      </c>
      <c r="F8" s="1627"/>
      <c r="G8" s="1627"/>
      <c r="H8" s="1627"/>
      <c r="I8" s="1281"/>
    </row>
    <row r="9" spans="1:12" ht="12.75">
      <c r="A9" s="3264"/>
      <c r="B9" s="3319"/>
      <c r="C9" s="3323"/>
      <c r="D9" s="3310"/>
      <c r="E9" s="123" t="s">
        <v>1274</v>
      </c>
      <c r="F9" s="1627"/>
      <c r="G9" s="1627"/>
      <c r="H9" s="1627"/>
      <c r="I9" s="1281"/>
    </row>
    <row r="10" spans="1:12" ht="12.75">
      <c r="A10" s="3264" t="s">
        <v>1275</v>
      </c>
      <c r="B10" s="3319">
        <v>15</v>
      </c>
      <c r="C10" s="3322"/>
      <c r="D10" s="3310"/>
      <c r="E10" s="123" t="s">
        <v>1276</v>
      </c>
      <c r="F10" s="1627"/>
      <c r="G10" s="1627"/>
      <c r="H10" s="1627"/>
      <c r="I10" s="1281"/>
    </row>
    <row r="11" spans="1:12" ht="12.75">
      <c r="A11" s="3264"/>
      <c r="B11" s="3319"/>
      <c r="C11" s="3323"/>
      <c r="D11" s="3310"/>
      <c r="E11" s="123" t="s">
        <v>1277</v>
      </c>
      <c r="F11" s="1627"/>
      <c r="G11" s="1627"/>
      <c r="H11" s="1627"/>
      <c r="I11" s="1281"/>
    </row>
    <row r="12" spans="1:12" ht="12.75">
      <c r="A12" s="3264" t="s">
        <v>1278</v>
      </c>
      <c r="B12" s="3319">
        <v>15</v>
      </c>
      <c r="C12" s="3322"/>
      <c r="D12" s="3310"/>
      <c r="E12" s="123" t="s">
        <v>1279</v>
      </c>
      <c r="F12" s="1627"/>
      <c r="G12" s="1627"/>
      <c r="H12" s="1627"/>
      <c r="I12" s="1281"/>
    </row>
    <row r="13" spans="1:12" ht="12.75">
      <c r="A13" s="3264"/>
      <c r="B13" s="3319"/>
      <c r="C13" s="3323"/>
      <c r="D13" s="3310"/>
      <c r="E13" s="123" t="s">
        <v>1280</v>
      </c>
      <c r="F13" s="1627"/>
      <c r="G13" s="1627"/>
      <c r="H13" s="1627"/>
      <c r="I13" s="1281"/>
    </row>
    <row r="14" spans="1:12" ht="12.75">
      <c r="A14" s="3264" t="s">
        <v>1281</v>
      </c>
      <c r="B14" s="3319">
        <v>30</v>
      </c>
      <c r="C14" s="3322"/>
      <c r="D14" s="3310"/>
      <c r="E14" s="123" t="s">
        <v>1282</v>
      </c>
      <c r="F14" s="1627"/>
      <c r="G14" s="1627"/>
      <c r="H14" s="1627"/>
      <c r="I14" s="1281"/>
    </row>
    <row r="15" spans="1:12" ht="12.75">
      <c r="A15" s="3264"/>
      <c r="B15" s="3319"/>
      <c r="C15" s="3324"/>
      <c r="D15" s="3310"/>
      <c r="E15" s="123" t="s">
        <v>1283</v>
      </c>
      <c r="F15" s="1627"/>
      <c r="G15" s="1627"/>
      <c r="H15" s="1627"/>
      <c r="I15" s="1281"/>
    </row>
    <row r="16" spans="1:12" ht="12.75">
      <c r="A16" s="3264"/>
      <c r="B16" s="3319"/>
      <c r="C16" s="3323"/>
      <c r="D16" s="331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1" t="s">
        <v>2131</v>
      </c>
      <c r="F18" s="3342"/>
      <c r="G18" s="3342"/>
      <c r="H18" s="3342"/>
      <c r="I18" s="3342"/>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4" t="s">
        <v>1299</v>
      </c>
      <c r="B24" s="1631" t="s">
        <v>1291</v>
      </c>
      <c r="C24" s="128">
        <f>IF(B30=0,0,D30)</f>
        <v>0</v>
      </c>
      <c r="D24" s="1637"/>
      <c r="E24" s="121"/>
      <c r="F24" s="121"/>
      <c r="G24" s="121"/>
      <c r="H24" s="121"/>
      <c r="I24" s="121"/>
    </row>
    <row r="25" spans="1:36" ht="14.25">
      <c r="A25" s="333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1" t="s">
        <v>1312</v>
      </c>
      <c r="B36" s="1652" t="s">
        <v>1313</v>
      </c>
      <c r="C36" s="137"/>
      <c r="D36" s="1653"/>
      <c r="E36" s="1567"/>
      <c r="F36" s="1654"/>
      <c r="G36" s="121"/>
      <c r="H36" s="121"/>
      <c r="I36" s="121"/>
    </row>
    <row r="37" spans="1:15" ht="15.75" thickBot="1">
      <c r="A37" s="3312"/>
      <c r="B37" s="1555" t="s">
        <v>1314</v>
      </c>
      <c r="C37" s="139"/>
      <c r="D37" s="1071"/>
      <c r="E37" s="1071"/>
      <c r="F37" s="1654"/>
      <c r="G37" s="121"/>
      <c r="H37" s="121"/>
      <c r="I37" s="121"/>
    </row>
    <row r="38" spans="1:15" ht="15.75" thickBot="1">
      <c r="A38" s="331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t="e">
        <f ca="1">ROUND(H101*F45,0)</f>
        <v>#REF!</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45624</v>
      </c>
      <c r="N47" s="3254"/>
      <c r="O47" s="3254"/>
    </row>
    <row r="48" spans="1:15" ht="25.5">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2" t="s">
        <v>1340</v>
      </c>
      <c r="L48" s="3252"/>
      <c r="M48" s="3255" t="e">
        <f ca="1">H101</f>
        <v>#REF!</v>
      </c>
      <c r="N48" s="3255"/>
      <c r="O48" s="3255"/>
    </row>
    <row r="49" spans="1:35" ht="25.5" customHeight="1">
      <c r="A49" s="2152" t="s">
        <v>1341</v>
      </c>
      <c r="B49" s="3300" t="s">
        <v>1342</v>
      </c>
      <c r="C49" s="3300"/>
      <c r="D49" s="1478">
        <v>0</v>
      </c>
      <c r="E49" s="316" t="s">
        <v>1343</v>
      </c>
      <c r="F49" s="2233" t="s">
        <v>28</v>
      </c>
      <c r="G49" s="3283"/>
      <c r="H49" s="2134" t="s">
        <v>2134</v>
      </c>
      <c r="I49" s="2135"/>
      <c r="J49" s="2310">
        <v>4</v>
      </c>
      <c r="K49" s="3252" t="str">
        <f>IF(项目基本情况!E8="房地产抵押价值","房地产抵押价值","抵押担保权已注销时的房地产抵押价值")</f>
        <v>抵押担保权已注销时的房地产抵押价值</v>
      </c>
      <c r="L49" s="3252"/>
      <c r="M49" s="3255" t="str">
        <f>IF(项目基本情况!E8="房地产抵押价值",H107,H109)</f>
        <v>——</v>
      </c>
      <c r="N49" s="3255"/>
      <c r="O49" s="3255"/>
    </row>
    <row r="50" spans="1:35" ht="25.5" customHeight="1">
      <c r="A50" s="2338"/>
      <c r="B50" s="3300" t="s">
        <v>1344</v>
      </c>
      <c r="C50" s="3300"/>
      <c r="D50" s="2189"/>
      <c r="E50" s="323"/>
      <c r="F50" s="2233"/>
      <c r="G50" s="3284"/>
      <c r="H50" s="2136" t="s">
        <v>2135</v>
      </c>
      <c r="I50" s="2135"/>
      <c r="J50" s="3251" t="s">
        <v>1345</v>
      </c>
      <c r="K50" s="3251"/>
      <c r="L50" s="3251"/>
      <c r="M50" s="3251"/>
      <c r="N50" s="3251"/>
      <c r="O50" s="3251"/>
    </row>
    <row r="51" spans="1:35" ht="20.45" customHeight="1">
      <c r="A51" s="2339"/>
      <c r="B51" s="3300" t="s">
        <v>1346</v>
      </c>
      <c r="C51" s="3300"/>
      <c r="D51" s="1024"/>
      <c r="E51" s="319"/>
      <c r="F51" s="2233"/>
      <c r="G51" s="3285"/>
      <c r="H51" s="2136" t="s">
        <v>2136</v>
      </c>
      <c r="I51" s="2135"/>
      <c r="J51" s="2311" t="s">
        <v>1347</v>
      </c>
      <c r="K51" s="3252" t="s">
        <v>1348</v>
      </c>
      <c r="L51" s="3252"/>
      <c r="M51" s="2311" t="s">
        <v>1349</v>
      </c>
      <c r="N51" s="2311" t="s">
        <v>1350</v>
      </c>
      <c r="O51" s="2311" t="s">
        <v>1351</v>
      </c>
    </row>
    <row r="52" spans="1:35" ht="24" customHeight="1">
      <c r="A52" s="2153" t="s">
        <v>1352</v>
      </c>
      <c r="B52" s="3300" t="s">
        <v>1353</v>
      </c>
      <c r="C52" s="3300"/>
      <c r="D52" s="1024" t="e">
        <f ca="1">ROUND(D45*'数据-取费表'!B41/(1+'数据-取费表'!C42),0)</f>
        <v>#REF!</v>
      </c>
      <c r="E52" s="1256" t="s">
        <v>1354</v>
      </c>
      <c r="F52" s="2340">
        <f>'数据-取费表'!B41</f>
        <v>0</v>
      </c>
      <c r="G52" s="2341"/>
      <c r="H52" s="2331"/>
      <c r="I52" s="1669"/>
      <c r="J52" s="2310">
        <v>1</v>
      </c>
      <c r="K52" s="3277" t="s">
        <v>1355</v>
      </c>
      <c r="L52" s="3277"/>
      <c r="M52" s="2312" t="b">
        <f>D48</f>
        <v>0</v>
      </c>
      <c r="N52" s="2310" t="str">
        <f>E48</f>
        <v>销售额×税（费）率</v>
      </c>
      <c r="O52" s="2313">
        <f>F48</f>
        <v>0</v>
      </c>
    </row>
    <row r="53" spans="1:35" ht="12" customHeight="1">
      <c r="A53" s="2153" t="s">
        <v>1356</v>
      </c>
      <c r="B53" s="3301" t="s">
        <v>2291</v>
      </c>
      <c r="C53" s="3302"/>
      <c r="D53" s="1024" t="e">
        <f ca="1">ROUND(D45*'数据-取费表'!B41/(1+'数据-取费表'!C42),0)</f>
        <v>#REF!</v>
      </c>
      <c r="E53" s="1256" t="s">
        <v>1354</v>
      </c>
      <c r="F53" s="2340">
        <f>'数据-取费表'!B41</f>
        <v>0</v>
      </c>
      <c r="G53" s="2341"/>
      <c r="H53" s="2331"/>
      <c r="I53" s="1669"/>
      <c r="J53" s="2310">
        <v>2</v>
      </c>
      <c r="K53" s="3277" t="s">
        <v>1357</v>
      </c>
      <c r="L53" s="3277"/>
      <c r="M53" s="2312" t="e">
        <f t="shared" ref="M53:O54" ca="1" si="0">D55</f>
        <v>#REF!</v>
      </c>
      <c r="N53" s="2310" t="str">
        <f t="shared" si="0"/>
        <v>销售额×税（费）率</v>
      </c>
      <c r="O53" s="2313" t="str">
        <f t="shared" si="0"/>
        <v>免征</v>
      </c>
    </row>
    <row r="54" spans="1:35" ht="12" customHeight="1">
      <c r="A54" s="2153" t="s">
        <v>1358</v>
      </c>
      <c r="B54" s="3301" t="s">
        <v>2292</v>
      </c>
      <c r="C54" s="3302"/>
      <c r="D54" s="1024" t="e">
        <f ca="1">C68</f>
        <v>#REF!</v>
      </c>
      <c r="E54" s="319" t="s">
        <v>1359</v>
      </c>
      <c r="F54" s="2340">
        <f>'数据-取费表'!B41</f>
        <v>0</v>
      </c>
      <c r="G54" s="2341"/>
      <c r="H54" s="2342"/>
      <c r="I54" s="1669"/>
      <c r="J54" s="2310">
        <v>3</v>
      </c>
      <c r="K54" s="3277" t="s">
        <v>1360</v>
      </c>
      <c r="L54" s="3277"/>
      <c r="M54" s="2312" t="e">
        <f t="shared" ca="1" si="0"/>
        <v>#REF!</v>
      </c>
      <c r="N54" s="2310" t="str">
        <f t="shared" si="0"/>
        <v>增值额×税（费）率</v>
      </c>
      <c r="O54" s="2314" t="str">
        <f t="shared" si="0"/>
        <v>免征</v>
      </c>
    </row>
    <row r="55" spans="1:35" ht="24" customHeight="1">
      <c r="A55" s="3337" t="s">
        <v>1361</v>
      </c>
      <c r="B55" s="3315"/>
      <c r="C55" s="3315"/>
      <c r="D55" s="12" t="e">
        <f ca="1">IF(H55="个人住宅",0,ROUND(D45*I55,0))</f>
        <v>#REF!</v>
      </c>
      <c r="E55" s="1256" t="s">
        <v>1362</v>
      </c>
      <c r="F55" s="2340" t="str">
        <f>IF(H55="正常",I55,"免征")</f>
        <v>免征</v>
      </c>
      <c r="G55" s="2341"/>
      <c r="H55" s="2337"/>
      <c r="I55" s="157">
        <f>'数据-取费表'!B49</f>
        <v>0</v>
      </c>
      <c r="J55" s="2310">
        <f>IF(H59="非个人房产","",4)</f>
        <v>4</v>
      </c>
      <c r="K55" s="3277" t="str">
        <f>IF(H59="非个人房产","——","个人所得税")</f>
        <v>个人所得税</v>
      </c>
      <c r="L55" s="3277"/>
      <c r="M55" s="2315" t="e">
        <f ca="1">D59</f>
        <v>#REF!</v>
      </c>
      <c r="N55" s="1883" t="str">
        <f>E59</f>
        <v>差额计税</v>
      </c>
      <c r="O55" s="2316">
        <f>F59</f>
        <v>0.01</v>
      </c>
    </row>
    <row r="56" spans="1:35" ht="24.75">
      <c r="A56" s="3337" t="s">
        <v>1363</v>
      </c>
      <c r="B56" s="3315"/>
      <c r="C56" s="3315"/>
      <c r="D56" s="12" t="e">
        <f ca="1">IF(H56="个人住宅",D57,D58)</f>
        <v>#REF!</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2.75">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0</v>
      </c>
      <c r="O57" s="2320"/>
      <c r="P57" s="2465" t="e">
        <f ca="1">N57/M49</f>
        <v>#VALUE!</v>
      </c>
    </row>
    <row r="58" spans="1:35" ht="24.75">
      <c r="A58" s="2153" t="s">
        <v>1352</v>
      </c>
      <c r="B58" s="3301" t="s">
        <v>1369</v>
      </c>
      <c r="C58" s="3300"/>
      <c r="D58" s="12" t="e">
        <f ca="1">IF(H58="转让取得",C81,C97)</f>
        <v>#REF!</v>
      </c>
      <c r="E58" s="1256" t="s">
        <v>1364</v>
      </c>
      <c r="F58" s="294" t="s">
        <v>28</v>
      </c>
      <c r="G58" s="2341"/>
      <c r="H58" s="2344"/>
      <c r="I58" s="1670"/>
      <c r="J58" s="3277"/>
      <c r="K58" s="3277"/>
      <c r="L58" s="2317" t="s">
        <v>1370</v>
      </c>
      <c r="M58" s="2321"/>
      <c r="N58" s="2322" t="str">
        <f ca="1">NUMBERSTRING(INT(N57*10000),2)&amp;"元整"</f>
        <v>零元整</v>
      </c>
      <c r="O58" s="2323"/>
    </row>
    <row r="59" spans="1:35" ht="24.75" thickBot="1">
      <c r="A59" s="3281" t="s">
        <v>1371</v>
      </c>
      <c r="B59" s="3282"/>
      <c r="C59" s="328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9">
        <f>J57+1</f>
        <v>6</v>
      </c>
      <c r="K59" s="3277" t="s">
        <v>1372</v>
      </c>
      <c r="L59" s="2310" t="s">
        <v>1368</v>
      </c>
      <c r="M59" s="2324"/>
      <c r="N59" s="2325" t="e">
        <f ca="1">M49-N57</f>
        <v>#VALUE!</v>
      </c>
      <c r="O59" s="2326"/>
    </row>
    <row r="60" spans="1:35" ht="12" customHeight="1">
      <c r="A60" s="1671"/>
      <c r="B60" s="646"/>
      <c r="C60" s="646"/>
      <c r="D60" s="646"/>
      <c r="E60" s="1466"/>
      <c r="F60" s="1670"/>
      <c r="G60" s="1670"/>
      <c r="H60" s="151"/>
      <c r="I60" s="121"/>
      <c r="J60" s="3280"/>
      <c r="K60" s="3277"/>
      <c r="L60" s="2317" t="s">
        <v>1370</v>
      </c>
      <c r="M60" s="2321"/>
      <c r="N60" s="2322" t="e">
        <f ca="1">NUMBERSTRING(INT(N59*10000),2)&amp;"元整"</f>
        <v>#VALUE!</v>
      </c>
      <c r="O60" s="2323"/>
    </row>
    <row r="61" spans="1:35" ht="13.5" thickBot="1">
      <c r="A61" s="3336" t="s">
        <v>1373</v>
      </c>
      <c r="B61" s="3336"/>
      <c r="C61" s="3336"/>
      <c r="D61" s="3336"/>
      <c r="E61" s="3336"/>
      <c r="F61" s="1670"/>
      <c r="G61" s="1670"/>
      <c r="H61" s="151"/>
      <c r="I61" s="121"/>
      <c r="J61" s="2310">
        <f>J59+1</f>
        <v>7</v>
      </c>
      <c r="K61" s="3277" t="s">
        <v>1374</v>
      </c>
      <c r="L61" s="3277"/>
      <c r="M61" s="2327"/>
      <c r="N61" s="2328" t="e">
        <f ca="1">ROUND(N59*10000/'数据-汇总表'!E3,0)</f>
        <v>#VALUE!</v>
      </c>
      <c r="O61" s="2329"/>
    </row>
    <row r="62" spans="1:35" ht="12.75">
      <c r="A62" s="3296" t="s">
        <v>1375</v>
      </c>
      <c r="B62" s="3297"/>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6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0"/>
      <c r="K69" s="1245" t="s">
        <v>1393</v>
      </c>
      <c r="L69" s="1245"/>
      <c r="M69" s="294" t="e">
        <f>ROUND(SUM(M63:M68),0)</f>
        <v>#VALUE!</v>
      </c>
      <c r="N69" s="2332" t="e">
        <f>M69/M49</f>
        <v>#VALUE!</v>
      </c>
      <c r="Z69" s="1623"/>
      <c r="AI69" s="1561"/>
    </row>
    <row r="70" spans="1:35" s="642" customFormat="1" ht="1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2" t="s">
        <v>2129</v>
      </c>
      <c r="H90" s="326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f>C4</f>
        <v>0</v>
      </c>
      <c r="D101" s="2372">
        <f>D4</f>
        <v>0</v>
      </c>
      <c r="E101" s="3256" t="s">
        <v>1431</v>
      </c>
      <c r="F101" s="3257"/>
      <c r="G101" s="1687" t="s">
        <v>1432</v>
      </c>
      <c r="H101" s="2381" t="e">
        <f ca="1">H118</f>
        <v>#REF!</v>
      </c>
      <c r="I101" s="121"/>
    </row>
    <row r="102" spans="1:35" ht="18.75" customHeight="1">
      <c r="A102" s="3288" t="s">
        <v>1433</v>
      </c>
      <c r="B102" s="2370" t="s">
        <v>1432</v>
      </c>
      <c r="C102" s="2371" t="e">
        <f ca="1">IF(D32="楼面单价",ROUND(C19,0),C19)</f>
        <v>#REF!</v>
      </c>
      <c r="D102" s="2372" t="e">
        <f ca="1">IF(D32="楼面单价",ROUND(D19,0),D19)</f>
        <v>#REF!</v>
      </c>
      <c r="E102" s="3256"/>
      <c r="F102" s="3257"/>
      <c r="G102" s="1687" t="s">
        <v>1434</v>
      </c>
      <c r="H102" s="2341" t="e">
        <f ca="1">I118</f>
        <v>#REF!</v>
      </c>
      <c r="I102" s="121"/>
    </row>
    <row r="103" spans="1:35" ht="42.75" customHeight="1">
      <c r="A103" s="3288"/>
      <c r="B103" s="2370" t="s">
        <v>1434</v>
      </c>
      <c r="C103" s="2373" t="e">
        <f ca="1">C20</f>
        <v>#REF!</v>
      </c>
      <c r="D103" s="2374" t="e">
        <f ca="1">D20</f>
        <v>#REF!</v>
      </c>
      <c r="E103" s="3249" t="s">
        <v>1435</v>
      </c>
      <c r="F103" s="3250"/>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t="e">
        <f ca="1">IF(E107="——","——",H101-H103)</f>
        <v>#REF!</v>
      </c>
      <c r="I107" s="121"/>
    </row>
    <row r="108" spans="1:35" ht="18.75" customHeight="1">
      <c r="A108" s="121"/>
      <c r="B108" s="121"/>
      <c r="C108" s="121"/>
      <c r="D108" s="121"/>
      <c r="E108" s="3289"/>
      <c r="F108" s="3257"/>
      <c r="G108" s="1687" t="s">
        <v>1434</v>
      </c>
      <c r="H108" s="2341">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4" t="s">
        <v>1452</v>
      </c>
      <c r="B119" s="3264"/>
      <c r="C119" s="3264"/>
      <c r="D119" s="3270" t="e">
        <f ca="1">NUMBERSTRING(INT(D118*10000),2)&amp;"元整"</f>
        <v>#REF!</v>
      </c>
      <c r="E119" s="3271"/>
      <c r="F119" s="3270" t="e">
        <f ca="1">NUMBERSTRING(INT(F118*10000),2)&amp;"元整"</f>
        <v>#REF!</v>
      </c>
      <c r="G119" s="3271"/>
      <c r="H119" s="3270" t="e">
        <f ca="1">NUMBERSTRING(INT(H118*10000),2)&amp;"元整"</f>
        <v>#REF!</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t="e">
        <f ca="1">H107</f>
        <v>#REF!</v>
      </c>
      <c r="E122" s="3266"/>
      <c r="F122" s="3266"/>
      <c r="G122" s="3266"/>
      <c r="H122" s="3266"/>
      <c r="I122" s="3267"/>
      <c r="AA122" s="684"/>
    </row>
    <row r="123" spans="1:27" ht="18.75" customHeight="1">
      <c r="A123" s="3264" t="s">
        <v>1452</v>
      </c>
      <c r="B123" s="3264"/>
      <c r="C123" s="3264"/>
      <c r="D123" s="3270" t="e">
        <f ca="1">NUMBERSTRING(INT(D122*10000),2)&amp;"元整"</f>
        <v>#REF!</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3" t="s">
        <v>1544</v>
      </c>
    </row>
    <row r="43" spans="1:7" ht="13.5" customHeight="1">
      <c r="A43" s="734" t="s">
        <v>347</v>
      </c>
      <c r="B43" s="207" t="s">
        <v>1545</v>
      </c>
      <c r="C43" s="230" t="e">
        <f ca="1">ROUND(IF('数据-取费表'!B22&lt;=1,C39*F22*'数据-取费表'!B21/2,C39*(POWER((1+F22),'数据-取费表'!B21/2)-1)),0)</f>
        <v>#VALUE!</v>
      </c>
      <c r="D43" s="230"/>
      <c r="E43" s="230"/>
      <c r="F43" s="231"/>
      <c r="G43" s="3344"/>
    </row>
    <row r="44" spans="1:7" ht="13.5" customHeight="1">
      <c r="A44" s="734" t="s">
        <v>348</v>
      </c>
      <c r="B44" s="207" t="s">
        <v>1546</v>
      </c>
      <c r="C44" s="230" t="e">
        <f ca="1">ROUND(IF('数据-取费表'!B22&lt;=1,C40*F22*'数据-取费表'!B21/2,C40*(POWER((1+F22),'数据-取费表'!B21/2)-1)),4)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3" t="s">
        <v>1591</v>
      </c>
    </row>
    <row r="43" spans="1:7" ht="13.5" customHeight="1">
      <c r="A43" s="734" t="s">
        <v>347</v>
      </c>
      <c r="B43" s="207" t="s">
        <v>1545</v>
      </c>
      <c r="C43" s="230" t="e">
        <f ca="1">ROUND(IF('数据-取费表'!B22&lt;=1,C39*F22*'数据-取费表'!B20/2,C39*(POWER((1+F22),'数据-取费表'!B20/2)-1)),0)</f>
        <v>#VALUE!</v>
      </c>
      <c r="D43" s="230"/>
      <c r="E43" s="230"/>
      <c r="F43" s="231"/>
      <c r="G43" s="3344"/>
    </row>
    <row r="44" spans="1:7" ht="13.5" customHeight="1">
      <c r="A44" s="734" t="s">
        <v>348</v>
      </c>
      <c r="B44" s="207" t="s">
        <v>1546</v>
      </c>
      <c r="C44" s="230" t="e">
        <f ca="1">ROUND(IF('数据-取费表'!B22&lt;=1,C40*F22*'数据-取费表'!B20/2,C40*(POWER((1+F22),'数据-取费表'!B20/2)-1)),4)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3358</v>
      </c>
      <c r="B45" s="1307"/>
      <c r="C45" s="1376" t="e">
        <f ca="1">ROUND((C68-C40)/10000,4)</f>
        <v>#VALUE!</v>
      </c>
      <c r="D45" s="3131" t="s">
        <v>3359</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3365</v>
      </c>
      <c r="E2" s="3140"/>
      <c r="F2" s="2598"/>
      <c r="G2" s="2599"/>
      <c r="H2" s="2600"/>
      <c r="I2" s="2601"/>
      <c r="J2" s="3351" t="s">
        <v>2321</v>
      </c>
      <c r="K2" s="3352"/>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53" t="s">
        <v>2331</v>
      </c>
      <c r="K3" s="3354"/>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53" t="s">
        <v>2333</v>
      </c>
      <c r="K4" s="3354"/>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55" t="s">
        <v>2337</v>
      </c>
      <c r="B6" s="3356"/>
      <c r="C6" s="3357"/>
      <c r="D6" s="2622"/>
      <c r="E6" s="2623"/>
      <c r="F6" s="2624"/>
      <c r="G6" s="2625"/>
      <c r="H6" s="2600"/>
      <c r="I6" s="2601"/>
      <c r="J6" s="3358">
        <v>1</v>
      </c>
      <c r="K6" s="3359"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58"/>
      <c r="K7" s="3360"/>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62" t="s">
        <v>2351</v>
      </c>
      <c r="C8" s="3363"/>
      <c r="D8" s="2641" t="s">
        <v>2352</v>
      </c>
      <c r="E8" s="2642" t="s">
        <v>2353</v>
      </c>
      <c r="F8" s="2643" t="s">
        <v>2354</v>
      </c>
      <c r="G8" s="2644"/>
      <c r="H8" s="2600"/>
      <c r="I8" s="2601"/>
      <c r="J8" s="3358"/>
      <c r="K8" s="3360"/>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62" t="s">
        <v>2357</v>
      </c>
      <c r="C9" s="3363"/>
      <c r="D9" s="2641">
        <f>ROUND(D6*E9,0)</f>
        <v>0</v>
      </c>
      <c r="E9" s="2645"/>
      <c r="F9" s="2646" t="s">
        <v>2358</v>
      </c>
      <c r="G9" s="2625"/>
      <c r="H9" s="2600"/>
      <c r="I9" s="2601"/>
      <c r="J9" s="3358"/>
      <c r="K9" s="3360"/>
      <c r="L9" s="2635" t="s">
        <v>2359</v>
      </c>
      <c r="M9" s="2636"/>
      <c r="N9" s="2612"/>
      <c r="O9" s="2637"/>
      <c r="P9" s="2637"/>
      <c r="Q9" s="2638">
        <v>365</v>
      </c>
      <c r="R9" s="2639">
        <f t="shared" si="0"/>
        <v>0</v>
      </c>
      <c r="S9" s="2593"/>
      <c r="T9" s="2593"/>
      <c r="U9" s="2593"/>
      <c r="V9" s="2601"/>
    </row>
    <row r="10" spans="1:22" s="2605" customFormat="1" ht="13.15" customHeight="1">
      <c r="A10" s="2640">
        <v>2</v>
      </c>
      <c r="B10" s="3362" t="s">
        <v>2360</v>
      </c>
      <c r="C10" s="3363"/>
      <c r="D10" s="2641">
        <f>ROUND(D6*E10,0)</f>
        <v>0</v>
      </c>
      <c r="E10" s="2645"/>
      <c r="F10" s="2646" t="s">
        <v>2361</v>
      </c>
      <c r="G10" s="2625"/>
      <c r="H10" s="2600"/>
      <c r="I10" s="2601"/>
      <c r="J10" s="3358"/>
      <c r="K10" s="3360"/>
      <c r="L10" s="2635" t="s">
        <v>2362</v>
      </c>
      <c r="M10" s="2636"/>
      <c r="N10" s="2612"/>
      <c r="O10" s="2637"/>
      <c r="P10" s="2637"/>
      <c r="Q10" s="2638">
        <v>365</v>
      </c>
      <c r="R10" s="2639">
        <f t="shared" si="0"/>
        <v>0</v>
      </c>
      <c r="S10" s="2593"/>
      <c r="T10" s="2593"/>
      <c r="U10" s="2593"/>
      <c r="V10" s="2601"/>
    </row>
    <row r="11" spans="1:22" s="2605" customFormat="1" ht="13.15" customHeight="1">
      <c r="A11" s="2640">
        <v>3</v>
      </c>
      <c r="B11" s="3362" t="s">
        <v>2363</v>
      </c>
      <c r="C11" s="3363"/>
      <c r="D11" s="2641">
        <f>D12+D14+D15+D16</f>
        <v>0</v>
      </c>
      <c r="E11" s="2647" t="e">
        <f>D11/D6</f>
        <v>#DIV/0!</v>
      </c>
      <c r="F11" s="2643"/>
      <c r="G11" s="2644"/>
      <c r="H11" s="2600"/>
      <c r="I11" s="2601"/>
      <c r="J11" s="3358"/>
      <c r="K11" s="3360"/>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64" t="s">
        <v>2366</v>
      </c>
      <c r="C12" s="3365"/>
      <c r="D12" s="2649">
        <f>ROUND(D13*1.2%*(1-30%),0)</f>
        <v>0</v>
      </c>
      <c r="E12" s="2650">
        <v>1.2E-2</v>
      </c>
      <c r="F12" s="2643" t="s">
        <v>2367</v>
      </c>
      <c r="G12" s="2644"/>
      <c r="H12" s="2600"/>
      <c r="I12" s="2601"/>
      <c r="J12" s="3358"/>
      <c r="K12" s="3360"/>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58"/>
      <c r="K13" s="3360"/>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64" t="s">
        <v>2372</v>
      </c>
      <c r="C14" s="3365"/>
      <c r="D14" s="2649">
        <f>ROUND(E14*B5/10000,0)</f>
        <v>0</v>
      </c>
      <c r="E14" s="2638"/>
      <c r="F14" s="2643" t="s">
        <v>2373</v>
      </c>
      <c r="G14" s="2644"/>
      <c r="H14" s="2600"/>
      <c r="I14" s="2601"/>
      <c r="J14" s="3358"/>
      <c r="K14" s="3361"/>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64" t="s">
        <v>2376</v>
      </c>
      <c r="C15" s="3365"/>
      <c r="D15" s="2649">
        <f>ROUND(D6*E15,0)</f>
        <v>0</v>
      </c>
      <c r="E15" s="2650">
        <v>5.5E-2</v>
      </c>
      <c r="F15" s="2643" t="s">
        <v>2377</v>
      </c>
      <c r="G15" s="2625"/>
      <c r="H15" s="2600"/>
      <c r="I15" s="2601"/>
      <c r="J15" s="3358">
        <v>2</v>
      </c>
      <c r="K15" s="3359"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64" t="s">
        <v>2385</v>
      </c>
      <c r="C16" s="3365"/>
      <c r="D16" s="2660">
        <f>D6*E16</f>
        <v>0</v>
      </c>
      <c r="E16" s="2661"/>
      <c r="F16" s="2646" t="s">
        <v>2386</v>
      </c>
      <c r="G16" s="2625"/>
      <c r="H16" s="2600"/>
      <c r="I16" s="2601"/>
      <c r="J16" s="3358"/>
      <c r="K16" s="3360"/>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2388</v>
      </c>
      <c r="C17" s="3367"/>
      <c r="D17" s="2663">
        <f>ROUND(D6*E17,0)</f>
        <v>0</v>
      </c>
      <c r="E17" s="2664"/>
      <c r="F17" s="2665" t="s">
        <v>2389</v>
      </c>
      <c r="G17" s="2625"/>
      <c r="H17" s="2600"/>
      <c r="I17" s="2601"/>
      <c r="J17" s="3358"/>
      <c r="K17" s="3360"/>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58"/>
      <c r="K18" s="3360"/>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58"/>
      <c r="K19" s="3361"/>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8">
        <v>3</v>
      </c>
      <c r="K20" s="3359"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58"/>
      <c r="K21" s="3360"/>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58"/>
      <c r="K22" s="3360"/>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58"/>
      <c r="K23" s="3360"/>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58"/>
      <c r="K24" s="3361"/>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68">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6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51" t="s">
        <v>2321</v>
      </c>
      <c r="K32" s="3352"/>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53" t="s">
        <v>2331</v>
      </c>
      <c r="K33" s="3354"/>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53" t="s">
        <v>2333</v>
      </c>
      <c r="K34" s="335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58">
        <v>1</v>
      </c>
      <c r="K36" s="3359"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58"/>
      <c r="K37" s="3360"/>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8"/>
      <c r="K38" s="3360"/>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58"/>
      <c r="K39" s="3360"/>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58"/>
      <c r="K40" s="3361"/>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8">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6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0" t="s">
        <v>1654</v>
      </c>
      <c r="C5" s="3371"/>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C16" zoomScaleNormal="60" zoomScaleSheetLayoutView="100" workbookViewId="0">
      <selection activeCell="K32" sqref="K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3390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7"/>
      <c r="M4" s="2488"/>
      <c r="N4" s="2488"/>
      <c r="O4" s="2488"/>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ht="15">
      <c r="A5" s="348"/>
      <c r="B5" s="349"/>
      <c r="C5" s="3383" t="s">
        <v>1673</v>
      </c>
      <c r="D5" s="3384"/>
      <c r="E5" s="3381" t="str">
        <f>住宅!C13</f>
        <v>月亮湾晓镇</v>
      </c>
      <c r="F5" s="3382"/>
      <c r="G5" s="3383" t="str">
        <f>住宅!C14</f>
        <v>欢乐嘉苑</v>
      </c>
      <c r="H5" s="3384"/>
      <c r="I5" s="3383" t="str">
        <f>住宅!C17</f>
        <v>运潮馨苑</v>
      </c>
      <c r="J5" s="3384"/>
      <c r="K5" s="1745"/>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1745"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1746"/>
      <c r="L7" s="2489"/>
      <c r="M7" s="2440"/>
      <c r="N7" s="2440"/>
      <c r="O7" s="2440"/>
      <c r="P7" s="3375" t="s">
        <v>1680</v>
      </c>
      <c r="Q7" s="3403"/>
      <c r="R7" s="664" t="s">
        <v>20</v>
      </c>
      <c r="S7" s="665">
        <f t="shared" ref="S7:S15" si="0">F7</f>
        <v>100</v>
      </c>
      <c r="T7" s="664" t="s">
        <v>20</v>
      </c>
      <c r="U7" s="665">
        <f t="shared" ref="U7:U15" si="1">H7</f>
        <v>100</v>
      </c>
      <c r="V7" s="664" t="s">
        <v>20</v>
      </c>
      <c r="W7" s="665">
        <f t="shared" ref="W7:W15" si="2">J7</f>
        <v>100</v>
      </c>
      <c r="X7" s="666"/>
      <c r="Y7" s="3375" t="s">
        <v>1680</v>
      </c>
      <c r="Z7" s="3376"/>
      <c r="AA7" s="50">
        <f>D7/F7</f>
        <v>1</v>
      </c>
      <c r="AB7" s="50">
        <f>D7/H7</f>
        <v>1</v>
      </c>
      <c r="AC7" s="50">
        <f>D7/J7</f>
        <v>1</v>
      </c>
    </row>
    <row r="8" spans="1:29" s="102" customFormat="1" ht="15.75" thickBot="1">
      <c r="A8" s="352" t="s">
        <v>1681</v>
      </c>
      <c r="B8" s="353"/>
      <c r="C8" s="358" t="s">
        <v>3382</v>
      </c>
      <c r="D8" s="355">
        <v>100</v>
      </c>
      <c r="E8" s="1747" t="s">
        <v>3434</v>
      </c>
      <c r="F8" s="357">
        <f>SUMIF(61:61,E8,62:62)-SUMIF(61:61,C8,62:62)+100</f>
        <v>105</v>
      </c>
      <c r="G8" s="358" t="s">
        <v>3434</v>
      </c>
      <c r="H8" s="355">
        <f>SUMIF(61:61,G8,62:62)-SUMIF(61:61,C8,62:62)+100</f>
        <v>105</v>
      </c>
      <c r="I8" s="1747" t="s">
        <v>3434</v>
      </c>
      <c r="J8" s="355">
        <f>SUMIF(61:61,I8,62:62)-SUMIF(61:61,C8,62:62)+100</f>
        <v>105</v>
      </c>
      <c r="K8" s="1746"/>
      <c r="L8" s="2489"/>
      <c r="M8" s="2440"/>
      <c r="N8" s="2440"/>
      <c r="O8" s="2440"/>
      <c r="P8" s="3375" t="s">
        <v>1683</v>
      </c>
      <c r="Q8" s="3376"/>
      <c r="R8" s="664" t="s">
        <v>20</v>
      </c>
      <c r="S8" s="665">
        <f t="shared" si="0"/>
        <v>105</v>
      </c>
      <c r="T8" s="664" t="s">
        <v>20</v>
      </c>
      <c r="U8" s="665">
        <f t="shared" si="1"/>
        <v>105</v>
      </c>
      <c r="V8" s="664" t="s">
        <v>20</v>
      </c>
      <c r="W8" s="665">
        <f t="shared" si="2"/>
        <v>105</v>
      </c>
      <c r="X8" s="666"/>
      <c r="Y8" s="3375" t="s">
        <v>1683</v>
      </c>
      <c r="Z8" s="3376"/>
      <c r="AA8" s="50">
        <f t="shared" ref="AA8:AA19" si="3">D8/F8</f>
        <v>0.95238095238095233</v>
      </c>
      <c r="AB8" s="50">
        <f t="shared" ref="AB8:AB19" si="4">D8/H8</f>
        <v>0.95238095238095233</v>
      </c>
      <c r="AC8" s="50">
        <f t="shared" ref="AC8:AC19" si="5">D8/J8</f>
        <v>0.95238095238095233</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89"/>
      <c r="Q11" s="530" t="str">
        <f t="shared" si="6"/>
        <v>容积率</v>
      </c>
      <c r="R11" s="664" t="s">
        <v>18</v>
      </c>
      <c r="S11" s="665">
        <f t="shared" si="0"/>
        <v>100</v>
      </c>
      <c r="T11" s="664" t="s">
        <v>18</v>
      </c>
      <c r="U11" s="665">
        <f t="shared" si="1"/>
        <v>100</v>
      </c>
      <c r="V11" s="664" t="s">
        <v>18</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102</v>
      </c>
      <c r="G15" s="381"/>
      <c r="H15" s="380">
        <f>SUMIF(76:76,G16,77:77)-SUMIF(76:76,C16,77:77)+100</f>
        <v>102</v>
      </c>
      <c r="I15" s="381"/>
      <c r="J15" s="380">
        <f>SUMIF(76:76,I16,77:77)-SUMIF(76:76,C16,77:77)+100</f>
        <v>100</v>
      </c>
      <c r="K15" s="384">
        <v>2</v>
      </c>
      <c r="L15" s="2493"/>
      <c r="M15" s="2488"/>
      <c r="N15" s="2488"/>
      <c r="O15" s="2488"/>
      <c r="P15" s="3415" t="s">
        <v>1691</v>
      </c>
      <c r="Q15" s="1263" t="str">
        <f t="shared" si="6"/>
        <v>居住社区成熟度</v>
      </c>
      <c r="R15" s="667" t="s">
        <v>18</v>
      </c>
      <c r="S15" s="668">
        <f t="shared" si="0"/>
        <v>102</v>
      </c>
      <c r="T15" s="667" t="s">
        <v>18</v>
      </c>
      <c r="U15" s="668">
        <f t="shared" si="1"/>
        <v>102</v>
      </c>
      <c r="V15" s="667" t="s">
        <v>18</v>
      </c>
      <c r="W15" s="668">
        <f t="shared" si="2"/>
        <v>100</v>
      </c>
      <c r="X15" s="1265"/>
      <c r="Y15" s="3408" t="s">
        <v>1691</v>
      </c>
      <c r="Z15" s="1264" t="str">
        <f t="shared" si="7"/>
        <v>居住社区成熟度</v>
      </c>
      <c r="AA15" s="1264">
        <f t="shared" si="3"/>
        <v>0.98039215686274506</v>
      </c>
      <c r="AB15" s="1264">
        <f t="shared" si="4"/>
        <v>0.98039215686274506</v>
      </c>
      <c r="AC15" s="1264">
        <f t="shared" si="5"/>
        <v>1</v>
      </c>
    </row>
    <row r="16" spans="1:29" ht="15">
      <c r="A16" s="367"/>
      <c r="B16" s="385"/>
      <c r="C16" s="386" t="s">
        <v>3385</v>
      </c>
      <c r="D16" s="387"/>
      <c r="E16" s="1751" t="s">
        <v>3384</v>
      </c>
      <c r="F16" s="387"/>
      <c r="G16" s="1752" t="s">
        <v>3384</v>
      </c>
      <c r="H16" s="389"/>
      <c r="I16" s="3156" t="s">
        <v>3385</v>
      </c>
      <c r="J16" s="387"/>
      <c r="K16" s="1753"/>
      <c r="L16" s="2493"/>
      <c r="M16" s="2488"/>
      <c r="N16" s="2488"/>
      <c r="O16" s="2488"/>
      <c r="P16" s="3416"/>
      <c r="Q16" s="1263"/>
      <c r="R16" s="667"/>
      <c r="S16" s="668"/>
      <c r="T16" s="667"/>
      <c r="U16" s="668"/>
      <c r="V16" s="667"/>
      <c r="W16" s="668"/>
      <c r="X16" s="1265"/>
      <c r="Y16" s="340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3</v>
      </c>
      <c r="L17" s="2493"/>
      <c r="M17" s="2488"/>
      <c r="N17" s="2488"/>
      <c r="O17" s="2488"/>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t="s">
        <v>3384</v>
      </c>
      <c r="D18" s="389"/>
      <c r="E18" s="1756" t="s">
        <v>3384</v>
      </c>
      <c r="F18" s="389"/>
      <c r="G18" s="1757" t="s">
        <v>3384</v>
      </c>
      <c r="H18" s="387"/>
      <c r="I18" s="1757" t="s">
        <v>3384</v>
      </c>
      <c r="J18" s="387"/>
      <c r="K18" s="1753"/>
      <c r="L18" s="2493"/>
      <c r="M18" s="2488"/>
      <c r="N18" s="2488"/>
      <c r="O18" s="2488"/>
      <c r="P18" s="3416"/>
      <c r="Q18" s="1263"/>
      <c r="R18" s="667"/>
      <c r="S18" s="668"/>
      <c r="T18" s="667"/>
      <c r="U18" s="668"/>
      <c r="V18" s="667"/>
      <c r="W18" s="668"/>
      <c r="X18" s="1265"/>
      <c r="Y18" s="340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t="s">
        <v>3384</v>
      </c>
      <c r="D20" s="387"/>
      <c r="E20" s="1751" t="s">
        <v>3389</v>
      </c>
      <c r="F20" s="387"/>
      <c r="G20" s="1752" t="s">
        <v>3389</v>
      </c>
      <c r="H20" s="387"/>
      <c r="I20" s="1752" t="s">
        <v>3389</v>
      </c>
      <c r="J20" s="387"/>
      <c r="K20" s="1753"/>
      <c r="L20" s="2493"/>
      <c r="M20" s="2488"/>
      <c r="N20" s="2488"/>
      <c r="O20" s="2488"/>
      <c r="P20" s="3416"/>
      <c r="Q20" s="1263"/>
      <c r="R20" s="667"/>
      <c r="S20" s="668"/>
      <c r="T20" s="667"/>
      <c r="U20" s="668"/>
      <c r="V20" s="667"/>
      <c r="W20" s="668"/>
      <c r="X20" s="1265"/>
      <c r="Y20" s="340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6"/>
      <c r="Q22" s="1263"/>
      <c r="R22" s="667"/>
      <c r="S22" s="668"/>
      <c r="T22" s="667"/>
      <c r="U22" s="668"/>
      <c r="V22" s="667"/>
      <c r="W22" s="668"/>
      <c r="X22" s="1265"/>
      <c r="Y22" s="340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102</v>
      </c>
      <c r="G23" s="391"/>
      <c r="H23" s="389">
        <f>SUMIF(84:84,G24,85:85)-SUMIF(84:84,C24,85:85)+100</f>
        <v>100</v>
      </c>
      <c r="I23" s="391"/>
      <c r="J23" s="389">
        <f>SUMIF(84:84,I24,85:85)-SUMIF(84:84,C24,85:85)+100</f>
        <v>102</v>
      </c>
      <c r="K23" s="384">
        <v>2</v>
      </c>
      <c r="L23" s="2493"/>
      <c r="M23" s="2488"/>
      <c r="N23" s="2488"/>
      <c r="O23" s="2488"/>
      <c r="P23" s="3416"/>
      <c r="Q23" s="1263" t="str">
        <f>B23</f>
        <v>自然及人文环境</v>
      </c>
      <c r="R23" s="667" t="s">
        <v>18</v>
      </c>
      <c r="S23" s="668">
        <f>F23</f>
        <v>102</v>
      </c>
      <c r="T23" s="667" t="s">
        <v>18</v>
      </c>
      <c r="U23" s="668">
        <f>H23</f>
        <v>100</v>
      </c>
      <c r="V23" s="667" t="s">
        <v>18</v>
      </c>
      <c r="W23" s="668">
        <f>J23</f>
        <v>102</v>
      </c>
      <c r="X23" s="1265"/>
      <c r="Y23" s="3409"/>
      <c r="Z23" s="1264" t="str">
        <f>Q23</f>
        <v>自然及人文环境</v>
      </c>
      <c r="AA23" s="1264">
        <f>D23/F23</f>
        <v>0.98039215686274506</v>
      </c>
      <c r="AB23" s="1264">
        <f>D23/H23</f>
        <v>1</v>
      </c>
      <c r="AC23" s="1264">
        <f>D23/J23</f>
        <v>0.98039215686274506</v>
      </c>
    </row>
    <row r="24" spans="1:29" ht="15">
      <c r="A24" s="367"/>
      <c r="B24" s="395"/>
      <c r="C24" s="386" t="s">
        <v>3385</v>
      </c>
      <c r="D24" s="387"/>
      <c r="E24" s="1751" t="s">
        <v>3384</v>
      </c>
      <c r="F24" s="387"/>
      <c r="G24" s="1752" t="s">
        <v>3385</v>
      </c>
      <c r="H24" s="387"/>
      <c r="I24" s="1752" t="s">
        <v>3384</v>
      </c>
      <c r="J24" s="387"/>
      <c r="K24" s="1753"/>
      <c r="L24" s="2493"/>
      <c r="M24" s="2488"/>
      <c r="N24" s="2488"/>
      <c r="O24" s="2488"/>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t="s">
        <v>3432</v>
      </c>
      <c r="D32" s="405">
        <v>100</v>
      </c>
      <c r="E32" s="1765" t="s">
        <v>3430</v>
      </c>
      <c r="F32" s="400">
        <f>SUMIF(100:100,E32,101:101)-SUMIF(100:100,C32,101:101)+100</f>
        <v>102</v>
      </c>
      <c r="G32" s="1765" t="s">
        <v>3430</v>
      </c>
      <c r="H32" s="405">
        <f>SUMIF(100:100,G32,101:101)-SUMIF(100:100,C32,101:101)+100</f>
        <v>102</v>
      </c>
      <c r="I32" s="1765" t="s">
        <v>3430</v>
      </c>
      <c r="J32" s="374">
        <f>SUMIF(100:100,I32,101:101)-SUMIF(100:100,C32,101:101)+100</f>
        <v>102</v>
      </c>
      <c r="K32" s="365">
        <v>2</v>
      </c>
      <c r="L32" s="2493"/>
      <c r="M32" s="2488"/>
      <c r="N32" s="2488"/>
      <c r="O32" s="2488"/>
      <c r="P32" s="3410" t="s">
        <v>1696</v>
      </c>
      <c r="Q32" s="1263" t="str">
        <f t="shared" si="11"/>
        <v>建筑类型</v>
      </c>
      <c r="R32" s="667" t="s">
        <v>18</v>
      </c>
      <c r="S32" s="668">
        <f t="shared" si="12"/>
        <v>102</v>
      </c>
      <c r="T32" s="667" t="s">
        <v>18</v>
      </c>
      <c r="U32" s="668">
        <f t="shared" si="13"/>
        <v>102</v>
      </c>
      <c r="V32" s="667" t="s">
        <v>18</v>
      </c>
      <c r="W32" s="668">
        <f t="shared" si="14"/>
        <v>102</v>
      </c>
      <c r="X32" s="1265"/>
      <c r="Y32" s="3413" t="s">
        <v>1696</v>
      </c>
      <c r="Z32" s="1264" t="str">
        <f t="shared" si="18"/>
        <v>建筑类型</v>
      </c>
      <c r="AA32" s="1264">
        <f t="shared" si="15"/>
        <v>0.98039215686274506</v>
      </c>
      <c r="AB32" s="1264">
        <f t="shared" si="16"/>
        <v>0.98039215686274506</v>
      </c>
      <c r="AC32" s="1264">
        <f t="shared" si="17"/>
        <v>0.98039215686274506</v>
      </c>
    </row>
    <row r="33" spans="1:29" s="408" customFormat="1" ht="15">
      <c r="A33" s="406"/>
      <c r="B33" s="364" t="s">
        <v>1697</v>
      </c>
      <c r="C33" s="407">
        <v>30</v>
      </c>
      <c r="D33" s="119">
        <v>100</v>
      </c>
      <c r="E33" s="369">
        <f>住宅!$D$3</f>
        <v>18</v>
      </c>
      <c r="F33" s="364">
        <f>LOOKUP(E33,103:103,104:104)-LOOKUP(C33,103:103,104:104)+100</f>
        <v>100</v>
      </c>
      <c r="G33" s="368">
        <f>住宅!$D$6</f>
        <v>25</v>
      </c>
      <c r="H33" s="119">
        <f>LOOKUP(G33,103:103,104:104)-LOOKUP(C33,103:103,104:104)+100</f>
        <v>100</v>
      </c>
      <c r="I33" s="369">
        <f>住宅!$D$7</f>
        <v>20</v>
      </c>
      <c r="J33" s="119">
        <f>LOOKUP(I33,103:103,104:104)-LOOKUP(C33,103:103,104:104)+100</f>
        <v>100</v>
      </c>
      <c r="K33" s="1748"/>
      <c r="L33" s="2492"/>
      <c r="M33" s="2494"/>
      <c r="N33" s="2494"/>
      <c r="O33" s="2494"/>
      <c r="P33" s="3411"/>
      <c r="Q33" s="531" t="str">
        <f t="shared" si="11"/>
        <v>项目建筑规模</v>
      </c>
      <c r="R33" s="669" t="s">
        <v>18</v>
      </c>
      <c r="S33" s="670">
        <f t="shared" si="12"/>
        <v>100</v>
      </c>
      <c r="T33" s="669" t="s">
        <v>18</v>
      </c>
      <c r="U33" s="670">
        <f t="shared" si="13"/>
        <v>100</v>
      </c>
      <c r="V33" s="669" t="s">
        <v>18</v>
      </c>
      <c r="W33" s="670">
        <f t="shared" si="14"/>
        <v>100</v>
      </c>
      <c r="X33" s="671"/>
      <c r="Y33" s="3413"/>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11"/>
      <c r="Q37" s="530" t="str">
        <f t="shared" si="11"/>
        <v>成新度</v>
      </c>
      <c r="R37" s="664" t="s">
        <v>18</v>
      </c>
      <c r="S37" s="665">
        <f t="shared" si="12"/>
        <v>100</v>
      </c>
      <c r="T37" s="664" t="s">
        <v>18</v>
      </c>
      <c r="U37" s="665">
        <f t="shared" si="13"/>
        <v>100</v>
      </c>
      <c r="V37" s="664" t="s">
        <v>18</v>
      </c>
      <c r="W37" s="665">
        <f t="shared" si="14"/>
        <v>100</v>
      </c>
      <c r="X37" s="666"/>
      <c r="Y37" s="3413"/>
      <c r="Z37" s="50" t="str">
        <f t="shared" si="18"/>
        <v>成新度</v>
      </c>
      <c r="AA37" s="50">
        <f t="shared" si="15"/>
        <v>1</v>
      </c>
      <c r="AB37" s="50">
        <f t="shared" si="16"/>
        <v>1</v>
      </c>
      <c r="AC37" s="50">
        <f t="shared" si="17"/>
        <v>1</v>
      </c>
    </row>
    <row r="38" spans="1:29" ht="15">
      <c r="A38" s="409"/>
      <c r="B38" s="364" t="s">
        <v>1702</v>
      </c>
      <c r="C38" s="1760" t="s">
        <v>3427</v>
      </c>
      <c r="D38" s="374">
        <v>100</v>
      </c>
      <c r="E38" s="1761" t="s">
        <v>3427</v>
      </c>
      <c r="F38" s="400">
        <f>SUMIF(114:114,E38,115:115)-SUMIF(114:114,C38,115:115)+100</f>
        <v>100</v>
      </c>
      <c r="G38" s="1760" t="s">
        <v>3427</v>
      </c>
      <c r="H38" s="374">
        <f>SUMIF(114:114,G38,115:115)-SUMIF(114:114,C38,115:115)+100</f>
        <v>100</v>
      </c>
      <c r="I38" s="1761" t="s">
        <v>3427</v>
      </c>
      <c r="J38" s="374">
        <f>SUMIF(114:114,I38,115:115)-SUMIF(114:114,C38,115:115)+100</f>
        <v>100</v>
      </c>
      <c r="K38" s="365">
        <v>5</v>
      </c>
      <c r="L38" s="2493"/>
      <c r="M38" s="2488"/>
      <c r="N38" s="2488"/>
      <c r="O38" s="2488"/>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3159"/>
      <c r="C44" s="3160"/>
      <c r="D44" s="119">
        <v>100</v>
      </c>
      <c r="E44" s="3160"/>
      <c r="F44" s="364">
        <f>SUMIF(126:126,E44,127:127)-SUMIF(126:126,C44,127:127)+100</f>
        <v>100</v>
      </c>
      <c r="G44" s="3160"/>
      <c r="H44" s="119">
        <f>SUMIF(126:126,G44,127:127)-SUMIF(126:126,C44,127:127)+100</f>
        <v>100</v>
      </c>
      <c r="I44" s="3160"/>
      <c r="J44" s="119">
        <f>SUMIF(126:126,I44,127:127)-SUMIF(126:126,C44,127:127)+100</f>
        <v>100</v>
      </c>
      <c r="K44" s="1748"/>
      <c r="L44" s="2489"/>
      <c r="M44" s="2440">
        <v>0.9</v>
      </c>
      <c r="N44" s="2440">
        <f>ROUND($C$48*M44,2)</f>
        <v>21.14</v>
      </c>
      <c r="O44" s="2440"/>
      <c r="P44" s="3411"/>
      <c r="Q44" s="530">
        <f t="shared" si="11"/>
        <v>0</v>
      </c>
      <c r="R44" s="664" t="s">
        <v>18</v>
      </c>
      <c r="S44" s="665">
        <f t="shared" si="12"/>
        <v>100</v>
      </c>
      <c r="T44" s="664" t="s">
        <v>18</v>
      </c>
      <c r="U44" s="665">
        <f t="shared" si="13"/>
        <v>100</v>
      </c>
      <c r="V44" s="664" t="s">
        <v>18</v>
      </c>
      <c r="W44" s="665">
        <f t="shared" si="14"/>
        <v>100</v>
      </c>
      <c r="X44" s="666"/>
      <c r="Y44" s="3413"/>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v>1.1000000000000001</v>
      </c>
      <c r="N45" s="2440">
        <f>ROUND($C$48*M45,2)</f>
        <v>25.84</v>
      </c>
      <c r="O45" s="2488"/>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5">
      <c r="A47" s="416" t="s">
        <v>1708</v>
      </c>
      <c r="B47" s="417"/>
      <c r="C47" s="1081" t="s">
        <v>16</v>
      </c>
      <c r="D47" s="418"/>
      <c r="E47" s="419">
        <f>住宅!F13</f>
        <v>24.63</v>
      </c>
      <c r="F47" s="420"/>
      <c r="G47" s="421">
        <f>住宅!F14</f>
        <v>27.14</v>
      </c>
      <c r="H47" s="422"/>
      <c r="I47" s="419">
        <f>住宅!F17</f>
        <v>25.69</v>
      </c>
      <c r="J47" s="422"/>
      <c r="K47" s="1767"/>
      <c r="L47" s="2495"/>
      <c r="M47" s="2488"/>
      <c r="N47" s="2488"/>
      <c r="O47" s="2488"/>
      <c r="P47" s="3407" t="str">
        <f>A47</f>
        <v>成交单价（元/平方米）</v>
      </c>
      <c r="Q47" s="3407"/>
      <c r="R47" s="3402">
        <f>E47</f>
        <v>24.63</v>
      </c>
      <c r="S47" s="3402"/>
      <c r="T47" s="3402">
        <f>G47</f>
        <v>27.14</v>
      </c>
      <c r="U47" s="3402"/>
      <c r="V47" s="3402">
        <f>I47</f>
        <v>25.69</v>
      </c>
      <c r="W47" s="3402"/>
      <c r="X47" s="385"/>
      <c r="Y47" s="673"/>
      <c r="Z47" s="385"/>
      <c r="AA47" s="385"/>
      <c r="AB47" s="385"/>
      <c r="AC47" s="385"/>
    </row>
    <row r="48" spans="1:29" ht="15.75" thickBot="1">
      <c r="A48" s="423" t="s">
        <v>1709</v>
      </c>
      <c r="B48" s="424"/>
      <c r="C48" s="1082">
        <f>R49</f>
        <v>23.49</v>
      </c>
      <c r="D48" s="2141" t="s">
        <v>2138</v>
      </c>
      <c r="E48" s="1083">
        <f>R48</f>
        <v>22.1</v>
      </c>
      <c r="F48" s="2142"/>
      <c r="G48" s="1082">
        <f>T48</f>
        <v>24.84</v>
      </c>
      <c r="H48" s="2142"/>
      <c r="I48" s="1083">
        <f>V48</f>
        <v>23.52</v>
      </c>
      <c r="J48" s="2142"/>
      <c r="K48" s="2143">
        <f>F48+H48+J48</f>
        <v>0</v>
      </c>
      <c r="L48" s="2495"/>
      <c r="M48" s="2488"/>
      <c r="N48" s="2488"/>
      <c r="O48" s="2488"/>
      <c r="P48" s="3407" t="str">
        <f>A48</f>
        <v>比较价值（元/平方米）</v>
      </c>
      <c r="Q48" s="3407"/>
      <c r="R48" s="3402">
        <f>IF(F1="售价",ROUND(PRODUCT(R47,AA7:AA46),2),ROUND(PRODUCT(R47,AA7:AA46),2))</f>
        <v>22.1</v>
      </c>
      <c r="S48" s="3402"/>
      <c r="T48" s="3402">
        <f>IF(F1="售价",ROUND(PRODUCT(T47,AB7:AB46),2),ROUND(PRODUCT(T47,AB7:AB46),2))</f>
        <v>24.84</v>
      </c>
      <c r="U48" s="3402"/>
      <c r="V48" s="3402">
        <f>IF(F1="售价",ROUND(PRODUCT(V47,AC7:AC46),2),ROUND(PRODUCT(V47,AC7:AC46),1))</f>
        <v>23.52</v>
      </c>
      <c r="W48" s="3402"/>
      <c r="X48" s="385"/>
      <c r="Y48" s="385"/>
      <c r="Z48" s="385"/>
      <c r="AA48" s="385"/>
      <c r="AB48" s="385"/>
      <c r="AC48" s="385"/>
    </row>
    <row r="49" spans="1:29" ht="15.75" thickBot="1">
      <c r="A49" s="427" t="s">
        <v>1710</v>
      </c>
      <c r="B49" s="428"/>
      <c r="C49" s="1084">
        <f>R49</f>
        <v>23.49</v>
      </c>
      <c r="D49" s="351"/>
      <c r="E49" s="351"/>
      <c r="F49" s="351"/>
      <c r="G49" s="351"/>
      <c r="H49" s="351"/>
      <c r="I49" s="351"/>
      <c r="J49" s="351"/>
      <c r="K49" s="1768"/>
      <c r="L49" s="2495"/>
      <c r="M49" s="2488"/>
      <c r="N49" s="2488"/>
      <c r="O49" s="2488"/>
      <c r="P49" s="3404" t="str">
        <f>A49</f>
        <v>估价对象XX用房的比较价值（楼面单价，元/平方米）</v>
      </c>
      <c r="Q49" s="3405"/>
      <c r="R49" s="3406">
        <f>IF(F1="售价",ROUND(IF(D48="简单平均",AVERAGE(R48:V48),R48*F48+T48*H48+V48*J48),2),ROUND(IF(D48="简单平均",AVERAGE(R48:V48),R48*F48+T48*H48+V48*J48),2))</f>
        <v>23.49</v>
      </c>
      <c r="S49" s="3406"/>
      <c r="T49" s="3406"/>
      <c r="U49" s="3406"/>
      <c r="V49" s="3406"/>
      <c r="W49" s="3406"/>
      <c r="X49" s="385"/>
      <c r="Y49" s="385"/>
      <c r="Z49" s="385"/>
      <c r="AA49" s="385"/>
      <c r="AB49" s="385"/>
      <c r="AC49" s="385"/>
    </row>
    <row r="50" spans="1:29">
      <c r="A50" s="2488"/>
      <c r="B50" s="2488"/>
      <c r="C50" s="2488"/>
      <c r="D50" s="2488"/>
      <c r="E50" s="2488"/>
      <c r="F50" s="2488"/>
      <c r="G50" s="2499"/>
      <c r="H50" s="2488"/>
      <c r="I50" s="2488"/>
      <c r="J50" s="2488"/>
      <c r="K50" s="2500"/>
      <c r="L50" s="2496"/>
      <c r="M50" s="2488">
        <f>C48*30</f>
        <v>704.69999999999993</v>
      </c>
      <c r="N50" s="2488"/>
      <c r="O50" s="2488"/>
    </row>
    <row r="51" spans="1:29">
      <c r="A51" s="2488"/>
      <c r="B51" s="2488"/>
      <c r="C51" s="2488"/>
      <c r="D51" s="2488"/>
      <c r="E51" s="2488"/>
      <c r="F51" s="2488"/>
      <c r="G51" s="2488"/>
      <c r="H51" s="2488"/>
      <c r="I51" s="2488"/>
      <c r="J51" s="2488"/>
      <c r="K51" s="2500"/>
      <c r="L51" s="2496"/>
      <c r="M51" s="2488">
        <f>C48*36</f>
        <v>845.64</v>
      </c>
      <c r="N51" s="2488"/>
      <c r="O51" s="2488"/>
    </row>
    <row r="52" spans="1:29" ht="13.5" customHeight="1">
      <c r="A52" s="2488"/>
      <c r="B52" s="2488"/>
      <c r="C52" s="432" t="s">
        <v>1711</v>
      </c>
      <c r="D52" s="433"/>
      <c r="E52" s="434">
        <f>IF(E47&lt;E48,E48/E47-1,E47/E48-1)</f>
        <v>0.11447963800904959</v>
      </c>
      <c r="F52" s="435" t="str">
        <f>IF(OR(E52&gt;=0.3,E52&lt;=-0.3),"超过30%","")</f>
        <v/>
      </c>
      <c r="G52" s="434">
        <f>IF(G47&lt;G48,G48/G47-1,G47/G48-1)</f>
        <v>9.259259259259256E-2</v>
      </c>
      <c r="H52" s="435" t="str">
        <f>IF(OR(G52&gt;=0.3,G52&lt;=-0.3),"超过30%","")</f>
        <v/>
      </c>
      <c r="I52" s="434">
        <f>IF(I47&lt;I48,I48/I47-1,I47/I48-1)</f>
        <v>9.2261904761904878E-2</v>
      </c>
      <c r="J52" s="435" t="str">
        <f>IF(OR(I52&gt;=0.3,I52&lt;=-0.3),"超过30%","")</f>
        <v/>
      </c>
      <c r="K52" s="2500"/>
      <c r="L52" s="2496"/>
      <c r="M52" s="2488"/>
      <c r="N52" s="2488"/>
      <c r="O52" s="2488"/>
    </row>
    <row r="53" spans="1:29" ht="13.5" customHeight="1">
      <c r="A53" s="2488"/>
      <c r="B53" s="2488"/>
      <c r="C53" s="432" t="s">
        <v>1712</v>
      </c>
      <c r="D53" s="436"/>
      <c r="E53" s="434">
        <f>IF(E48&lt;G48,G48/E48-1,E48/G48-1)</f>
        <v>0.12398190045248869</v>
      </c>
      <c r="F53" s="435" t="str">
        <f>IF(OR(E53&gt;=0.2,E53&lt;=-0.2),"超过20%","")</f>
        <v/>
      </c>
      <c r="G53" s="434">
        <f>IF(G48&lt;I48,I48/G48-1,G48/I48-1)</f>
        <v>5.6122448979591955E-2</v>
      </c>
      <c r="H53" s="435" t="str">
        <f>IF(OR(G53&gt;=0.2,G53&lt;=-0.2),"超过20%","")</f>
        <v/>
      </c>
      <c r="I53" s="434">
        <f>IF(I48&lt;E48,E48/I48-1,I48/E48-1)</f>
        <v>6.4253393665158365E-2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0.10190824198132375</v>
      </c>
      <c r="F54" s="435" t="str">
        <f>IF(OR(E54&gt;=0.3,E54&lt;=-0.3),"超过30%","")</f>
        <v/>
      </c>
      <c r="G54" s="434">
        <f>IF(G47&lt;I47,I47/G47-1,G47/I47-1)</f>
        <v>5.6442195406773088E-2</v>
      </c>
      <c r="H54" s="435" t="str">
        <f>IF(OR(G54&gt;=0.3,G54&lt;=-0.3),"超过30%","")</f>
        <v/>
      </c>
      <c r="I54" s="434">
        <f>IF(I47&lt;E47,E47/I47-1,I47/E47-1)</f>
        <v>4.303694681282999E-2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58" t="s">
        <v>3435</v>
      </c>
      <c r="E61" s="31"/>
      <c r="F61" s="31"/>
      <c r="G61" s="31"/>
      <c r="H61" s="31"/>
      <c r="I61" s="31"/>
      <c r="J61" s="31"/>
      <c r="K61" s="31"/>
      <c r="L61" s="457"/>
      <c r="M61" s="458"/>
      <c r="N61" s="878"/>
      <c r="O61" s="878"/>
      <c r="P61" s="1774"/>
      <c r="Q61" s="439"/>
    </row>
    <row r="62" spans="1:29" s="102" customFormat="1" ht="15.75" thickBot="1">
      <c r="A62" s="455"/>
      <c r="B62" s="444"/>
      <c r="C62" s="445">
        <v>100</v>
      </c>
      <c r="D62" s="446">
        <v>105</v>
      </c>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57" t="s">
        <v>3431</v>
      </c>
      <c r="D100" s="3157" t="s">
        <v>3433</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47" t="s">
        <v>3426</v>
      </c>
      <c r="D114" s="3147" t="s">
        <v>3428</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0</v>
      </c>
      <c r="C126" s="3147" t="s">
        <v>3436</v>
      </c>
      <c r="D126" s="3147" t="s">
        <v>3437</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102</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C32 G32 I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A333-2775-4F69-9CCC-285E82851D63}">
  <sheetPr>
    <tabColor rgb="FF92D050"/>
    <pageSetUpPr fitToPage="1"/>
  </sheetPr>
  <dimension ref="A1:AC148"/>
  <sheetViews>
    <sheetView view="pageBreakPreview" topLeftCell="B13" zoomScaleNormal="60" zoomScaleSheetLayoutView="10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3390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7"/>
      <c r="M4" s="2488"/>
      <c r="N4" s="2488"/>
      <c r="O4" s="2488"/>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ht="15">
      <c r="A5" s="348"/>
      <c r="B5" s="349"/>
      <c r="C5" s="3383" t="s">
        <v>1673</v>
      </c>
      <c r="D5" s="3384"/>
      <c r="E5" s="3381" t="str">
        <f>住宅!$C$3</f>
        <v>亦庄建设者之家</v>
      </c>
      <c r="F5" s="3382"/>
      <c r="G5" s="3383" t="str">
        <f>住宅!$C$6</f>
        <v>光谷公寓</v>
      </c>
      <c r="H5" s="3384"/>
      <c r="I5" s="3383" t="str">
        <f>住宅!$C$7</f>
        <v>永康公寓</v>
      </c>
      <c r="J5" s="3384"/>
      <c r="K5" s="1745"/>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1745"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1746"/>
      <c r="L7" s="2489"/>
      <c r="M7" s="2440"/>
      <c r="N7" s="2440"/>
      <c r="O7" s="2440"/>
      <c r="P7" s="3375" t="s">
        <v>1680</v>
      </c>
      <c r="Q7" s="3403"/>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110</v>
      </c>
      <c r="G15" s="381"/>
      <c r="H15" s="380">
        <f>SUMIF(76:76,G16,77:77)-SUMIF(76:76,C16,77:77)+100</f>
        <v>110</v>
      </c>
      <c r="I15" s="381"/>
      <c r="J15" s="380">
        <f>SUMIF(76:76,I16,77:77)-SUMIF(76:76,C16,77:77)+100</f>
        <v>110</v>
      </c>
      <c r="K15" s="384">
        <v>5</v>
      </c>
      <c r="L15" s="2493"/>
      <c r="M15" s="2488"/>
      <c r="N15" s="2488"/>
      <c r="O15" s="2488"/>
      <c r="P15" s="3415" t="s">
        <v>1691</v>
      </c>
      <c r="Q15" s="1263" t="str">
        <f t="shared" si="6"/>
        <v>居住社区成熟度</v>
      </c>
      <c r="R15" s="667" t="s">
        <v>14</v>
      </c>
      <c r="S15" s="668">
        <f t="shared" si="0"/>
        <v>110</v>
      </c>
      <c r="T15" s="667" t="s">
        <v>14</v>
      </c>
      <c r="U15" s="668">
        <f t="shared" si="1"/>
        <v>110</v>
      </c>
      <c r="V15" s="667" t="s">
        <v>14</v>
      </c>
      <c r="W15" s="668">
        <f t="shared" si="2"/>
        <v>110</v>
      </c>
      <c r="X15" s="1265"/>
      <c r="Y15" s="3408" t="s">
        <v>1691</v>
      </c>
      <c r="Z15" s="1264" t="str">
        <f t="shared" si="7"/>
        <v>居住社区成熟度</v>
      </c>
      <c r="AA15" s="1264">
        <f t="shared" si="3"/>
        <v>0.90909090909090906</v>
      </c>
      <c r="AB15" s="1264">
        <f t="shared" si="4"/>
        <v>0.90909090909090906</v>
      </c>
      <c r="AC15" s="1264">
        <f t="shared" si="5"/>
        <v>0.90909090909090906</v>
      </c>
    </row>
    <row r="16" spans="1:29" ht="15">
      <c r="A16" s="367"/>
      <c r="B16" s="385"/>
      <c r="C16" s="386" t="s">
        <v>3385</v>
      </c>
      <c r="D16" s="387"/>
      <c r="E16" s="1751" t="s">
        <v>3389</v>
      </c>
      <c r="F16" s="387"/>
      <c r="G16" s="1752" t="s">
        <v>3389</v>
      </c>
      <c r="H16" s="389"/>
      <c r="I16" s="1752" t="s">
        <v>3389</v>
      </c>
      <c r="J16" s="387"/>
      <c r="K16" s="1753"/>
      <c r="L16" s="2493"/>
      <c r="M16" s="2488"/>
      <c r="N16" s="2488"/>
      <c r="O16" s="2488"/>
      <c r="P16" s="3416"/>
      <c r="Q16" s="1263"/>
      <c r="R16" s="667"/>
      <c r="S16" s="668"/>
      <c r="T16" s="667"/>
      <c r="U16" s="668"/>
      <c r="V16" s="667"/>
      <c r="W16" s="668"/>
      <c r="X16" s="1265"/>
      <c r="Y16" s="340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103</v>
      </c>
      <c r="G17" s="391"/>
      <c r="H17" s="394">
        <f>SUMIF(78:78,G18,79:79)-SUMIF(78:78,C18,79:79)+100</f>
        <v>103</v>
      </c>
      <c r="I17" s="391"/>
      <c r="J17" s="394">
        <f>SUMIF(78:78,I18,79:79)-SUMIF(78:78,C18,79:79)+100</f>
        <v>103</v>
      </c>
      <c r="K17" s="384">
        <v>3</v>
      </c>
      <c r="L17" s="2493"/>
      <c r="M17" s="2488"/>
      <c r="N17" s="2488"/>
      <c r="O17" s="2488"/>
      <c r="P17" s="3416"/>
      <c r="Q17" s="1263" t="str">
        <f>B17</f>
        <v>交通便捷度</v>
      </c>
      <c r="R17" s="667" t="s">
        <v>14</v>
      </c>
      <c r="S17" s="668">
        <f>F17</f>
        <v>103</v>
      </c>
      <c r="T17" s="667" t="s">
        <v>14</v>
      </c>
      <c r="U17" s="668">
        <f>H17</f>
        <v>103</v>
      </c>
      <c r="V17" s="667" t="s">
        <v>14</v>
      </c>
      <c r="W17" s="668">
        <f>J17</f>
        <v>103</v>
      </c>
      <c r="X17" s="1265"/>
      <c r="Y17" s="3409"/>
      <c r="Z17" s="1264" t="str">
        <f>Q17</f>
        <v>交通便捷度</v>
      </c>
      <c r="AA17" s="1264">
        <f t="shared" si="3"/>
        <v>0.970873786407767</v>
      </c>
      <c r="AB17" s="1264">
        <f t="shared" si="4"/>
        <v>0.970873786407767</v>
      </c>
      <c r="AC17" s="1264">
        <f t="shared" si="5"/>
        <v>0.970873786407767</v>
      </c>
    </row>
    <row r="18" spans="1:29" ht="15">
      <c r="A18" s="367"/>
      <c r="B18" s="395"/>
      <c r="C18" s="1755" t="s">
        <v>3384</v>
      </c>
      <c r="D18" s="389"/>
      <c r="E18" s="1756" t="s">
        <v>3389</v>
      </c>
      <c r="F18" s="389"/>
      <c r="G18" s="1757" t="s">
        <v>3389</v>
      </c>
      <c r="H18" s="387"/>
      <c r="I18" s="1757" t="s">
        <v>3389</v>
      </c>
      <c r="J18" s="387"/>
      <c r="K18" s="1753"/>
      <c r="L18" s="2493"/>
      <c r="M18" s="2488"/>
      <c r="N18" s="2488"/>
      <c r="O18" s="2488"/>
      <c r="P18" s="3416"/>
      <c r="Q18" s="1263"/>
      <c r="R18" s="667"/>
      <c r="S18" s="668"/>
      <c r="T18" s="667"/>
      <c r="U18" s="668"/>
      <c r="V18" s="667"/>
      <c r="W18" s="668"/>
      <c r="X18" s="1265"/>
      <c r="Y18" s="340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t="s">
        <v>3384</v>
      </c>
      <c r="D20" s="387"/>
      <c r="E20" s="1751" t="s">
        <v>3389</v>
      </c>
      <c r="F20" s="387"/>
      <c r="G20" s="1752" t="s">
        <v>3389</v>
      </c>
      <c r="H20" s="387"/>
      <c r="I20" s="1752" t="s">
        <v>3389</v>
      </c>
      <c r="J20" s="387"/>
      <c r="K20" s="1753"/>
      <c r="L20" s="2493"/>
      <c r="M20" s="2488"/>
      <c r="N20" s="2488"/>
      <c r="O20" s="2488"/>
      <c r="P20" s="3416"/>
      <c r="Q20" s="1263"/>
      <c r="R20" s="667"/>
      <c r="S20" s="668"/>
      <c r="T20" s="667"/>
      <c r="U20" s="668"/>
      <c r="V20" s="667"/>
      <c r="W20" s="668"/>
      <c r="X20" s="1265"/>
      <c r="Y20" s="340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6"/>
      <c r="Q22" s="1263"/>
      <c r="R22" s="667"/>
      <c r="S22" s="668"/>
      <c r="T22" s="667"/>
      <c r="U22" s="668"/>
      <c r="V22" s="667"/>
      <c r="W22" s="668"/>
      <c r="X22" s="1265"/>
      <c r="Y22" s="340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104</v>
      </c>
      <c r="G23" s="391"/>
      <c r="H23" s="389">
        <f>SUMIF(84:84,G24,85:85)-SUMIF(84:84,C24,85:85)+100</f>
        <v>102</v>
      </c>
      <c r="I23" s="391"/>
      <c r="J23" s="389">
        <f>SUMIF(84:84,I24,85:85)-SUMIF(84:84,C24,85:85)+100</f>
        <v>104</v>
      </c>
      <c r="K23" s="384">
        <v>2</v>
      </c>
      <c r="L23" s="2493"/>
      <c r="M23" s="2488"/>
      <c r="N23" s="2488"/>
      <c r="O23" s="2488"/>
      <c r="P23" s="3416"/>
      <c r="Q23" s="1263" t="str">
        <f>B23</f>
        <v>自然及人文环境</v>
      </c>
      <c r="R23" s="667" t="s">
        <v>14</v>
      </c>
      <c r="S23" s="668">
        <f>F23</f>
        <v>104</v>
      </c>
      <c r="T23" s="667" t="s">
        <v>14</v>
      </c>
      <c r="U23" s="668">
        <f>H23</f>
        <v>102</v>
      </c>
      <c r="V23" s="667" t="s">
        <v>14</v>
      </c>
      <c r="W23" s="668">
        <f>J23</f>
        <v>104</v>
      </c>
      <c r="X23" s="1265"/>
      <c r="Y23" s="3409"/>
      <c r="Z23" s="1264" t="str">
        <f>Q23</f>
        <v>自然及人文环境</v>
      </c>
      <c r="AA23" s="1264">
        <f>D23/F23</f>
        <v>0.96153846153846156</v>
      </c>
      <c r="AB23" s="1264">
        <f>D23/H23</f>
        <v>0.98039215686274506</v>
      </c>
      <c r="AC23" s="1264">
        <f>D23/J23</f>
        <v>0.96153846153846156</v>
      </c>
    </row>
    <row r="24" spans="1:29" ht="15">
      <c r="A24" s="367"/>
      <c r="B24" s="395"/>
      <c r="C24" s="386" t="s">
        <v>3385</v>
      </c>
      <c r="D24" s="387"/>
      <c r="E24" s="1751" t="s">
        <v>3389</v>
      </c>
      <c r="F24" s="387"/>
      <c r="G24" s="1752" t="s">
        <v>3384</v>
      </c>
      <c r="H24" s="387"/>
      <c r="I24" s="1752" t="s">
        <v>3389</v>
      </c>
      <c r="J24" s="387"/>
      <c r="K24" s="1753"/>
      <c r="L24" s="2493"/>
      <c r="M24" s="2488"/>
      <c r="N24" s="2488"/>
      <c r="O24" s="2488"/>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6"/>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6"/>
      <c r="Q26" s="1263" t="str">
        <f t="shared" si="11"/>
        <v>朝向</v>
      </c>
      <c r="R26" s="667" t="s">
        <v>14</v>
      </c>
      <c r="S26" s="668">
        <f t="shared" si="12"/>
        <v>100</v>
      </c>
      <c r="T26" s="667" t="s">
        <v>14</v>
      </c>
      <c r="U26" s="668">
        <f t="shared" si="13"/>
        <v>100</v>
      </c>
      <c r="V26" s="667" t="s">
        <v>14</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6"/>
      <c r="Q27" s="530">
        <f t="shared" si="11"/>
        <v>111</v>
      </c>
      <c r="R27" s="664" t="s">
        <v>14</v>
      </c>
      <c r="S27" s="665">
        <f t="shared" si="12"/>
        <v>100</v>
      </c>
      <c r="T27" s="664" t="s">
        <v>14</v>
      </c>
      <c r="U27" s="665">
        <f t="shared" si="13"/>
        <v>100</v>
      </c>
      <c r="V27" s="664" t="s">
        <v>14</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6"/>
      <c r="Q28" s="1263">
        <f t="shared" si="11"/>
        <v>111</v>
      </c>
      <c r="R28" s="667" t="s">
        <v>14</v>
      </c>
      <c r="S28" s="668">
        <f t="shared" si="12"/>
        <v>100</v>
      </c>
      <c r="T28" s="667" t="s">
        <v>14</v>
      </c>
      <c r="U28" s="668">
        <f t="shared" si="13"/>
        <v>100</v>
      </c>
      <c r="V28" s="667" t="s">
        <v>14</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6"/>
      <c r="Q29" s="1263">
        <f t="shared" si="11"/>
        <v>111</v>
      </c>
      <c r="R29" s="667" t="s">
        <v>14</v>
      </c>
      <c r="S29" s="668">
        <f t="shared" si="12"/>
        <v>100</v>
      </c>
      <c r="T29" s="667" t="s">
        <v>14</v>
      </c>
      <c r="U29" s="668">
        <f t="shared" si="13"/>
        <v>100</v>
      </c>
      <c r="V29" s="667" t="s">
        <v>14</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6"/>
      <c r="Q30" s="1263">
        <f t="shared" si="11"/>
        <v>111</v>
      </c>
      <c r="R30" s="667" t="s">
        <v>14</v>
      </c>
      <c r="S30" s="668">
        <f t="shared" si="12"/>
        <v>100</v>
      </c>
      <c r="T30" s="667" t="s">
        <v>14</v>
      </c>
      <c r="U30" s="668">
        <f t="shared" si="13"/>
        <v>100</v>
      </c>
      <c r="V30" s="667" t="s">
        <v>14</v>
      </c>
      <c r="W30" s="668">
        <f t="shared" si="14"/>
        <v>100</v>
      </c>
      <c r="X30" s="1265"/>
      <c r="Y30" s="340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6"/>
      <c r="Q31" s="1263">
        <f t="shared" si="11"/>
        <v>111</v>
      </c>
      <c r="R31" s="667" t="s">
        <v>14</v>
      </c>
      <c r="S31" s="668">
        <f t="shared" si="12"/>
        <v>100</v>
      </c>
      <c r="T31" s="667" t="s">
        <v>14</v>
      </c>
      <c r="U31" s="668">
        <f t="shared" si="13"/>
        <v>100</v>
      </c>
      <c r="V31" s="667" t="s">
        <v>14</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0" t="s">
        <v>1696</v>
      </c>
      <c r="Q32" s="1263" t="str">
        <f t="shared" si="11"/>
        <v>建筑类型</v>
      </c>
      <c r="R32" s="667" t="s">
        <v>14</v>
      </c>
      <c r="S32" s="668">
        <f t="shared" si="12"/>
        <v>100</v>
      </c>
      <c r="T32" s="667" t="s">
        <v>14</v>
      </c>
      <c r="U32" s="668">
        <f t="shared" si="13"/>
        <v>100</v>
      </c>
      <c r="V32" s="667" t="s">
        <v>14</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v>30</v>
      </c>
      <c r="D33" s="119">
        <v>100</v>
      </c>
      <c r="E33" s="369">
        <f>住宅!$D$3</f>
        <v>18</v>
      </c>
      <c r="F33" s="364">
        <f>LOOKUP(E33,103:103,104:104)-LOOKUP(C33,103:103,104:104)+100</f>
        <v>100</v>
      </c>
      <c r="G33" s="368">
        <f>住宅!$D$6</f>
        <v>25</v>
      </c>
      <c r="H33" s="119">
        <f>LOOKUP(G33,103:103,104:104)-LOOKUP(C33,103:103,104:104)+100</f>
        <v>100</v>
      </c>
      <c r="I33" s="369">
        <f>住宅!$D$7</f>
        <v>20</v>
      </c>
      <c r="J33" s="119">
        <f>LOOKUP(I33,103:103,104:104)-LOOKUP(C33,103:103,104:104)+100</f>
        <v>100</v>
      </c>
      <c r="K33" s="1748"/>
      <c r="L33" s="2492"/>
      <c r="M33" s="2494"/>
      <c r="N33" s="2494"/>
      <c r="O33" s="2494"/>
      <c r="P33" s="3411"/>
      <c r="Q33" s="531" t="str">
        <f t="shared" si="11"/>
        <v>项目建筑规模</v>
      </c>
      <c r="R33" s="669" t="s">
        <v>14</v>
      </c>
      <c r="S33" s="670">
        <f t="shared" si="12"/>
        <v>100</v>
      </c>
      <c r="T33" s="669" t="s">
        <v>14</v>
      </c>
      <c r="U33" s="670">
        <f t="shared" si="13"/>
        <v>100</v>
      </c>
      <c r="V33" s="669" t="s">
        <v>14</v>
      </c>
      <c r="W33" s="670">
        <f t="shared" si="14"/>
        <v>100</v>
      </c>
      <c r="X33" s="671"/>
      <c r="Y33" s="3413"/>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1"/>
      <c r="Q35" s="1263" t="str">
        <f t="shared" si="11"/>
        <v>建筑品质</v>
      </c>
      <c r="R35" s="667" t="s">
        <v>14</v>
      </c>
      <c r="S35" s="668">
        <f t="shared" si="12"/>
        <v>100</v>
      </c>
      <c r="T35" s="667" t="s">
        <v>14</v>
      </c>
      <c r="U35" s="668">
        <f t="shared" si="13"/>
        <v>100</v>
      </c>
      <c r="V35" s="667" t="s">
        <v>14</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11"/>
      <c r="Q37" s="530" t="str">
        <f t="shared" si="11"/>
        <v>成新度</v>
      </c>
      <c r="R37" s="664" t="s">
        <v>14</v>
      </c>
      <c r="S37" s="665">
        <f t="shared" si="12"/>
        <v>100</v>
      </c>
      <c r="T37" s="664" t="s">
        <v>14</v>
      </c>
      <c r="U37" s="665">
        <f t="shared" si="13"/>
        <v>100</v>
      </c>
      <c r="V37" s="664" t="s">
        <v>14</v>
      </c>
      <c r="W37" s="665">
        <f t="shared" si="14"/>
        <v>100</v>
      </c>
      <c r="X37" s="666"/>
      <c r="Y37" s="3413"/>
      <c r="Z37" s="50" t="str">
        <f t="shared" si="18"/>
        <v>成新度</v>
      </c>
      <c r="AA37" s="50">
        <f t="shared" si="15"/>
        <v>1</v>
      </c>
      <c r="AB37" s="50">
        <f t="shared" si="16"/>
        <v>1</v>
      </c>
      <c r="AC37" s="50">
        <f t="shared" si="17"/>
        <v>1</v>
      </c>
    </row>
    <row r="38" spans="1:29" ht="15">
      <c r="A38" s="409"/>
      <c r="B38" s="364" t="s">
        <v>1702</v>
      </c>
      <c r="C38" s="1760" t="s">
        <v>3427</v>
      </c>
      <c r="D38" s="374">
        <v>100</v>
      </c>
      <c r="E38" s="1761" t="s">
        <v>3427</v>
      </c>
      <c r="F38" s="400">
        <f>SUMIF(114:114,E38,115:115)-SUMIF(114:114,C38,115:115)+100</f>
        <v>100</v>
      </c>
      <c r="G38" s="1760" t="s">
        <v>3427</v>
      </c>
      <c r="H38" s="374">
        <f>SUMIF(114:114,G38,115:115)-SUMIF(114:114,C38,115:115)+100</f>
        <v>100</v>
      </c>
      <c r="I38" s="1761" t="s">
        <v>3427</v>
      </c>
      <c r="J38" s="374">
        <f>SUMIF(114:114,I38,115:115)-SUMIF(114:114,C38,115:115)+100</f>
        <v>100</v>
      </c>
      <c r="K38" s="365">
        <v>5</v>
      </c>
      <c r="L38" s="2493"/>
      <c r="M38" s="2488"/>
      <c r="N38" s="2488"/>
      <c r="O38" s="2488"/>
      <c r="P38" s="3411" t="s">
        <v>1696</v>
      </c>
      <c r="Q38" s="1263" t="str">
        <f t="shared" si="11"/>
        <v>物业管理</v>
      </c>
      <c r="R38" s="667" t="s">
        <v>14</v>
      </c>
      <c r="S38" s="668">
        <f t="shared" si="12"/>
        <v>100</v>
      </c>
      <c r="T38" s="667" t="s">
        <v>14</v>
      </c>
      <c r="U38" s="668">
        <f t="shared" si="13"/>
        <v>100</v>
      </c>
      <c r="V38" s="667" t="s">
        <v>14</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1"/>
      <c r="Q39" s="1263" t="str">
        <f t="shared" si="11"/>
        <v>市政基础设施</v>
      </c>
      <c r="R39" s="667" t="s">
        <v>14</v>
      </c>
      <c r="S39" s="668">
        <f t="shared" si="12"/>
        <v>100</v>
      </c>
      <c r="T39" s="667" t="s">
        <v>14</v>
      </c>
      <c r="U39" s="668">
        <f t="shared" si="13"/>
        <v>100</v>
      </c>
      <c r="V39" s="667" t="s">
        <v>14</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1"/>
      <c r="Q40" s="1263" t="str">
        <f t="shared" si="11"/>
        <v>房型</v>
      </c>
      <c r="R40" s="667" t="s">
        <v>14</v>
      </c>
      <c r="S40" s="668">
        <f t="shared" si="12"/>
        <v>100</v>
      </c>
      <c r="T40" s="667" t="s">
        <v>14</v>
      </c>
      <c r="U40" s="668">
        <f t="shared" si="13"/>
        <v>100</v>
      </c>
      <c r="V40" s="667" t="s">
        <v>14</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1"/>
      <c r="Q41" s="531" t="str">
        <f t="shared" si="11"/>
        <v>单套/主力户型建筑面积</v>
      </c>
      <c r="R41" s="669" t="s">
        <v>14</v>
      </c>
      <c r="S41" s="670">
        <f t="shared" si="12"/>
        <v>100</v>
      </c>
      <c r="T41" s="669" t="s">
        <v>14</v>
      </c>
      <c r="U41" s="670">
        <f t="shared" si="13"/>
        <v>100</v>
      </c>
      <c r="V41" s="669" t="s">
        <v>14</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v>0.9</v>
      </c>
      <c r="N44" s="2440">
        <f>ROUND($C$48*M44,-2)</f>
        <v>1200</v>
      </c>
      <c r="O44" s="2440"/>
      <c r="P44" s="3411"/>
      <c r="Q44" s="530">
        <f t="shared" si="11"/>
        <v>111</v>
      </c>
      <c r="R44" s="664" t="s">
        <v>14</v>
      </c>
      <c r="S44" s="665">
        <f t="shared" si="12"/>
        <v>100</v>
      </c>
      <c r="T44" s="664" t="s">
        <v>14</v>
      </c>
      <c r="U44" s="665">
        <f t="shared" si="13"/>
        <v>100</v>
      </c>
      <c r="V44" s="664" t="s">
        <v>14</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v>1.1000000000000001</v>
      </c>
      <c r="N45" s="2440">
        <f>ROUND($C$48*M45,-2)</f>
        <v>1400</v>
      </c>
      <c r="O45" s="2488"/>
      <c r="P45" s="3411"/>
      <c r="Q45" s="1263">
        <f t="shared" si="11"/>
        <v>111</v>
      </c>
      <c r="R45" s="667" t="s">
        <v>14</v>
      </c>
      <c r="S45" s="668">
        <f t="shared" si="12"/>
        <v>100</v>
      </c>
      <c r="T45" s="667" t="s">
        <v>14</v>
      </c>
      <c r="U45" s="668">
        <f t="shared" si="13"/>
        <v>100</v>
      </c>
      <c r="V45" s="667" t="s">
        <v>14</v>
      </c>
      <c r="W45" s="668">
        <f t="shared" si="14"/>
        <v>100</v>
      </c>
      <c r="X45" s="1265"/>
      <c r="Y45" s="341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2"/>
      <c r="Q46" s="1263">
        <f t="shared" si="11"/>
        <v>111</v>
      </c>
      <c r="R46" s="667" t="s">
        <v>14</v>
      </c>
      <c r="S46" s="668">
        <f t="shared" si="12"/>
        <v>100</v>
      </c>
      <c r="T46" s="667" t="s">
        <v>14</v>
      </c>
      <c r="U46" s="668">
        <f t="shared" si="13"/>
        <v>100</v>
      </c>
      <c r="V46" s="667" t="s">
        <v>14</v>
      </c>
      <c r="W46" s="668">
        <f t="shared" si="14"/>
        <v>100</v>
      </c>
      <c r="X46" s="1265"/>
      <c r="Y46" s="3414"/>
      <c r="Z46" s="1264">
        <f t="shared" si="18"/>
        <v>111</v>
      </c>
      <c r="AA46" s="1264">
        <f t="shared" si="15"/>
        <v>1</v>
      </c>
      <c r="AB46" s="1264">
        <f t="shared" si="16"/>
        <v>1</v>
      </c>
      <c r="AC46" s="1264">
        <f t="shared" si="17"/>
        <v>1</v>
      </c>
    </row>
    <row r="47" spans="1:29" ht="15">
      <c r="A47" s="416" t="s">
        <v>1708</v>
      </c>
      <c r="B47" s="417"/>
      <c r="C47" s="1081" t="s">
        <v>0</v>
      </c>
      <c r="D47" s="418"/>
      <c r="E47" s="419">
        <f>住宅!E3</f>
        <v>1500</v>
      </c>
      <c r="F47" s="420"/>
      <c r="G47" s="421">
        <f>住宅!$E$6</f>
        <v>1500</v>
      </c>
      <c r="H47" s="422"/>
      <c r="I47" s="419">
        <f>住宅!E7</f>
        <v>1400</v>
      </c>
      <c r="J47" s="422"/>
      <c r="K47" s="1767"/>
      <c r="L47" s="2495"/>
      <c r="M47" s="2488"/>
      <c r="N47" s="2488"/>
      <c r="O47" s="2488"/>
      <c r="P47" s="3407" t="str">
        <f>A47</f>
        <v>成交单价（元/平方米）</v>
      </c>
      <c r="Q47" s="3407"/>
      <c r="R47" s="3402">
        <f>E47</f>
        <v>1500</v>
      </c>
      <c r="S47" s="3402"/>
      <c r="T47" s="3402">
        <f>G47</f>
        <v>1500</v>
      </c>
      <c r="U47" s="3402"/>
      <c r="V47" s="3402">
        <f>I47</f>
        <v>1400</v>
      </c>
      <c r="W47" s="3402"/>
      <c r="X47" s="385"/>
      <c r="Y47" s="673"/>
      <c r="Z47" s="385"/>
      <c r="AA47" s="385"/>
      <c r="AB47" s="385"/>
      <c r="AC47" s="385"/>
    </row>
    <row r="48" spans="1:29" ht="15.75" thickBot="1">
      <c r="A48" s="423" t="s">
        <v>1709</v>
      </c>
      <c r="B48" s="424"/>
      <c r="C48" s="1082">
        <f>R49</f>
        <v>1300</v>
      </c>
      <c r="D48" s="2141" t="s">
        <v>2138</v>
      </c>
      <c r="E48" s="1083">
        <f>R48</f>
        <v>1300</v>
      </c>
      <c r="F48" s="2142"/>
      <c r="G48" s="1082">
        <f>T48</f>
        <v>1300</v>
      </c>
      <c r="H48" s="2142"/>
      <c r="I48" s="1083">
        <f>V48</f>
        <v>1200</v>
      </c>
      <c r="J48" s="2142"/>
      <c r="K48" s="2143">
        <f>F48+H48+J48</f>
        <v>0</v>
      </c>
      <c r="L48" s="2495"/>
      <c r="M48" s="2488"/>
      <c r="N48" s="2488"/>
      <c r="O48" s="2488"/>
      <c r="P48" s="3407" t="str">
        <f>A48</f>
        <v>比较价值（元/平方米）</v>
      </c>
      <c r="Q48" s="3407"/>
      <c r="R48" s="3402">
        <f>IF(F1="售价",ROUND(PRODUCT(R47,AA7:AA46),-2),ROUND(PRODUCT(R47,AA7:AA46),-2))</f>
        <v>1300</v>
      </c>
      <c r="S48" s="3402"/>
      <c r="T48" s="3402">
        <f>IF(F1="售价",ROUND(PRODUCT(T47,AB7:AB46),-2),ROUND(PRODUCT(T47,AB7:AB46),1))</f>
        <v>1300</v>
      </c>
      <c r="U48" s="3402"/>
      <c r="V48" s="3402">
        <f>IF(F1="售价",ROUND(PRODUCT(V47,AC7:AC46),-2),ROUND(PRODUCT(V47,AC7:AC46),1))</f>
        <v>1200</v>
      </c>
      <c r="W48" s="3402"/>
      <c r="X48" s="385"/>
      <c r="Y48" s="385"/>
      <c r="Z48" s="385"/>
      <c r="AA48" s="385"/>
      <c r="AB48" s="385"/>
      <c r="AC48" s="385"/>
    </row>
    <row r="49" spans="1:29" ht="15.75" thickBot="1">
      <c r="A49" s="427" t="s">
        <v>1710</v>
      </c>
      <c r="B49" s="428"/>
      <c r="C49" s="1084">
        <f>R49</f>
        <v>1300</v>
      </c>
      <c r="D49" s="351"/>
      <c r="E49" s="351"/>
      <c r="F49" s="351"/>
      <c r="G49" s="351"/>
      <c r="H49" s="351"/>
      <c r="I49" s="351"/>
      <c r="J49" s="351"/>
      <c r="K49" s="1768"/>
      <c r="L49" s="2495"/>
      <c r="M49" s="2488"/>
      <c r="N49" s="2488"/>
      <c r="O49" s="2488"/>
      <c r="P49" s="3404" t="str">
        <f>A49</f>
        <v>估价对象XX用房的比较价值（楼面单价，元/平方米）</v>
      </c>
      <c r="Q49" s="3405"/>
      <c r="R49" s="3406">
        <f>IF(F1="售价",ROUND(IF(D48="简单平均",AVERAGE(R48:V48),R48*F48+T48*H48+V48*J48),-2),ROUND(IF(D48="简单平均",AVERAGE(R48:V48),R48*F48+T48*H48+V48*J48),1))</f>
        <v>1300</v>
      </c>
      <c r="S49" s="3406"/>
      <c r="T49" s="3406"/>
      <c r="U49" s="3406"/>
      <c r="V49" s="3406"/>
      <c r="W49" s="340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0.15384615384615374</v>
      </c>
      <c r="F52" s="435" t="str">
        <f>IF(OR(E52&gt;=0.3,E52&lt;=-0.3),"超过30%","")</f>
        <v/>
      </c>
      <c r="G52" s="434">
        <f>IF(G47&lt;G48,G48/G47-1,G47/G48-1)</f>
        <v>0.15384615384615374</v>
      </c>
      <c r="H52" s="435" t="str">
        <f>IF(OR(G52&gt;=0.3,G52&lt;=-0.3),"超过30%","")</f>
        <v/>
      </c>
      <c r="I52" s="434">
        <f>IF(I47&lt;I48,I48/I47-1,I47/I48-1)</f>
        <v>0.16666666666666674</v>
      </c>
      <c r="J52" s="435" t="str">
        <f>IF(OR(I52&gt;=0.3,I52&lt;=-0.3),"超过30%","")</f>
        <v/>
      </c>
      <c r="K52" s="2500"/>
      <c r="L52" s="2496"/>
      <c r="M52" s="2488"/>
      <c r="N52" s="2488"/>
      <c r="O52" s="2488"/>
    </row>
    <row r="53" spans="1:29" ht="13.5" customHeight="1">
      <c r="A53" s="2488"/>
      <c r="B53" s="2488"/>
      <c r="C53" s="432" t="s">
        <v>1712</v>
      </c>
      <c r="D53" s="436"/>
      <c r="E53" s="434">
        <f>IF(E48&lt;G48,G48/E48-1,E48/G48-1)</f>
        <v>0</v>
      </c>
      <c r="F53" s="435" t="str">
        <f>IF(OR(E53&gt;=0.2,E53&lt;=-0.2),"超过20%","")</f>
        <v/>
      </c>
      <c r="G53" s="434">
        <f>IF(G48&lt;I48,I48/G48-1,G48/I48-1)</f>
        <v>8.3333333333333259E-2</v>
      </c>
      <c r="H53" s="435" t="str">
        <f>IF(OR(G53&gt;=0.2,G53&lt;=-0.2),"超过20%","")</f>
        <v/>
      </c>
      <c r="I53" s="434">
        <f>IF(I48&lt;E48,E48/I48-1,I48/E48-1)</f>
        <v>8.3333333333333259E-2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v>
      </c>
      <c r="F54" s="435" t="str">
        <f>IF(OR(E54&gt;=0.3,E54&lt;=-0.3),"超过30%","")</f>
        <v/>
      </c>
      <c r="G54" s="434">
        <f>IF(G47&lt;I47,I47/G47-1,G47/I47-1)</f>
        <v>7.1428571428571397E-2</v>
      </c>
      <c r="H54" s="435" t="str">
        <f>IF(OR(G54&gt;=0.3,G54&lt;=-0.3),"超过30%","")</f>
        <v/>
      </c>
      <c r="I54" s="434">
        <f>IF(I47&lt;E47,E47/I47-1,I47/E47-1)</f>
        <v>7.1428571428571397E-2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47" t="s">
        <v>3426</v>
      </c>
      <c r="D114" s="3147" t="s">
        <v>3428</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1" priority="13"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4"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1" xr:uid="{EA9AA969-8332-4022-967E-E9170CD05E00}">
      <formula1>"项目模式,单套模式"</formula1>
    </dataValidation>
    <dataValidation type="list" allowBlank="1" showInputMessage="1" showErrorMessage="1" sqref="D48" xr:uid="{66B66F78-B08B-4776-8D41-3B2C5A7AE8C8}">
      <formula1>"简单平均,加权平均"</formula1>
    </dataValidation>
    <dataValidation type="list" allowBlank="1" showInputMessage="1" showErrorMessage="1" sqref="F2" xr:uid="{F575C889-9E4E-4DF5-B8ED-45BA17D98B70}">
      <formula1>估价方法</formula1>
    </dataValidation>
    <dataValidation type="list" allowBlank="1" showInputMessage="1" showErrorMessage="1" sqref="C2" xr:uid="{440945FA-DBD0-4A1F-AAF0-8BD88B0D13DA}">
      <formula1>"需扣减承租人权益,——"</formula1>
    </dataValidation>
    <dataValidation type="list" allowBlank="1" showInputMessage="1" showErrorMessage="1" sqref="F1" xr:uid="{A56B18CD-CCE1-4F30-8BE4-64D1F5F71B0A}">
      <formula1>"售价,租金"</formula1>
    </dataValidation>
    <dataValidation type="list" allowBlank="1" showInputMessage="1" showErrorMessage="1" sqref="C22 E22 G22 I22" xr:uid="{2E7A0E1D-8281-466B-8F07-6696219E0A13}">
      <formula1>基础设施水平</formula1>
    </dataValidation>
    <dataValidation type="list" allowBlank="1" showInputMessage="1" showErrorMessage="1" sqref="E9 G9 I9" xr:uid="{B13AFB77-B7EB-4D86-AB5B-928EF7B082B1}">
      <formula1>住宅用途</formula1>
    </dataValidation>
    <dataValidation type="list" allowBlank="1" showInputMessage="1" showErrorMessage="1" sqref="D1" xr:uid="{30FF12F7-2FB9-43B5-B8B4-13877164EE00}">
      <formula1>项目类型</formula1>
    </dataValidation>
    <dataValidation type="list" allowBlank="1" showInputMessage="1" showErrorMessage="1" sqref="E8 G8 I8 C8" xr:uid="{A3FCE117-2D98-4387-96B8-190FE1D1AD46}">
      <formula1>住宅交易情况</formula1>
    </dataValidation>
    <dataValidation type="list" allowBlank="1" showInputMessage="1" showErrorMessage="1" sqref="E43 G43 I43 C43" xr:uid="{6F19E221-7D2E-4606-A7EA-AFBEDB457DD1}">
      <formula1>内部装修维护情况</formula1>
    </dataValidation>
    <dataValidation type="list" allowBlank="1" showInputMessage="1" showErrorMessage="1" sqref="E42 G42 I42 C42" xr:uid="{B21393B2-321F-4FAF-BCDE-E3B2BBA73013}">
      <formula1>住宅内部装修</formula1>
    </dataValidation>
    <dataValidation type="list" allowBlank="1" showInputMessage="1" showErrorMessage="1" sqref="E40 G40 I40 C40" xr:uid="{2CCDEA0C-6E00-453E-8490-D3582B3E636A}">
      <formula1>住宅房型</formula1>
    </dataValidation>
    <dataValidation type="list" allowBlank="1" showInputMessage="1" showErrorMessage="1" sqref="E39 G39 I39 C39" xr:uid="{10CFB24B-0712-405F-A705-1084B51F8DB9}">
      <formula1>住宅基础设施水平</formula1>
    </dataValidation>
    <dataValidation type="list" allowBlank="1" showInputMessage="1" showErrorMessage="1" sqref="E38 G38 I38 C38" xr:uid="{0FF24BC3-8BA9-4C82-B1BF-82220E700E16}">
      <formula1>住宅物业管理</formula1>
    </dataValidation>
    <dataValidation type="list" allowBlank="1" showInputMessage="1" showErrorMessage="1" sqref="E36 G36 I36 C36" xr:uid="{62EA8787-B22B-4BE2-91A8-730659CDF9D1}">
      <formula1>住宅公共部分装修</formula1>
    </dataValidation>
    <dataValidation type="list" allowBlank="1" showInputMessage="1" showErrorMessage="1" sqref="E35 G35 I35 C35" xr:uid="{1E123885-60A3-4FB8-B62E-874AFA2D0CC1}">
      <formula1>住宅建筑品质</formula1>
    </dataValidation>
    <dataValidation type="list" allowBlank="1" showInputMessage="1" showErrorMessage="1" sqref="E34 G34 I34 C34" xr:uid="{865DF60B-AF1A-4560-98FD-514DF02BB1EF}">
      <formula1>住宅建筑结构</formula1>
    </dataValidation>
    <dataValidation type="list" allowBlank="1" showInputMessage="1" showErrorMessage="1" sqref="E32 G32 I32 C32" xr:uid="{DA48D0E6-F690-427A-9DF5-D2E56562BACD}">
      <formula1>住宅建筑类型</formula1>
    </dataValidation>
    <dataValidation type="list" allowBlank="1" showInputMessage="1" showErrorMessage="1" sqref="E26 G26 I26 C26" xr:uid="{4A0D0E4A-B5AB-42BB-B2F7-EF5436D483D1}">
      <formula1>住宅朝向</formula1>
    </dataValidation>
    <dataValidation type="list" allowBlank="1" showInputMessage="1" showErrorMessage="1" sqref="E25 G25 I25 C25" xr:uid="{E77B6C4D-F89D-47B3-8CF5-F656594784C5}">
      <formula1>住宅楼层</formula1>
    </dataValidation>
    <dataValidation type="list" allowBlank="1" showInputMessage="1" showErrorMessage="1" sqref="C20 G20 E20 I20" xr:uid="{89BCC1B9-442F-4B01-A11B-D99F4CD345BF}">
      <formula1>公共配套设施</formula1>
    </dataValidation>
    <dataValidation type="list" allowBlank="1" showInputMessage="1" showErrorMessage="1" sqref="E18 G18 I18 C18" xr:uid="{D0FFFD3C-551A-41FB-862A-826D34CE798B}">
      <formula1>交通便捷度</formula1>
    </dataValidation>
    <dataValidation type="list" allowBlank="1" showInputMessage="1" showErrorMessage="1" sqref="E16 G16 I16 C16" xr:uid="{F3EE1363-7764-43A1-998C-E30C9ED7354D}">
      <formula1>居住社区成熟度</formula1>
    </dataValidation>
    <dataValidation type="list" allowBlank="1" showInputMessage="1" showErrorMessage="1" sqref="E24 G24 I24 C24" xr:uid="{A358BD43-076E-414A-AAE7-980F8D2AE9DF}">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115" zoomScaleNormal="70" zoomScaleSheetLayoutView="115" workbookViewId="0">
      <selection activeCell="A53" sqref="A5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ht="15">
      <c r="A5" s="348"/>
      <c r="B5" s="349"/>
      <c r="C5" s="3383" t="s">
        <v>1673</v>
      </c>
      <c r="D5" s="3384"/>
      <c r="E5" s="3417" t="str">
        <f>商业!P57</f>
        <v>漷县商铺</v>
      </c>
      <c r="F5" s="3382"/>
      <c r="G5" s="3418" t="str">
        <f>商业!P58</f>
        <v>漷县商铺</v>
      </c>
      <c r="H5" s="3384"/>
      <c r="I5" s="3418" t="str">
        <f>商业!P60</f>
        <v>于家务商铺</v>
      </c>
      <c r="J5" s="3384"/>
      <c r="K5" s="537"/>
      <c r="L5" s="2487"/>
      <c r="M5" s="2488"/>
      <c r="N5" s="2488"/>
      <c r="O5" s="2488"/>
      <c r="P5" s="3396"/>
      <c r="Q5" s="3397"/>
      <c r="R5" s="3379"/>
      <c r="S5" s="3380"/>
      <c r="T5" s="3379"/>
      <c r="U5" s="3380"/>
      <c r="V5" s="3402"/>
      <c r="W5" s="3402"/>
      <c r="X5" s="1265"/>
      <c r="Y5" s="3379"/>
      <c r="Z5" s="3380"/>
      <c r="AA5" s="3373"/>
      <c r="AB5" s="3402"/>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402"/>
      <c r="AC6" s="3374"/>
    </row>
    <row r="7" spans="1:29" s="102" customFormat="1" ht="15.75" thickBot="1">
      <c r="A7" s="352" t="s">
        <v>1679</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38"/>
      <c r="L7" s="2489"/>
      <c r="M7" s="2440"/>
      <c r="N7" s="2440"/>
      <c r="O7" s="2440"/>
      <c r="P7" s="3375" t="s">
        <v>1680</v>
      </c>
      <c r="Q7" s="3403"/>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t="s">
        <v>3382</v>
      </c>
      <c r="D8" s="355">
        <v>100</v>
      </c>
      <c r="E8" s="358" t="s">
        <v>3434</v>
      </c>
      <c r="F8" s="357">
        <f>SUMIF(61:61,E8,62:62)-SUMIF(61:61,C8,62:62)+100</f>
        <v>103</v>
      </c>
      <c r="G8" s="358" t="s">
        <v>3434</v>
      </c>
      <c r="H8" s="355">
        <f>SUMIF(61:61,G8,62:62)-SUMIF(61:61,C8,62:62)+100</f>
        <v>103</v>
      </c>
      <c r="I8" s="358" t="s">
        <v>3434</v>
      </c>
      <c r="J8" s="355">
        <f>SUMIF(61:61,I8,62:62)-SUMIF(61:61,C8,62:62)+100</f>
        <v>103</v>
      </c>
      <c r="K8" s="38"/>
      <c r="L8" s="2489"/>
      <c r="M8" s="2440"/>
      <c r="N8" s="2440"/>
      <c r="O8" s="2440"/>
      <c r="P8" s="3375" t="s">
        <v>1683</v>
      </c>
      <c r="Q8" s="3376"/>
      <c r="R8" s="664" t="s">
        <v>14</v>
      </c>
      <c r="S8" s="665">
        <f t="shared" si="0"/>
        <v>103</v>
      </c>
      <c r="T8" s="664" t="s">
        <v>14</v>
      </c>
      <c r="U8" s="665">
        <f t="shared" si="1"/>
        <v>103</v>
      </c>
      <c r="V8" s="664" t="s">
        <v>14</v>
      </c>
      <c r="W8" s="665">
        <f t="shared" si="2"/>
        <v>103</v>
      </c>
      <c r="X8" s="666"/>
      <c r="Y8" s="3375" t="s">
        <v>1683</v>
      </c>
      <c r="Z8" s="3376"/>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5" t="s">
        <v>3383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102</v>
      </c>
      <c r="K15" s="540">
        <v>2</v>
      </c>
      <c r="L15" s="2493"/>
      <c r="M15" s="2488"/>
      <c r="N15" s="2488"/>
      <c r="O15" s="2488"/>
      <c r="P15" s="3415" t="s">
        <v>1691</v>
      </c>
      <c r="Q15" s="1263" t="str">
        <f t="shared" si="6"/>
        <v>商业繁华度</v>
      </c>
      <c r="R15" s="667" t="s">
        <v>14</v>
      </c>
      <c r="S15" s="668">
        <f t="shared" si="0"/>
        <v>100</v>
      </c>
      <c r="T15" s="667" t="s">
        <v>14</v>
      </c>
      <c r="U15" s="668">
        <f t="shared" si="1"/>
        <v>100</v>
      </c>
      <c r="V15" s="667" t="s">
        <v>14</v>
      </c>
      <c r="W15" s="668">
        <f t="shared" si="2"/>
        <v>102</v>
      </c>
      <c r="X15" s="1265"/>
      <c r="Y15" s="3408" t="s">
        <v>1691</v>
      </c>
      <c r="Z15" s="1264" t="str">
        <f t="shared" si="7"/>
        <v>商业繁华度</v>
      </c>
      <c r="AA15" s="1264">
        <f t="shared" si="3"/>
        <v>1</v>
      </c>
      <c r="AB15" s="1264">
        <f t="shared" si="4"/>
        <v>1</v>
      </c>
      <c r="AC15" s="1264">
        <f t="shared" si="5"/>
        <v>0.98039215686274506</v>
      </c>
    </row>
    <row r="16" spans="1:29" ht="15">
      <c r="A16" s="367"/>
      <c r="B16" s="385"/>
      <c r="C16" s="386" t="s">
        <v>3384</v>
      </c>
      <c r="D16" s="387"/>
      <c r="E16" s="386" t="s">
        <v>3384</v>
      </c>
      <c r="F16" s="388"/>
      <c r="G16" s="386" t="s">
        <v>3384</v>
      </c>
      <c r="H16" s="389"/>
      <c r="I16" s="386" t="s">
        <v>3389</v>
      </c>
      <c r="J16" s="387"/>
      <c r="K16" s="541"/>
      <c r="L16" s="2493"/>
      <c r="M16" s="2488"/>
      <c r="N16" s="2488"/>
      <c r="O16" s="2488"/>
      <c r="P16" s="3416"/>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t="s">
        <v>3384</v>
      </c>
      <c r="D18" s="389"/>
      <c r="E18" s="1755" t="s">
        <v>3384</v>
      </c>
      <c r="F18" s="392"/>
      <c r="G18" s="1755" t="s">
        <v>3384</v>
      </c>
      <c r="H18" s="387"/>
      <c r="I18" s="1755" t="s">
        <v>3384</v>
      </c>
      <c r="J18" s="387"/>
      <c r="K18" s="541"/>
      <c r="L18" s="2493"/>
      <c r="M18" s="2488"/>
      <c r="N18" s="2488"/>
      <c r="O18" s="2488"/>
      <c r="P18" s="3416"/>
      <c r="Q18" s="1263"/>
      <c r="R18" s="667"/>
      <c r="S18" s="668"/>
      <c r="T18" s="667"/>
      <c r="U18" s="668"/>
      <c r="V18" s="667"/>
      <c r="W18" s="668"/>
      <c r="X18" s="1265"/>
      <c r="Y18" s="340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t="s">
        <v>3384</v>
      </c>
      <c r="D20" s="387"/>
      <c r="E20" s="1755" t="s">
        <v>3384</v>
      </c>
      <c r="F20" s="388"/>
      <c r="G20" s="1755" t="s">
        <v>3384</v>
      </c>
      <c r="H20" s="387"/>
      <c r="I20" s="1755" t="s">
        <v>3384</v>
      </c>
      <c r="J20" s="387"/>
      <c r="K20" s="541"/>
      <c r="L20" s="2493"/>
      <c r="M20" s="2488"/>
      <c r="N20" s="2488"/>
      <c r="O20" s="2488"/>
      <c r="P20" s="3416"/>
      <c r="Q20" s="1263"/>
      <c r="R20" s="667"/>
      <c r="S20" s="668"/>
      <c r="T20" s="667"/>
      <c r="U20" s="668"/>
      <c r="V20" s="667"/>
      <c r="W20" s="668"/>
      <c r="X20" s="1265"/>
      <c r="Y20" s="340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1755" t="s">
        <v>3384</v>
      </c>
      <c r="F22" s="388"/>
      <c r="G22" s="1755" t="s">
        <v>3384</v>
      </c>
      <c r="H22" s="387"/>
      <c r="I22" s="1755" t="s">
        <v>3384</v>
      </c>
      <c r="J22" s="387"/>
      <c r="K22" s="1064"/>
      <c r="L22" s="2493"/>
      <c r="M22" s="2488"/>
      <c r="N22" s="2488"/>
      <c r="O22" s="2488"/>
      <c r="P22" s="3416"/>
      <c r="Q22" s="1263"/>
      <c r="R22" s="667"/>
      <c r="S22" s="668"/>
      <c r="T22" s="667"/>
      <c r="U22" s="668"/>
      <c r="V22" s="667"/>
      <c r="W22" s="668"/>
      <c r="X22" s="1265"/>
      <c r="Y22" s="340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1</v>
      </c>
      <c r="L23" s="2493"/>
      <c r="M23" s="2488"/>
      <c r="N23" s="2488"/>
      <c r="O23" s="2488"/>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t="s">
        <v>3385</v>
      </c>
      <c r="D24" s="387"/>
      <c r="E24" s="1752" t="s">
        <v>3385</v>
      </c>
      <c r="F24" s="388"/>
      <c r="G24" s="1751" t="s">
        <v>3385</v>
      </c>
      <c r="H24" s="387"/>
      <c r="I24" s="1752" t="s">
        <v>3385</v>
      </c>
      <c r="J24" s="387"/>
      <c r="K24" s="541"/>
      <c r="L24" s="2493"/>
      <c r="M24" s="2488"/>
      <c r="N24" s="2488"/>
      <c r="O24" s="2488"/>
      <c r="P24" s="3416"/>
      <c r="Q24" s="1263"/>
      <c r="R24" s="667"/>
      <c r="S24" s="668"/>
      <c r="T24" s="667"/>
      <c r="U24" s="668"/>
      <c r="V24" s="667"/>
      <c r="W24" s="668"/>
      <c r="X24" s="1265"/>
      <c r="Y24" s="3409"/>
      <c r="Z24" s="1264"/>
      <c r="AA24" s="1264">
        <v>1</v>
      </c>
      <c r="AB24" s="1264">
        <v>1</v>
      </c>
      <c r="AC24" s="1264">
        <v>1</v>
      </c>
    </row>
    <row r="25" spans="1:29" ht="15">
      <c r="A25" s="367"/>
      <c r="B25" s="364" t="s">
        <v>1780</v>
      </c>
      <c r="C25" s="542" t="s">
        <v>3397</v>
      </c>
      <c r="D25" s="374">
        <v>100</v>
      </c>
      <c r="E25" s="542" t="s">
        <v>3397</v>
      </c>
      <c r="F25" s="400">
        <f>SUMIF(86:86,E25,87:87)-SUMIF(86:86,C25,87:87)+100</f>
        <v>100</v>
      </c>
      <c r="G25" s="542" t="s">
        <v>3397</v>
      </c>
      <c r="H25" s="374">
        <f>SUMIF(86:86,G25,87:87)-SUMIF(86:86,C25,87:87)+100</f>
        <v>100</v>
      </c>
      <c r="I25" s="542" t="s">
        <v>3397</v>
      </c>
      <c r="J25" s="374">
        <f>SUMIF(86:86,I25,87:87)-SUMIF(86:86,C25,87:87)+100</f>
        <v>100</v>
      </c>
      <c r="K25" s="538">
        <v>2</v>
      </c>
      <c r="L25" s="2493"/>
      <c r="M25" s="2488"/>
      <c r="N25" s="2488"/>
      <c r="O25" s="2488"/>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t="s">
        <v>3384</v>
      </c>
      <c r="D27" s="401">
        <v>100</v>
      </c>
      <c r="E27" s="1807" t="s">
        <v>3384</v>
      </c>
      <c r="F27" s="395">
        <f>SUMIF(90:90,E27,91:91)-SUMIF(90:90,C27,91:91)+100</f>
        <v>100</v>
      </c>
      <c r="G27" s="1807" t="s">
        <v>3384</v>
      </c>
      <c r="H27" s="401">
        <f>SUMIF(90:90,G27,91:91)-SUMIF(90:90,C27,91:91)+100</f>
        <v>100</v>
      </c>
      <c r="I27" s="1807" t="s">
        <v>3399</v>
      </c>
      <c r="J27" s="401">
        <f>SUMIF(90:90,I27,91:91)-SUMIF(90:90,C27,91:91)+100</f>
        <v>102</v>
      </c>
      <c r="K27" s="538">
        <v>2</v>
      </c>
      <c r="L27" s="2489"/>
      <c r="M27" s="2440"/>
      <c r="N27" s="2440"/>
      <c r="O27" s="2440"/>
      <c r="P27" s="3416"/>
      <c r="Q27" s="530" t="str">
        <f t="shared" si="11"/>
        <v>人流量</v>
      </c>
      <c r="R27" s="664" t="s">
        <v>14</v>
      </c>
      <c r="S27" s="665">
        <f>F27</f>
        <v>100</v>
      </c>
      <c r="T27" s="664" t="s">
        <v>14</v>
      </c>
      <c r="U27" s="665">
        <f>H27</f>
        <v>100</v>
      </c>
      <c r="V27" s="664" t="s">
        <v>14</v>
      </c>
      <c r="W27" s="665">
        <f>J27</f>
        <v>102</v>
      </c>
      <c r="X27" s="666"/>
      <c r="Y27" s="3409"/>
      <c r="Z27" s="50" t="str">
        <f>Q27</f>
        <v>人流量</v>
      </c>
      <c r="AA27" s="1264">
        <f>D27/F27</f>
        <v>1</v>
      </c>
      <c r="AB27" s="1264">
        <f>D27/H27</f>
        <v>1</v>
      </c>
      <c r="AC27" s="1264">
        <f>D27/J27</f>
        <v>0.98039215686274506</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hidden="1">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411"/>
      <c r="Q33" s="531" t="str">
        <f t="shared" si="11"/>
        <v>项目建筑规模</v>
      </c>
      <c r="R33" s="669" t="s">
        <v>14</v>
      </c>
      <c r="S33" s="670">
        <f t="shared" si="12"/>
        <v>100</v>
      </c>
      <c r="T33" s="669" t="s">
        <v>14</v>
      </c>
      <c r="U33" s="670">
        <f t="shared" si="13"/>
        <v>100</v>
      </c>
      <c r="V33" s="669" t="s">
        <v>14</v>
      </c>
      <c r="W33" s="670">
        <f t="shared" si="14"/>
        <v>100</v>
      </c>
      <c r="X33" s="671"/>
      <c r="Y33" s="3413"/>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hidden="1">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11"/>
      <c r="Q36" s="1263" t="str">
        <f t="shared" si="11"/>
        <v>成新度</v>
      </c>
      <c r="R36" s="667" t="s">
        <v>14</v>
      </c>
      <c r="S36" s="668">
        <f t="shared" si="12"/>
        <v>100</v>
      </c>
      <c r="T36" s="667" t="s">
        <v>14</v>
      </c>
      <c r="U36" s="668">
        <f t="shared" si="13"/>
        <v>100</v>
      </c>
      <c r="V36" s="667" t="s">
        <v>14</v>
      </c>
      <c r="W36" s="668">
        <f t="shared" si="14"/>
        <v>100</v>
      </c>
      <c r="X36" s="1265"/>
      <c r="Y36" s="341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5">
      <c r="A47" s="416" t="s">
        <v>1708</v>
      </c>
      <c r="B47" s="417"/>
      <c r="C47" s="1081" t="s">
        <v>0</v>
      </c>
      <c r="D47" s="418"/>
      <c r="E47" s="419">
        <v>1.98</v>
      </c>
      <c r="F47" s="420"/>
      <c r="G47" s="421">
        <v>1.65</v>
      </c>
      <c r="H47" s="422"/>
      <c r="I47" s="419">
        <v>1.86</v>
      </c>
      <c r="J47" s="422"/>
      <c r="K47" s="674"/>
      <c r="L47" s="2495"/>
      <c r="M47" s="2488"/>
      <c r="N47" s="2488"/>
      <c r="O47" s="2488"/>
      <c r="P47" s="3407" t="str">
        <f>A47</f>
        <v>成交单价（元/平方米）</v>
      </c>
      <c r="Q47" s="3407"/>
      <c r="R47" s="3402">
        <f>E47</f>
        <v>1.98</v>
      </c>
      <c r="S47" s="3402"/>
      <c r="T47" s="3402">
        <f>G47</f>
        <v>1.65</v>
      </c>
      <c r="U47" s="3402"/>
      <c r="V47" s="3402">
        <f>I47</f>
        <v>1.86</v>
      </c>
      <c r="W47" s="3402"/>
      <c r="X47" s="385"/>
      <c r="Y47" s="673"/>
      <c r="Z47" s="385"/>
      <c r="AA47" s="385"/>
      <c r="AB47" s="385"/>
      <c r="AC47" s="385"/>
    </row>
    <row r="48" spans="1:29" ht="15.75" thickBot="1">
      <c r="A48" s="423" t="s">
        <v>1793</v>
      </c>
      <c r="B48" s="424"/>
      <c r="C48" s="1082">
        <f>R49</f>
        <v>1.75</v>
      </c>
      <c r="D48" s="2141" t="s">
        <v>2138</v>
      </c>
      <c r="E48" s="1083">
        <f>R48</f>
        <v>1.92</v>
      </c>
      <c r="F48" s="2142"/>
      <c r="G48" s="1082">
        <f>T48</f>
        <v>1.6</v>
      </c>
      <c r="H48" s="2142"/>
      <c r="I48" s="1083">
        <f>V48</f>
        <v>1.74</v>
      </c>
      <c r="J48" s="2142"/>
      <c r="K48" s="2144">
        <f>F48+H48+J48</f>
        <v>0</v>
      </c>
      <c r="L48" s="2495"/>
      <c r="M48" s="2488"/>
      <c r="N48" s="2488"/>
      <c r="O48" s="2488"/>
      <c r="P48" s="3407" t="str">
        <f>A48</f>
        <v>比较价值（元/平方米）</v>
      </c>
      <c r="Q48" s="3407"/>
      <c r="R48" s="3402">
        <f>IF(F1="售价",ROUND(PRODUCT(R47,AA7:AA46),0),ROUND(PRODUCT(R47,AA7:AA46),2))</f>
        <v>1.92</v>
      </c>
      <c r="S48" s="3402"/>
      <c r="T48" s="3402">
        <f>IF(F1="售价",ROUND(PRODUCT(T47,AB7:AB46),0),ROUND(PRODUCT(T47,AB7:AB46),2))</f>
        <v>1.6</v>
      </c>
      <c r="U48" s="3402"/>
      <c r="V48" s="3402">
        <f>IF(F1="售价",ROUND(PRODUCT(V47,AC7:AC46),0),ROUND(PRODUCT(V47,AC7:AC46),2))</f>
        <v>1.74</v>
      </c>
      <c r="W48" s="3402"/>
      <c r="X48" s="385"/>
      <c r="Y48" s="385"/>
      <c r="Z48" s="385"/>
      <c r="AA48" s="385"/>
      <c r="AB48" s="385"/>
      <c r="AC48" s="385"/>
    </row>
    <row r="49" spans="1:29" ht="15.75" thickBot="1">
      <c r="A49" s="427" t="s">
        <v>1794</v>
      </c>
      <c r="B49" s="428"/>
      <c r="C49" s="351">
        <f>R49</f>
        <v>1.75</v>
      </c>
      <c r="D49" s="351"/>
      <c r="E49" s="351"/>
      <c r="F49" s="351"/>
      <c r="G49" s="351"/>
      <c r="H49" s="351"/>
      <c r="I49" s="351"/>
      <c r="J49" s="351"/>
      <c r="K49" s="675"/>
      <c r="L49" s="2495"/>
      <c r="M49" s="2488"/>
      <c r="N49" s="2488"/>
      <c r="O49" s="2488"/>
      <c r="P49" s="3404" t="str">
        <f>A49</f>
        <v>估价对象XX用房的比较价值（楼面单价，元/平方米）</v>
      </c>
      <c r="Q49" s="3405"/>
      <c r="R49" s="3406">
        <f>IF(F1="售价",ROUND(IF(D48="简单平均",AVERAGE(R48:V48),R48*F48+T48*H48+V48*J48),0),ROUND(IF(D48="简单平均",AVERAGE(R48:V48),R48*F48+T48*H48+V48*J48),2))</f>
        <v>1.75</v>
      </c>
      <c r="S49" s="3406"/>
      <c r="T49" s="3406"/>
      <c r="U49" s="3406"/>
      <c r="V49" s="3406"/>
      <c r="W49" s="340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f>ROUND($C$48*B51,2)</f>
        <v>1.58</v>
      </c>
      <c r="B51" s="2488">
        <v>0.9</v>
      </c>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f>ROUND($C$48*B52,2)</f>
        <v>1.93</v>
      </c>
      <c r="B52" s="2488">
        <v>1.1000000000000001</v>
      </c>
      <c r="C52" s="432" t="s">
        <v>1795</v>
      </c>
      <c r="D52" s="433"/>
      <c r="E52" s="434">
        <f>IF(E47&lt;E48,E48/E47-1,E47/E48-1)</f>
        <v>3.125E-2</v>
      </c>
      <c r="F52" s="435" t="str">
        <f>IF(OR(E52&gt;=0.3,E52&lt;=-0.3),"超过30%","")</f>
        <v/>
      </c>
      <c r="G52" s="434">
        <f>IF(G47&lt;G48,G48/G47-1,G47/G48-1)</f>
        <v>3.1249999999999778E-2</v>
      </c>
      <c r="H52" s="435" t="str">
        <f>IF(OR(G52&gt;=0.3,G52&lt;=-0.3),"超过30%","")</f>
        <v/>
      </c>
      <c r="I52" s="434">
        <f>IF(I47&lt;I48,I48/I47-1,I47/I48-1)</f>
        <v>6.8965517241379448E-2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0.19999999999999996</v>
      </c>
      <c r="F53" s="435" t="str">
        <f>IF(OR(E53&gt;=0.2,E53&lt;=-0.2),"超过20%","")</f>
        <v>超过20%</v>
      </c>
      <c r="G53" s="434">
        <f>IF(G48&lt;I48,I48/G48-1,G48/I48-1)</f>
        <v>8.7499999999999911E-2</v>
      </c>
      <c r="H53" s="435" t="str">
        <f>IF(OR(G53&gt;=0.2,G53&lt;=-0.2),"超过20%","")</f>
        <v/>
      </c>
      <c r="I53" s="434">
        <f>IF(I48&lt;E48,E48/I48-1,I48/E48-1)</f>
        <v>0.10344827586206895</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0.19999999999999996</v>
      </c>
      <c r="F54" s="435" t="str">
        <f>IF(OR(E54&gt;=0.3,E54&lt;=-0.3),"超过30%","")</f>
        <v/>
      </c>
      <c r="G54" s="434">
        <f>IF(G47&lt;I47,I47/G47-1,G47/I47-1)</f>
        <v>0.12727272727272743</v>
      </c>
      <c r="H54" s="435" t="str">
        <f>IF(OR(G54&gt;=0.3,G54&lt;=-0.3),"超过30%","")</f>
        <v/>
      </c>
      <c r="I54" s="434">
        <f>IF(I47&lt;E47,E47/I47-1,I47/E47-1)</f>
        <v>6.4516129032258007E-2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8" t="s">
        <v>3435</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99</v>
      </c>
      <c r="E85" s="475">
        <f>D85-$K23</f>
        <v>98</v>
      </c>
      <c r="F85" s="475">
        <f>E85-$K23</f>
        <v>97</v>
      </c>
      <c r="G85" s="475">
        <f>F85-$K23</f>
        <v>96</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47" t="s">
        <v>3395</v>
      </c>
      <c r="D86" s="3147" t="s">
        <v>3396</v>
      </c>
      <c r="E86" s="3147" t="s">
        <v>3398</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47" t="s">
        <v>3400</v>
      </c>
      <c r="D90" s="3147" t="s">
        <v>3401</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F4FFF-E667-40A0-B765-CB86D778AA2F}">
  <dimension ref="C3:H41"/>
  <sheetViews>
    <sheetView workbookViewId="0">
      <selection activeCell="G35" sqref="G35"/>
    </sheetView>
  </sheetViews>
  <sheetFormatPr defaultRowHeight="13.5"/>
  <sheetData>
    <row r="3" spans="3:7">
      <c r="C3" s="3151" t="s">
        <v>3412</v>
      </c>
      <c r="D3" s="3152">
        <v>18</v>
      </c>
      <c r="E3" s="3152">
        <v>1500</v>
      </c>
      <c r="F3" s="3152">
        <f>E3/D3</f>
        <v>83.333333333333329</v>
      </c>
      <c r="G3" s="1448" t="s">
        <v>3413</v>
      </c>
    </row>
    <row r="4" spans="3:7">
      <c r="C4" s="1448" t="s">
        <v>3414</v>
      </c>
      <c r="D4" s="3150">
        <v>68</v>
      </c>
      <c r="E4" s="3150">
        <v>5000</v>
      </c>
      <c r="F4" s="3150">
        <f t="shared" ref="F4:F10" si="0">ROUND(E4/D4,2)</f>
        <v>73.53</v>
      </c>
      <c r="G4" s="1448" t="s">
        <v>3415</v>
      </c>
    </row>
    <row r="5" spans="3:7">
      <c r="C5" s="1448" t="s">
        <v>3421</v>
      </c>
      <c r="D5" s="3150">
        <v>40</v>
      </c>
      <c r="E5" s="3150">
        <v>1800</v>
      </c>
      <c r="F5" s="3150">
        <v>40</v>
      </c>
      <c r="G5" s="1448" t="s">
        <v>3413</v>
      </c>
    </row>
    <row r="6" spans="3:7">
      <c r="C6" s="3151" t="s">
        <v>3422</v>
      </c>
      <c r="D6" s="3152">
        <v>25</v>
      </c>
      <c r="E6" s="3152">
        <v>1500</v>
      </c>
      <c r="F6" s="3150">
        <v>55</v>
      </c>
      <c r="G6" s="1448" t="s">
        <v>3413</v>
      </c>
    </row>
    <row r="7" spans="3:7">
      <c r="C7" s="3151" t="s">
        <v>3423</v>
      </c>
      <c r="D7" s="3152">
        <v>20</v>
      </c>
      <c r="E7" s="3152">
        <v>1400</v>
      </c>
      <c r="F7" s="3150">
        <v>50</v>
      </c>
      <c r="G7" s="1448" t="s">
        <v>3413</v>
      </c>
    </row>
    <row r="8" spans="3:7">
      <c r="C8" s="1448" t="s">
        <v>3424</v>
      </c>
      <c r="D8" s="3150">
        <v>30</v>
      </c>
      <c r="E8" s="3150">
        <v>1800</v>
      </c>
      <c r="F8" s="3150">
        <f t="shared" si="0"/>
        <v>60</v>
      </c>
      <c r="G8" s="1448" t="s">
        <v>3413</v>
      </c>
    </row>
    <row r="9" spans="3:7">
      <c r="C9" s="1448" t="s">
        <v>3425</v>
      </c>
      <c r="D9" s="3150">
        <v>28</v>
      </c>
      <c r="E9" s="3150">
        <v>2300</v>
      </c>
      <c r="F9" s="3150">
        <v>55</v>
      </c>
      <c r="G9" s="1448" t="s">
        <v>3413</v>
      </c>
    </row>
    <row r="10" spans="3:7">
      <c r="C10" s="3150"/>
      <c r="D10" s="3150"/>
      <c r="E10" s="3150"/>
      <c r="F10" s="3150" t="e">
        <f t="shared" si="0"/>
        <v>#DIV/0!</v>
      </c>
      <c r="G10" s="3150"/>
    </row>
    <row r="11" spans="3:7">
      <c r="C11" s="1448" t="s">
        <v>3416</v>
      </c>
      <c r="D11" s="3150">
        <v>50</v>
      </c>
      <c r="E11" s="3150">
        <v>1900</v>
      </c>
      <c r="F11" s="3150">
        <f t="shared" ref="F11:F17" si="1">ROUND(E11/D11,2)</f>
        <v>38</v>
      </c>
      <c r="G11" s="1448" t="s">
        <v>3413</v>
      </c>
    </row>
    <row r="12" spans="3:7">
      <c r="C12" s="3153" t="s">
        <v>3417</v>
      </c>
      <c r="D12" s="3153">
        <v>66.03</v>
      </c>
      <c r="E12" s="3153">
        <v>2650</v>
      </c>
      <c r="F12" s="3153">
        <f t="shared" si="1"/>
        <v>40.130000000000003</v>
      </c>
      <c r="G12" s="3153" t="s">
        <v>3413</v>
      </c>
    </row>
    <row r="13" spans="3:7">
      <c r="C13" s="3154" t="s">
        <v>3418</v>
      </c>
      <c r="D13" s="3155">
        <v>92</v>
      </c>
      <c r="E13" s="3155">
        <v>2266</v>
      </c>
      <c r="F13" s="3155">
        <f t="shared" si="1"/>
        <v>24.63</v>
      </c>
      <c r="G13" s="3154" t="s">
        <v>3415</v>
      </c>
    </row>
    <row r="14" spans="3:7">
      <c r="C14" s="3154" t="s">
        <v>3419</v>
      </c>
      <c r="D14" s="3155">
        <v>70</v>
      </c>
      <c r="E14" s="3155">
        <v>1900</v>
      </c>
      <c r="F14" s="3155">
        <f t="shared" si="1"/>
        <v>27.14</v>
      </c>
      <c r="G14" s="3154" t="s">
        <v>3415</v>
      </c>
    </row>
    <row r="15" spans="3:7">
      <c r="C15" s="1448" t="s">
        <v>3420</v>
      </c>
      <c r="D15" s="3150">
        <v>79.8</v>
      </c>
      <c r="E15" s="3150">
        <v>2399</v>
      </c>
      <c r="F15" s="3150">
        <f t="shared" si="1"/>
        <v>30.06</v>
      </c>
      <c r="G15" s="1448" t="s">
        <v>3415</v>
      </c>
    </row>
    <row r="16" spans="3:7">
      <c r="C16" s="1448" t="s">
        <v>3420</v>
      </c>
      <c r="D16" s="3150">
        <v>53</v>
      </c>
      <c r="E16" s="3150">
        <v>1900</v>
      </c>
      <c r="F16" s="3150">
        <f t="shared" si="1"/>
        <v>35.85</v>
      </c>
      <c r="G16" s="1448" t="s">
        <v>3413</v>
      </c>
    </row>
    <row r="17" spans="3:6">
      <c r="C17" s="3154" t="s">
        <v>3429</v>
      </c>
      <c r="D17" s="3155">
        <v>109</v>
      </c>
      <c r="E17" s="3155">
        <v>2800</v>
      </c>
      <c r="F17" s="3155">
        <f t="shared" si="1"/>
        <v>25.69</v>
      </c>
    </row>
    <row r="41" spans="8:8">
      <c r="H41" s="1405"/>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3" t="s">
        <v>1673</v>
      </c>
      <c r="D5" s="3384"/>
      <c r="E5" s="3381" t="s">
        <v>1674</v>
      </c>
      <c r="F5" s="3382"/>
      <c r="G5" s="3383" t="s">
        <v>1675</v>
      </c>
      <c r="H5" s="3384"/>
      <c r="I5" s="3383" t="s">
        <v>1676</v>
      </c>
      <c r="J5" s="3384"/>
      <c r="K5" s="537"/>
      <c r="L5" s="2487"/>
      <c r="M5" s="2488"/>
      <c r="N5" s="2488"/>
      <c r="O5" s="2488"/>
      <c r="P5" s="3427"/>
      <c r="Q5" s="3397"/>
      <c r="R5" s="3379"/>
      <c r="S5" s="3380"/>
      <c r="T5" s="3379"/>
      <c r="U5" s="3380"/>
      <c r="V5" s="3402"/>
      <c r="W5" s="3402"/>
      <c r="X5" s="1265"/>
      <c r="Y5" s="3379"/>
      <c r="Z5" s="3380"/>
      <c r="AA5" s="3373"/>
      <c r="AB5" s="3373"/>
      <c r="AC5" s="342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428"/>
      <c r="Q6" s="3399"/>
      <c r="R6" s="3379"/>
      <c r="S6" s="3380"/>
      <c r="T6" s="3400"/>
      <c r="U6" s="3401"/>
      <c r="V6" s="3402"/>
      <c r="W6" s="3402"/>
      <c r="X6" s="1265"/>
      <c r="Y6" s="3400"/>
      <c r="Z6" s="3401"/>
      <c r="AA6" s="3374"/>
      <c r="AB6" s="3374"/>
      <c r="AC6" s="3424"/>
    </row>
    <row r="7" spans="1:29" s="102" customFormat="1" ht="15.75" thickBot="1">
      <c r="A7" s="352" t="s">
        <v>1679</v>
      </c>
      <c r="B7" s="353"/>
      <c r="C7" s="354">
        <f>'数据-取费表'!B2</f>
        <v>45624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6"/>
      <c r="Q16" s="1263"/>
      <c r="R16" s="667"/>
      <c r="S16" s="668"/>
      <c r="T16" s="667"/>
      <c r="U16" s="668"/>
      <c r="V16" s="667"/>
      <c r="W16" s="668"/>
      <c r="X16" s="1265"/>
      <c r="Y16" s="340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6"/>
      <c r="Q18" s="1263"/>
      <c r="R18" s="667"/>
      <c r="S18" s="668"/>
      <c r="T18" s="667"/>
      <c r="U18" s="668"/>
      <c r="V18" s="667"/>
      <c r="W18" s="668"/>
      <c r="X18" s="1265"/>
      <c r="Y18" s="340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6"/>
      <c r="Q20" s="1263"/>
      <c r="R20" s="667"/>
      <c r="S20" s="668"/>
      <c r="T20" s="667"/>
      <c r="U20" s="668"/>
      <c r="V20" s="667"/>
      <c r="W20" s="668"/>
      <c r="X20" s="1265"/>
      <c r="Y20" s="340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6"/>
      <c r="Q22" s="1263"/>
      <c r="R22" s="667"/>
      <c r="S22" s="668"/>
      <c r="T22" s="667"/>
      <c r="U22" s="668"/>
      <c r="V22" s="667"/>
      <c r="W22" s="668"/>
      <c r="X22" s="1265"/>
      <c r="Y22" s="340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6"/>
      <c r="Q24" s="1263"/>
      <c r="R24" s="667"/>
      <c r="S24" s="668"/>
      <c r="T24" s="667"/>
      <c r="U24" s="668"/>
      <c r="V24" s="667"/>
      <c r="W24" s="668"/>
      <c r="X24" s="1265"/>
      <c r="Y24" s="340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8" zoomScale="80" zoomScaleNormal="60" zoomScaleSheetLayoutView="80" workbookViewId="0">
      <selection activeCell="B32" sqref="B32: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t="s">
        <v>3390</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tr">
        <f>车库!$N$3</f>
        <v>通瑞嘉苑</v>
      </c>
      <c r="F5" s="3382"/>
      <c r="G5" s="3383" t="str">
        <f>车库!$N$4</f>
        <v>东亚尚品台湖</v>
      </c>
      <c r="H5" s="3384"/>
      <c r="I5" s="3383" t="str">
        <f>车库!$N$5</f>
        <v>金隅自由筑</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v>45108</v>
      </c>
      <c r="F7" s="357">
        <f>SUMIF(48:48,YEAR(E7)&amp;"-"&amp;MONTH(E7),49:49)</f>
        <v>0</v>
      </c>
      <c r="G7" s="356">
        <v>45108</v>
      </c>
      <c r="H7" s="355">
        <f>SUMIF(48:48,YEAR(G7)&amp;"-"&amp;MONTH(G7),49:49)</f>
        <v>0</v>
      </c>
      <c r="I7" s="356">
        <v>45108</v>
      </c>
      <c r="J7" s="355">
        <f>SUMIF(48:48,YEAR(I7)&amp;"-"&amp;MONTH(I7),49:49)</f>
        <v>0</v>
      </c>
      <c r="K7" s="38"/>
      <c r="L7" s="2489"/>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v>0</v>
      </c>
      <c r="L14" s="2493"/>
      <c r="M14" s="2488"/>
      <c r="N14" s="2488"/>
      <c r="O14" s="2488"/>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t="s">
        <v>3384</v>
      </c>
      <c r="D15" s="387"/>
      <c r="E15" s="386" t="s">
        <v>3389</v>
      </c>
      <c r="F15" s="388"/>
      <c r="G15" s="386" t="s">
        <v>3384</v>
      </c>
      <c r="H15" s="389"/>
      <c r="I15" s="386" t="s">
        <v>3389</v>
      </c>
      <c r="J15" s="387"/>
      <c r="K15" s="541"/>
      <c r="L15" s="2493"/>
      <c r="M15" s="2488"/>
      <c r="N15" s="2488"/>
      <c r="O15" s="2488"/>
      <c r="P15" s="3409"/>
      <c r="Q15" s="1263"/>
      <c r="R15" s="667"/>
      <c r="S15" s="668"/>
      <c r="T15" s="667"/>
      <c r="U15" s="668"/>
      <c r="V15" s="667"/>
      <c r="W15" s="668"/>
      <c r="X15" s="1265"/>
      <c r="Y15" s="340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t="s">
        <v>3384</v>
      </c>
      <c r="D17" s="387"/>
      <c r="E17" s="386" t="s">
        <v>3384</v>
      </c>
      <c r="F17" s="388"/>
      <c r="G17" s="386" t="s">
        <v>3384</v>
      </c>
      <c r="H17" s="387"/>
      <c r="I17" s="386" t="s">
        <v>3384</v>
      </c>
      <c r="J17" s="387"/>
      <c r="K17" s="541"/>
      <c r="L17" s="2493"/>
      <c r="M17" s="2488"/>
      <c r="N17" s="2488"/>
      <c r="O17" s="2488"/>
      <c r="P17" s="3409"/>
      <c r="Q17" s="1263"/>
      <c r="R17" s="667"/>
      <c r="S17" s="668"/>
      <c r="T17" s="667"/>
      <c r="U17" s="668"/>
      <c r="V17" s="667"/>
      <c r="W17" s="668"/>
      <c r="X17" s="1265"/>
      <c r="Y17" s="340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9"/>
      <c r="Q19" s="1263"/>
      <c r="R19" s="667"/>
      <c r="S19" s="668"/>
      <c r="T19" s="667"/>
      <c r="U19" s="668"/>
      <c r="V19" s="667"/>
      <c r="W19" s="668"/>
      <c r="X19" s="1265"/>
      <c r="Y19" s="340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v>0</v>
      </c>
      <c r="L20" s="2493"/>
      <c r="M20" s="2488"/>
      <c r="N20" s="2488"/>
      <c r="O20" s="2488"/>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t="s">
        <v>3385</v>
      </c>
      <c r="D21" s="387"/>
      <c r="E21" s="386" t="s">
        <v>3384</v>
      </c>
      <c r="F21" s="388"/>
      <c r="G21" s="386" t="s">
        <v>3384</v>
      </c>
      <c r="H21" s="387"/>
      <c r="I21" s="386" t="s">
        <v>3389</v>
      </c>
      <c r="J21" s="387"/>
      <c r="K21" s="541"/>
      <c r="L21" s="2493"/>
      <c r="M21" s="2488"/>
      <c r="N21" s="2488"/>
      <c r="O21" s="2488"/>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574" t="s">
        <v>1694</v>
      </c>
      <c r="B26" s="59" t="s">
        <v>1836</v>
      </c>
      <c r="C26" s="1820" t="str">
        <f>B1</f>
        <v>车库</v>
      </c>
      <c r="D26" s="387">
        <v>100</v>
      </c>
      <c r="E26" s="386" t="s">
        <v>3339</v>
      </c>
      <c r="F26" s="388">
        <f>SUMIF(79:79,E26,80:80)-SUMIF(79:79,C26,80:80)+100</f>
        <v>100</v>
      </c>
      <c r="G26" s="386" t="s">
        <v>3339</v>
      </c>
      <c r="H26" s="387">
        <f>SUMIF(79:79,G26,80:80)-SUMIF(79:79,C26,80:80)+100</f>
        <v>100</v>
      </c>
      <c r="I26" s="386" t="s">
        <v>3339</v>
      </c>
      <c r="J26" s="387">
        <f>SUMIF(79:79,I26,80:80)-SUMIF(79:79,C26,80:80)+100</f>
        <v>100</v>
      </c>
      <c r="K26" s="538"/>
      <c r="L26" s="2493"/>
      <c r="M26" s="2488"/>
      <c r="N26" s="2488"/>
      <c r="O26" s="2488"/>
      <c r="P26" s="3434"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13"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hidden="1">
      <c r="A29" s="577"/>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c r="L29" s="2493"/>
      <c r="M29" s="2488"/>
      <c r="N29" s="2488"/>
      <c r="O29" s="2488"/>
      <c r="P29" s="3413"/>
      <c r="Q29" s="1263" t="str">
        <f t="shared" si="11"/>
        <v>成新率</v>
      </c>
      <c r="R29" s="667" t="s">
        <v>14</v>
      </c>
      <c r="S29" s="668">
        <f t="shared" si="12"/>
        <v>100</v>
      </c>
      <c r="T29" s="667" t="s">
        <v>14</v>
      </c>
      <c r="U29" s="668">
        <f t="shared" si="13"/>
        <v>100</v>
      </c>
      <c r="V29" s="667" t="s">
        <v>14</v>
      </c>
      <c r="W29" s="668">
        <f t="shared" si="14"/>
        <v>100</v>
      </c>
      <c r="X29" s="1265"/>
      <c r="Y29" s="3413"/>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9"/>
      <c r="M31" s="2440"/>
      <c r="N31" s="2440"/>
      <c r="O31" s="2440"/>
      <c r="P31" s="3413"/>
      <c r="Q31" s="530" t="str">
        <f t="shared" si="11"/>
        <v>停车位面积</v>
      </c>
      <c r="R31" s="664" t="s">
        <v>14</v>
      </c>
      <c r="S31" s="665">
        <f t="shared" si="12"/>
        <v>100</v>
      </c>
      <c r="T31" s="664" t="s">
        <v>14</v>
      </c>
      <c r="U31" s="665">
        <f t="shared" si="13"/>
        <v>100</v>
      </c>
      <c r="V31" s="664" t="s">
        <v>14</v>
      </c>
      <c r="W31" s="665">
        <f t="shared" si="14"/>
        <v>100</v>
      </c>
      <c r="X31" s="666"/>
      <c r="Y31" s="3413"/>
      <c r="Z31" s="50" t="str">
        <f t="shared" si="15"/>
        <v>停车位面积</v>
      </c>
      <c r="AA31" s="50">
        <f t="shared" si="3"/>
        <v>1</v>
      </c>
      <c r="AB31" s="50">
        <f t="shared" si="4"/>
        <v>1</v>
      </c>
      <c r="AC31" s="50">
        <f t="shared" si="5"/>
        <v>1</v>
      </c>
    </row>
    <row r="32" spans="1:29" ht="15">
      <c r="A32" s="577"/>
      <c r="B32" s="119" t="s">
        <v>1842</v>
      </c>
      <c r="C32" s="399" t="s">
        <v>3387</v>
      </c>
      <c r="D32" s="374">
        <v>100</v>
      </c>
      <c r="E32" s="399" t="s">
        <v>3387</v>
      </c>
      <c r="F32" s="400">
        <f>SUMIF(93:93,E32,94:94)-SUMIF(93:93,C32,94:94)+100</f>
        <v>100</v>
      </c>
      <c r="G32" s="399" t="s">
        <v>3387</v>
      </c>
      <c r="H32" s="374">
        <f>SUMIF(93:93,G32,94:94)-SUMIF(93:93,C32,94:94)+100</f>
        <v>100</v>
      </c>
      <c r="I32" s="399" t="s">
        <v>3387</v>
      </c>
      <c r="J32" s="374">
        <f>SUMIF(93:93,I32,94:94)-SUMIF(93:93,C32,94:94)+100</f>
        <v>100</v>
      </c>
      <c r="K32" s="538"/>
      <c r="L32" s="2493"/>
      <c r="M32" s="2488"/>
      <c r="N32" s="2488"/>
      <c r="O32" s="2488"/>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5">
      <c r="A37" s="416" t="s">
        <v>1844</v>
      </c>
      <c r="B37" s="1821" t="s">
        <v>3360</v>
      </c>
      <c r="C37" s="1081" t="s">
        <v>0</v>
      </c>
      <c r="D37" s="418"/>
      <c r="E37" s="419">
        <v>275</v>
      </c>
      <c r="F37" s="420"/>
      <c r="G37" s="421">
        <v>250</v>
      </c>
      <c r="H37" s="422"/>
      <c r="I37" s="419">
        <v>300</v>
      </c>
      <c r="J37" s="422"/>
      <c r="K37" s="545"/>
      <c r="L37" s="2495"/>
      <c r="M37" s="2488"/>
      <c r="N37" s="2488"/>
      <c r="O37" s="2488"/>
      <c r="P37" s="3407" t="str">
        <f>A37</f>
        <v>成交单价</v>
      </c>
      <c r="Q37" s="3407"/>
      <c r="R37" s="3402">
        <f>E37</f>
        <v>275</v>
      </c>
      <c r="S37" s="3402"/>
      <c r="T37" s="3402">
        <f>G37</f>
        <v>250</v>
      </c>
      <c r="U37" s="3402"/>
      <c r="V37" s="3402">
        <f>I37</f>
        <v>300</v>
      </c>
      <c r="W37" s="340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4" t="str">
        <f>A39</f>
        <v>估价对象XX用房的比较价值（楼面单价，元/平方米）</v>
      </c>
      <c r="Q39" s="340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t="e">
        <f>ROUND($C$38*B41,0)</f>
        <v>#DIV/0!</v>
      </c>
      <c r="B41" s="2488">
        <v>0.9</v>
      </c>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t="e">
        <f>ROUND($C$38*B42,0)</f>
        <v>#DIV/0!</v>
      </c>
      <c r="B42" s="2488">
        <v>1.1000000000000001</v>
      </c>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0.10000000000000009</v>
      </c>
      <c r="F44" s="435" t="str">
        <f>IF(OR(E44&gt;=0.3,E44&lt;=-0.3),"超过30%","")</f>
        <v/>
      </c>
      <c r="G44" s="434">
        <f>IF(G37&lt;I37,I37/G37-1,G37/I37-1)</f>
        <v>0.19999999999999996</v>
      </c>
      <c r="H44" s="435" t="str">
        <f>IF(OR(G44&gt;=0.3,G44&lt;=-0.3),"超过30%","")</f>
        <v/>
      </c>
      <c r="I44" s="434">
        <f>IF(I37&lt;E37,E37/I37-1,I37/E37-1)</f>
        <v>9.0909090909090828E-2</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v>100</v>
      </c>
      <c r="E49" s="446">
        <v>100</v>
      </c>
      <c r="F49" s="446">
        <v>100</v>
      </c>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0(含)-20</v>
      </c>
      <c r="D90" s="509" t="str">
        <f t="shared" ref="D90:L90" si="21">D91&amp;"(含)"&amp;"-"&amp;E91</f>
        <v>20(含)-30</v>
      </c>
      <c r="E90" s="509" t="str">
        <f t="shared" si="21"/>
        <v>30(含)-40</v>
      </c>
      <c r="F90" s="509" t="str">
        <f t="shared" si="21"/>
        <v>40(含)-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20</v>
      </c>
      <c r="E91" s="6">
        <v>30</v>
      </c>
      <c r="F91" s="6">
        <v>40</v>
      </c>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3147" t="s">
        <v>3388</v>
      </c>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16A-C555-4EAC-B329-4F9228792989}">
  <dimension ref="N3:AB56"/>
  <sheetViews>
    <sheetView workbookViewId="0">
      <selection activeCell="P3" sqref="P3"/>
    </sheetView>
  </sheetViews>
  <sheetFormatPr defaultRowHeight="13.5"/>
  <sheetData>
    <row r="3" spans="14:16">
      <c r="N3" s="1405" t="s">
        <v>3391</v>
      </c>
      <c r="O3">
        <v>275</v>
      </c>
      <c r="P3" s="1405" t="s">
        <v>3392</v>
      </c>
    </row>
    <row r="4" spans="14:16">
      <c r="N4" s="1405" t="s">
        <v>3393</v>
      </c>
      <c r="O4">
        <v>250</v>
      </c>
    </row>
    <row r="5" spans="14:16">
      <c r="N5" s="1405" t="s">
        <v>3394</v>
      </c>
      <c r="O5">
        <v>300</v>
      </c>
    </row>
    <row r="40" spans="28:28">
      <c r="AB40" s="1405" t="s">
        <v>3386</v>
      </c>
    </row>
    <row r="56" spans="15:15">
      <c r="O56" s="3146"/>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53CF4-F810-4F53-8212-FFD366B8D7BE}">
  <dimension ref="P52:T66"/>
  <sheetViews>
    <sheetView topLeftCell="A54" workbookViewId="0">
      <selection activeCell="P62" sqref="P62"/>
    </sheetView>
  </sheetViews>
  <sheetFormatPr defaultRowHeight="13.5"/>
  <cols>
    <col min="16" max="16" width="13" bestFit="1" customWidth="1"/>
  </cols>
  <sheetData>
    <row r="52" spans="16:20">
      <c r="P52" s="1405" t="s">
        <v>3402</v>
      </c>
      <c r="Q52">
        <v>280</v>
      </c>
      <c r="R52">
        <v>11700</v>
      </c>
      <c r="S52">
        <f>ROUND(R52/Q52/30,2)</f>
        <v>1.39</v>
      </c>
      <c r="T52" s="1405" t="s">
        <v>3404</v>
      </c>
    </row>
    <row r="53" spans="16:20">
      <c r="P53" s="1405" t="s">
        <v>3403</v>
      </c>
      <c r="Q53">
        <v>600</v>
      </c>
      <c r="R53">
        <v>21600</v>
      </c>
      <c r="S53">
        <f t="shared" ref="S53:S66" si="0">ROUND(R53/Q53/30,2)</f>
        <v>1.2</v>
      </c>
      <c r="T53" s="1405" t="s">
        <v>3404</v>
      </c>
    </row>
    <row r="54" spans="16:20">
      <c r="P54" s="1405" t="s">
        <v>3405</v>
      </c>
      <c r="Q54">
        <v>548.20000000000005</v>
      </c>
      <c r="R54">
        <v>29600</v>
      </c>
      <c r="S54">
        <f t="shared" si="0"/>
        <v>1.8</v>
      </c>
      <c r="T54" s="1405" t="s">
        <v>3404</v>
      </c>
    </row>
    <row r="55" spans="16:20">
      <c r="P55" s="1405" t="s">
        <v>3406</v>
      </c>
      <c r="Q55">
        <v>96</v>
      </c>
      <c r="R55">
        <v>5000</v>
      </c>
      <c r="S55">
        <f t="shared" si="0"/>
        <v>1.74</v>
      </c>
      <c r="T55" s="1405" t="s">
        <v>3407</v>
      </c>
    </row>
    <row r="56" spans="16:20">
      <c r="P56" s="1405" t="s">
        <v>3403</v>
      </c>
      <c r="Q56">
        <v>50</v>
      </c>
      <c r="R56">
        <v>3500</v>
      </c>
      <c r="S56">
        <f t="shared" si="0"/>
        <v>2.33</v>
      </c>
      <c r="T56" s="1405" t="s">
        <v>3408</v>
      </c>
    </row>
    <row r="57" spans="16:20">
      <c r="P57" s="3148" t="s">
        <v>3409</v>
      </c>
      <c r="Q57" s="3149">
        <v>168</v>
      </c>
      <c r="R57" s="3149">
        <v>10000</v>
      </c>
      <c r="S57" s="3149">
        <f t="shared" si="0"/>
        <v>1.98</v>
      </c>
      <c r="T57" s="3148" t="s">
        <v>3408</v>
      </c>
    </row>
    <row r="58" spans="16:20">
      <c r="P58" s="3148" t="s">
        <v>3409</v>
      </c>
      <c r="Q58" s="3149">
        <v>420</v>
      </c>
      <c r="R58" s="3149">
        <v>20800</v>
      </c>
      <c r="S58" s="3149">
        <f t="shared" si="0"/>
        <v>1.65</v>
      </c>
      <c r="T58" s="3148" t="s">
        <v>3408</v>
      </c>
    </row>
    <row r="59" spans="16:20">
      <c r="P59" s="1405" t="s">
        <v>3410</v>
      </c>
      <c r="Q59">
        <v>500</v>
      </c>
      <c r="R59">
        <v>30000</v>
      </c>
      <c r="S59">
        <f t="shared" si="0"/>
        <v>2</v>
      </c>
      <c r="T59" s="1405" t="s">
        <v>3408</v>
      </c>
    </row>
    <row r="60" spans="16:20">
      <c r="P60" s="3148" t="s">
        <v>3411</v>
      </c>
      <c r="Q60" s="3149">
        <v>120</v>
      </c>
      <c r="R60" s="3149">
        <v>6700</v>
      </c>
      <c r="S60" s="3149">
        <f t="shared" si="0"/>
        <v>1.86</v>
      </c>
      <c r="T60" s="3148" t="s">
        <v>3408</v>
      </c>
    </row>
    <row r="61" spans="16:20">
      <c r="S61" t="e">
        <f t="shared" si="0"/>
        <v>#DIV/0!</v>
      </c>
    </row>
    <row r="62" spans="16:20">
      <c r="S62" t="e">
        <f t="shared" si="0"/>
        <v>#DIV/0!</v>
      </c>
    </row>
    <row r="63" spans="16:20">
      <c r="S63" t="e">
        <f t="shared" si="0"/>
        <v>#DIV/0!</v>
      </c>
    </row>
    <row r="64" spans="16:20">
      <c r="S64" t="e">
        <f t="shared" si="0"/>
        <v>#DIV/0!</v>
      </c>
    </row>
    <row r="65" spans="19:19">
      <c r="S65" t="e">
        <f t="shared" si="0"/>
        <v>#DIV/0!</v>
      </c>
    </row>
    <row r="66" spans="19:19">
      <c r="S66" t="e">
        <f t="shared" si="0"/>
        <v>#DIV/0!</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A551-A600-4C05-AF37-A4B02D5285C1}">
  <dimension ref="J108:J110"/>
  <sheetViews>
    <sheetView topLeftCell="A97" workbookViewId="0">
      <selection activeCell="J107" sqref="J107"/>
    </sheetView>
  </sheetViews>
  <sheetFormatPr defaultRowHeight="13.5"/>
  <sheetData>
    <row r="108" spans="10:10">
      <c r="J108" s="1405" t="s">
        <v>3380</v>
      </c>
    </row>
    <row r="110" spans="10:10">
      <c r="J110" s="1405" t="s">
        <v>3381</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9"/>
      <c r="Q15" s="1263"/>
      <c r="R15" s="667"/>
      <c r="S15" s="668"/>
      <c r="T15" s="667"/>
      <c r="U15" s="668"/>
      <c r="V15" s="667"/>
      <c r="W15" s="668"/>
      <c r="X15" s="1265"/>
      <c r="Y15" s="340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9"/>
      <c r="Q17" s="1263"/>
      <c r="R17" s="667"/>
      <c r="S17" s="668"/>
      <c r="T17" s="667"/>
      <c r="U17" s="668"/>
      <c r="V17" s="667"/>
      <c r="W17" s="668"/>
      <c r="X17" s="1265"/>
      <c r="Y17" s="340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9"/>
      <c r="Q19" s="1263"/>
      <c r="R19" s="667"/>
      <c r="S19" s="668"/>
      <c r="T19" s="667"/>
      <c r="U19" s="668"/>
      <c r="V19" s="667"/>
      <c r="W19" s="668"/>
      <c r="X19" s="1265"/>
      <c r="Y19" s="340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4" t="str">
        <f>A37</f>
        <v>估价对象XX用房的比较价值（楼面单价，元/平方米）</v>
      </c>
      <c r="Q37" s="340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7"/>
      <c r="Q10" s="530" t="str">
        <f t="shared" si="6"/>
        <v>土地使用年限（年）</v>
      </c>
      <c r="R10" s="664" t="s">
        <v>14</v>
      </c>
      <c r="S10" s="665" t="e">
        <f t="shared" si="0"/>
        <v>#DIV/0!</v>
      </c>
      <c r="T10" s="664" t="s">
        <v>14</v>
      </c>
      <c r="U10" s="665" t="e">
        <f t="shared" si="1"/>
        <v>#DIV/0!</v>
      </c>
      <c r="V10" s="664" t="s">
        <v>14</v>
      </c>
      <c r="W10" s="665" t="e">
        <f t="shared" si="2"/>
        <v>#DIV/0!</v>
      </c>
      <c r="X10" s="666"/>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7"/>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9"/>
      <c r="Q16" s="1263"/>
      <c r="R16" s="667"/>
      <c r="S16" s="668"/>
      <c r="T16" s="667"/>
      <c r="U16" s="668"/>
      <c r="V16" s="667"/>
      <c r="W16" s="668"/>
      <c r="X16" s="1265"/>
      <c r="Y16" s="340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9"/>
      <c r="Q18" s="1263"/>
      <c r="R18" s="667"/>
      <c r="S18" s="668"/>
      <c r="T18" s="667"/>
      <c r="U18" s="668"/>
      <c r="V18" s="667"/>
      <c r="W18" s="668"/>
      <c r="X18" s="1265"/>
      <c r="Y18" s="340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9"/>
      <c r="Q20" s="1263"/>
      <c r="R20" s="667"/>
      <c r="S20" s="668"/>
      <c r="T20" s="667"/>
      <c r="U20" s="668"/>
      <c r="V20" s="667"/>
      <c r="W20" s="668"/>
      <c r="X20" s="1265"/>
      <c r="Y20" s="340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9"/>
      <c r="Q22" s="1263"/>
      <c r="R22" s="667"/>
      <c r="S22" s="668"/>
      <c r="T22" s="667"/>
      <c r="U22" s="668"/>
      <c r="V22" s="667"/>
      <c r="W22" s="668"/>
      <c r="X22" s="1265"/>
      <c r="Y22" s="340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9"/>
      <c r="Q24" s="1263"/>
      <c r="R24" s="667"/>
      <c r="S24" s="668"/>
      <c r="T24" s="667"/>
      <c r="U24" s="668"/>
      <c r="V24" s="667"/>
      <c r="W24" s="668"/>
      <c r="X24" s="1265"/>
      <c r="Y24" s="340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9"/>
      <c r="Q26" s="1263"/>
      <c r="R26" s="667"/>
      <c r="S26" s="668"/>
      <c r="T26" s="667"/>
      <c r="U26" s="668"/>
      <c r="V26" s="667"/>
      <c r="W26" s="668"/>
      <c r="X26" s="1265"/>
      <c r="Y26" s="340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9"/>
      <c r="Q28" s="530"/>
      <c r="R28" s="664"/>
      <c r="S28" s="665"/>
      <c r="T28" s="664"/>
      <c r="U28" s="665"/>
      <c r="V28" s="664"/>
      <c r="W28" s="665"/>
      <c r="X28" s="666"/>
      <c r="Y28" s="340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7" t="str">
        <f>A46</f>
        <v>成交单价</v>
      </c>
      <c r="Q46" s="3407"/>
      <c r="R46" s="3402">
        <f>E46</f>
        <v>0</v>
      </c>
      <c r="S46" s="3402"/>
      <c r="T46" s="3402">
        <f>G46</f>
        <v>0</v>
      </c>
      <c r="U46" s="3402"/>
      <c r="V46" s="3402">
        <f>I46</f>
        <v>0</v>
      </c>
      <c r="W46" s="340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7" t="str">
        <f>A47</f>
        <v>比较价值（元/平方米）</v>
      </c>
      <c r="Q47" s="340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4" t="str">
        <f>A48</f>
        <v>估价对象XX用房的比较价值（楼面单价，元/平方米）</v>
      </c>
      <c r="Q48" s="340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0"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89"/>
      <c r="H56" s="340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7"/>
      <c r="M4" s="2488"/>
      <c r="N4" s="2488"/>
      <c r="O4" s="2488"/>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7"/>
      <c r="M5" s="2488"/>
      <c r="N5" s="2488"/>
      <c r="O5" s="2488"/>
      <c r="P5" s="3396"/>
      <c r="Q5" s="3397"/>
      <c r="R5" s="3379"/>
      <c r="S5" s="3380"/>
      <c r="T5" s="3379"/>
      <c r="U5" s="3380"/>
      <c r="V5" s="3402"/>
      <c r="W5" s="3402"/>
      <c r="X5" s="1265"/>
      <c r="Y5" s="3379"/>
      <c r="Z5" s="3380"/>
      <c r="AA5" s="3373"/>
      <c r="AB5" s="3373"/>
      <c r="AC5" s="3373"/>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398"/>
      <c r="Q6" s="3399"/>
      <c r="R6" s="3379"/>
      <c r="S6" s="3380"/>
      <c r="T6" s="3400"/>
      <c r="U6" s="3401"/>
      <c r="V6" s="3402"/>
      <c r="W6" s="3402"/>
      <c r="X6" s="1265"/>
      <c r="Y6" s="3400"/>
      <c r="Z6" s="3401"/>
      <c r="AA6" s="3374"/>
      <c r="AB6" s="3374"/>
      <c r="AC6" s="3374"/>
    </row>
    <row r="7" spans="1:29" s="102" customFormat="1" ht="15.7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7"/>
      <c r="Q10" s="530" t="str">
        <f t="shared" si="6"/>
        <v>土地使用年限（年）</v>
      </c>
      <c r="R10" s="664" t="s">
        <v>14</v>
      </c>
      <c r="S10" s="665" t="e">
        <f t="shared" si="0"/>
        <v>#DIV/0!</v>
      </c>
      <c r="T10" s="664" t="s">
        <v>14</v>
      </c>
      <c r="U10" s="665" t="e">
        <f t="shared" si="1"/>
        <v>#DIV/0!</v>
      </c>
      <c r="V10" s="664" t="s">
        <v>14</v>
      </c>
      <c r="W10" s="665" t="e">
        <f t="shared" si="2"/>
        <v>#DIV/0!</v>
      </c>
      <c r="X10" s="666"/>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9"/>
      <c r="Q16" s="1263"/>
      <c r="R16" s="667"/>
      <c r="S16" s="668"/>
      <c r="T16" s="667"/>
      <c r="U16" s="668"/>
      <c r="V16" s="667"/>
      <c r="W16" s="668"/>
      <c r="X16" s="1265"/>
      <c r="Y16" s="340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9"/>
      <c r="Q18" s="1263"/>
      <c r="R18" s="667"/>
      <c r="S18" s="668"/>
      <c r="T18" s="667"/>
      <c r="U18" s="668"/>
      <c r="V18" s="667"/>
      <c r="W18" s="668"/>
      <c r="X18" s="1265"/>
      <c r="Y18" s="340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9"/>
      <c r="Q20" s="1263"/>
      <c r="R20" s="667"/>
      <c r="S20" s="668"/>
      <c r="T20" s="667"/>
      <c r="U20" s="668"/>
      <c r="V20" s="667"/>
      <c r="W20" s="668"/>
      <c r="X20" s="1265"/>
      <c r="Y20" s="340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9"/>
      <c r="Q22" s="1263"/>
      <c r="R22" s="667"/>
      <c r="S22" s="668"/>
      <c r="T22" s="667"/>
      <c r="U22" s="668"/>
      <c r="V22" s="667"/>
      <c r="W22" s="668"/>
      <c r="X22" s="1265"/>
      <c r="Y22" s="340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9"/>
      <c r="Q24" s="530"/>
      <c r="R24" s="664"/>
      <c r="S24" s="665"/>
      <c r="T24" s="664"/>
      <c r="U24" s="665"/>
      <c r="V24" s="664"/>
      <c r="W24" s="665"/>
      <c r="X24" s="666"/>
      <c r="Y24" s="340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7" t="str">
        <f>A41</f>
        <v>成交单价</v>
      </c>
      <c r="Q41" s="3407"/>
      <c r="R41" s="3402">
        <f>E41</f>
        <v>0</v>
      </c>
      <c r="S41" s="3402"/>
      <c r="T41" s="3402">
        <f>G41</f>
        <v>0</v>
      </c>
      <c r="U41" s="3402"/>
      <c r="V41" s="3402">
        <f>I41</f>
        <v>0</v>
      </c>
      <c r="W41" s="340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7" t="str">
        <f>A42</f>
        <v>比较价值（元/平方米）</v>
      </c>
      <c r="Q42" s="340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4" t="str">
        <f>A43</f>
        <v>估价对象XX用房的比较价值（楼面单价，元/平方米）</v>
      </c>
      <c r="Q43" s="340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0"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89"/>
      <c r="H51" s="340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t="e">
        <f ca="1">结果表!H101</f>
        <v>#REF!</v>
      </c>
    </row>
    <row r="6" spans="1:5" ht="15.75">
      <c r="B6" s="3163"/>
      <c r="C6" s="1392" t="s">
        <v>911</v>
      </c>
      <c r="D6" s="797" t="e">
        <f ca="1">NUMBERSTRING(INT(D5*10000),2)&amp;"元整"</f>
        <v>#REF!</v>
      </c>
    </row>
    <row r="7" spans="1:5" ht="15.75">
      <c r="B7" s="3168"/>
      <c r="C7" s="1393" t="s">
        <v>912</v>
      </c>
      <c r="D7" s="798" t="e">
        <f ca="1">结果表!H102</f>
        <v>#REF!</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t="e">
        <f ca="1">结果表!H107</f>
        <v>#REF!</v>
      </c>
    </row>
    <row r="14" spans="1:5" ht="15.75">
      <c r="B14" s="3163"/>
      <c r="C14" s="1392" t="s">
        <v>911</v>
      </c>
      <c r="D14" s="797" t="e">
        <f ca="1">NUMBERSTRING(INT(D13*10000),2)&amp;"元整"</f>
        <v>#REF!</v>
      </c>
    </row>
    <row r="15" spans="1:5" ht="15">
      <c r="B15" s="3168"/>
      <c r="C15" s="1393" t="s">
        <v>921</v>
      </c>
      <c r="D15" s="806" t="e">
        <f ca="1">结果表!H108</f>
        <v>#REF!</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3243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3274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3244</v>
      </c>
      <c r="B12" s="3014" t="s">
        <v>3245</v>
      </c>
      <c r="C12" s="3015"/>
      <c r="D12" s="3016" t="s">
        <v>3246</v>
      </c>
      <c r="E12" s="3017" t="s">
        <v>3247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3249</v>
      </c>
      <c r="G14" s="3021" t="s">
        <v>3249</v>
      </c>
      <c r="H14" s="3021" t="s">
        <v>3249</v>
      </c>
      <c r="I14" s="3021" t="s">
        <v>3249</v>
      </c>
      <c r="J14" s="3021" t="s">
        <v>3249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3251</v>
      </c>
      <c r="B17" s="3028" t="s">
        <v>3252</v>
      </c>
      <c r="C17" s="3037">
        <f>ROUND(IF(OR(E2="工业",E2="公共服务"),1,IF(AND(E18=0,E19=0),1,IF(AND(E18=J24,E19=G19),0.8,IF(E19=0,1+E17*(-0.2),1+E17*G17*(-0.2))))),4)</f>
        <v>1</v>
      </c>
      <c r="D17" s="3029" t="s">
        <v>3253</v>
      </c>
      <c r="E17" s="3037" t="e">
        <f>ROUND(G18/I18,2)</f>
        <v>#DIV/0!</v>
      </c>
      <c r="F17" s="3029" t="s">
        <v>3256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3254</v>
      </c>
      <c r="E18" s="2357"/>
      <c r="F18" s="3031" t="s">
        <v>3257</v>
      </c>
      <c r="G18" s="3035">
        <f>ROUND(1-(1/(POWER(1+G24,E18))),4)</f>
        <v>0</v>
      </c>
      <c r="H18" s="3031" t="s">
        <v>3259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3255</v>
      </c>
      <c r="E19" s="3044"/>
      <c r="F19" s="3045" t="s">
        <v>3258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3260</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9" t="s">
        <v>3262</v>
      </c>
      <c r="I23" s="3050" t="str">
        <f>IF(H23="季度增幅（自定义）",SUMIF(N25:N28,E2,O25:O28),"")</f>
        <v/>
      </c>
      <c r="J23" s="3142" t="s">
        <v>3261</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存贷款利率!E23/100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3266</v>
      </c>
      <c r="G33" s="1941"/>
      <c r="H33" s="1941"/>
      <c r="I33" s="1941"/>
      <c r="J33" s="1942"/>
      <c r="K33" s="1056"/>
      <c r="L33" s="3054" t="s">
        <v>3269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3270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3271</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3272</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3265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3273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3277</v>
      </c>
      <c r="B92" s="2310"/>
      <c r="C92" s="2310" t="s">
        <v>3286</v>
      </c>
      <c r="D92" s="2310" t="s">
        <v>3287</v>
      </c>
      <c r="E92" s="3053" t="s">
        <v>3288</v>
      </c>
      <c r="F92" s="3083" t="s">
        <v>3289</v>
      </c>
      <c r="G92" s="2310" t="s">
        <v>3290</v>
      </c>
      <c r="H92" s="3090" t="s">
        <v>3293</v>
      </c>
      <c r="I92" s="2310" t="s">
        <v>3294</v>
      </c>
      <c r="J92" s="2150" t="s">
        <v>3295</v>
      </c>
      <c r="K92" s="2150" t="s">
        <v>3296</v>
      </c>
      <c r="L92" s="2150" t="s">
        <v>3297</v>
      </c>
      <c r="M92" s="2150" t="s">
        <v>3298</v>
      </c>
      <c r="N92" s="2150" t="s">
        <v>3299</v>
      </c>
    </row>
    <row r="93" spans="1:37" ht="24">
      <c r="A93" s="3071" t="s">
        <v>3278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3280</v>
      </c>
      <c r="B96" s="3087" t="s">
        <v>3291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3282</v>
      </c>
      <c r="B98" s="3088" t="s">
        <v>3292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3300</v>
      </c>
      <c r="B103" s="3462"/>
      <c r="C103" s="3462"/>
      <c r="D103" s="3462"/>
      <c r="E103" s="3462"/>
      <c r="F103" s="3462"/>
      <c r="G103" s="3462"/>
      <c r="H103" s="3462"/>
      <c r="I103" s="3462"/>
      <c r="J103" s="3462"/>
      <c r="K103" s="1667"/>
      <c r="L103" s="1667"/>
      <c r="M103" s="1667"/>
      <c r="N103" s="1667"/>
    </row>
    <row r="104" spans="1:14">
      <c r="A104" s="3463" t="s">
        <v>3301</v>
      </c>
      <c r="B104" s="3463" t="s">
        <v>3302</v>
      </c>
      <c r="C104" s="3091" t="s">
        <v>3303</v>
      </c>
      <c r="D104" s="3092"/>
      <c r="E104" s="3092"/>
      <c r="F104" s="3092"/>
      <c r="G104" s="3092"/>
      <c r="H104" s="3092"/>
      <c r="I104" s="3092"/>
      <c r="J104" s="3093"/>
      <c r="K104" s="3094"/>
      <c r="L104" s="3094"/>
      <c r="M104" s="3094"/>
      <c r="N104" s="3094"/>
    </row>
    <row r="105" spans="1:14">
      <c r="A105" s="3463"/>
      <c r="B105" s="3463"/>
      <c r="C105" s="3095" t="s">
        <v>3304</v>
      </c>
      <c r="D105" s="3095" t="s">
        <v>3305</v>
      </c>
      <c r="E105" s="3095" t="s">
        <v>3306</v>
      </c>
      <c r="F105" s="3095" t="s">
        <v>3307</v>
      </c>
      <c r="G105" s="3095" t="s">
        <v>3308</v>
      </c>
      <c r="H105" s="3095" t="s">
        <v>3309</v>
      </c>
      <c r="I105" s="3095" t="s">
        <v>3310</v>
      </c>
      <c r="J105" s="3095" t="s">
        <v>3311</v>
      </c>
      <c r="K105" s="3095" t="s">
        <v>3312</v>
      </c>
      <c r="L105" s="3095" t="s">
        <v>3313</v>
      </c>
      <c r="M105" s="3095" t="s">
        <v>3314</v>
      </c>
      <c r="N105" s="3095" t="s">
        <v>3315</v>
      </c>
    </row>
    <row r="106" spans="1:14">
      <c r="A106" s="3449" t="s">
        <v>3316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3274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3317</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3318</v>
      </c>
      <c r="B116" s="3115">
        <f>G3</f>
        <v>0</v>
      </c>
      <c r="C116" s="3100" t="s">
        <v>3319</v>
      </c>
      <c r="D116" s="3101">
        <f>SUMPRODUCT((A118:A122=F116)*(B117:M117=H116)*B118:M122)</f>
        <v>0</v>
      </c>
      <c r="E116" s="162" t="s">
        <v>3320</v>
      </c>
      <c r="F116" s="3102">
        <f>E2</f>
        <v>0</v>
      </c>
      <c r="G116" s="162" t="s">
        <v>3321</v>
      </c>
      <c r="H116" s="3102">
        <f>G2</f>
        <v>0</v>
      </c>
      <c r="I116" s="162"/>
      <c r="J116" s="3103"/>
      <c r="K116" s="3103"/>
      <c r="L116" s="3103"/>
      <c r="M116" s="3103"/>
      <c r="N116" s="3098"/>
    </row>
    <row r="117" spans="1:14">
      <c r="A117" s="3104"/>
      <c r="B117" s="3105" t="s">
        <v>3322</v>
      </c>
      <c r="C117" s="3105" t="s">
        <v>3323</v>
      </c>
      <c r="D117" s="3105" t="s">
        <v>3324</v>
      </c>
      <c r="E117" s="3106" t="s">
        <v>3325</v>
      </c>
      <c r="F117" s="3106" t="s">
        <v>3326</v>
      </c>
      <c r="G117" s="3106" t="s">
        <v>3327</v>
      </c>
      <c r="H117" s="3107" t="s">
        <v>3328</v>
      </c>
      <c r="I117" s="3107" t="s">
        <v>3329</v>
      </c>
      <c r="J117" s="3108" t="s">
        <v>3330</v>
      </c>
      <c r="K117" s="3108" t="s">
        <v>3331</v>
      </c>
      <c r="L117" s="3108" t="s">
        <v>3332</v>
      </c>
      <c r="M117" s="3109" t="s">
        <v>3333</v>
      </c>
      <c r="N117" s="3098"/>
    </row>
    <row r="118" spans="1:14">
      <c r="A118" s="3058" t="s">
        <v>3334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2616</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75" t="s">
        <v>2611</v>
      </c>
      <c r="B20" s="3468" t="s">
        <v>2632</v>
      </c>
      <c r="C20" s="2843" t="s">
        <v>2443</v>
      </c>
      <c r="D20" s="2844"/>
      <c r="E20" s="2845">
        <v>1</v>
      </c>
      <c r="F20" s="2846" t="s">
        <v>2444</v>
      </c>
      <c r="G20" s="2846"/>
    </row>
    <row r="21" spans="1:13" ht="19.5" customHeight="1">
      <c r="A21" s="3476"/>
      <c r="B21" s="3469"/>
      <c r="C21" s="2847" t="s">
        <v>2445</v>
      </c>
      <c r="D21" s="2848"/>
      <c r="E21" s="2849">
        <v>1</v>
      </c>
      <c r="F21" s="2846" t="s">
        <v>2446</v>
      </c>
      <c r="G21" s="2846"/>
    </row>
    <row r="22" spans="1:13" ht="19.5" customHeight="1">
      <c r="A22" s="3476"/>
      <c r="B22" s="3469"/>
      <c r="C22" s="2847" t="s">
        <v>2447</v>
      </c>
      <c r="D22" s="2848"/>
      <c r="E22" s="2849">
        <v>0.9</v>
      </c>
      <c r="F22" s="2846" t="s">
        <v>2448</v>
      </c>
      <c r="G22" s="2846"/>
    </row>
    <row r="23" spans="1:13" ht="19.5" customHeight="1">
      <c r="A23" s="3476"/>
      <c r="B23" s="3469"/>
      <c r="C23" s="2847" t="s">
        <v>2449</v>
      </c>
      <c r="D23" s="2848"/>
      <c r="E23" s="2849">
        <v>0.9</v>
      </c>
      <c r="F23" s="2846" t="s">
        <v>2450</v>
      </c>
      <c r="G23" s="2846"/>
    </row>
    <row r="24" spans="1:13" ht="19.5" customHeight="1">
      <c r="A24" s="3476"/>
      <c r="B24" s="3469"/>
      <c r="C24" s="2847" t="s">
        <v>2451</v>
      </c>
      <c r="D24" s="2848"/>
      <c r="E24" s="2849">
        <v>0.8</v>
      </c>
      <c r="F24" s="2846" t="s">
        <v>2452</v>
      </c>
      <c r="G24" s="2846"/>
    </row>
    <row r="25" spans="1:13" ht="19.5" customHeight="1" thickBot="1">
      <c r="A25" s="3477"/>
      <c r="B25" s="3470"/>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71" t="s">
        <v>2635</v>
      </c>
      <c r="B27" s="3468" t="s">
        <v>2616</v>
      </c>
      <c r="C27" s="2843" t="s">
        <v>2456</v>
      </c>
      <c r="D27" s="2844"/>
      <c r="E27" s="2845">
        <v>1</v>
      </c>
      <c r="F27" s="2846" t="s">
        <v>2457</v>
      </c>
      <c r="G27" s="2846"/>
    </row>
    <row r="28" spans="1:13" ht="19.5" customHeight="1">
      <c r="A28" s="3472"/>
      <c r="B28" s="3469"/>
      <c r="C28" s="2847" t="s">
        <v>2458</v>
      </c>
      <c r="D28" s="2848"/>
      <c r="E28" s="2849">
        <v>1</v>
      </c>
      <c r="F28" s="2846" t="s">
        <v>2459</v>
      </c>
      <c r="G28" s="2846"/>
    </row>
    <row r="29" spans="1:13" ht="19.5" customHeight="1">
      <c r="A29" s="3472"/>
      <c r="B29" s="3469"/>
      <c r="C29" s="2847" t="s">
        <v>2460</v>
      </c>
      <c r="D29" s="2848"/>
      <c r="E29" s="2849">
        <v>0.8</v>
      </c>
      <c r="F29" s="2846" t="s">
        <v>2461</v>
      </c>
      <c r="G29" s="2846"/>
    </row>
    <row r="30" spans="1:13" ht="19.5" customHeight="1">
      <c r="A30" s="3472"/>
      <c r="B30" s="3469"/>
      <c r="C30" s="2847" t="s">
        <v>2462</v>
      </c>
      <c r="D30" s="2848"/>
      <c r="E30" s="2849">
        <v>0.8</v>
      </c>
      <c r="F30" s="2846" t="s">
        <v>2463</v>
      </c>
      <c r="G30" s="2846"/>
    </row>
    <row r="31" spans="1:13" ht="19.5" customHeight="1">
      <c r="A31" s="3472"/>
      <c r="B31" s="3469"/>
      <c r="C31" s="2847" t="s">
        <v>2464</v>
      </c>
      <c r="D31" s="2848"/>
      <c r="E31" s="2849">
        <v>0.8</v>
      </c>
      <c r="F31" s="2846" t="s">
        <v>2465</v>
      </c>
      <c r="G31" s="2846"/>
    </row>
    <row r="32" spans="1:13" ht="19.5" customHeight="1">
      <c r="A32" s="3472"/>
      <c r="B32" s="3469"/>
      <c r="C32" s="2847" t="s">
        <v>2466</v>
      </c>
      <c r="D32" s="2848"/>
      <c r="E32" s="2849">
        <v>0.7</v>
      </c>
      <c r="F32" s="2846" t="s">
        <v>2467</v>
      </c>
      <c r="G32" s="2846"/>
    </row>
    <row r="33" spans="1:7" ht="19.5" customHeight="1">
      <c r="A33" s="3472"/>
      <c r="B33" s="3469"/>
      <c r="C33" s="2847" t="s">
        <v>2468</v>
      </c>
      <c r="D33" s="2848"/>
      <c r="E33" s="2849">
        <v>0.8</v>
      </c>
      <c r="F33" s="2846" t="s">
        <v>2469</v>
      </c>
      <c r="G33" s="2846"/>
    </row>
    <row r="34" spans="1:7" ht="19.5" customHeight="1">
      <c r="A34" s="3472"/>
      <c r="B34" s="3469"/>
      <c r="C34" s="2847" t="s">
        <v>2470</v>
      </c>
      <c r="D34" s="2848"/>
      <c r="E34" s="2849">
        <v>0.6</v>
      </c>
      <c r="F34" s="2846" t="s">
        <v>2471</v>
      </c>
      <c r="G34" s="2846"/>
    </row>
    <row r="35" spans="1:7" ht="19.5" customHeight="1">
      <c r="A35" s="3472"/>
      <c r="B35" s="3469"/>
      <c r="C35" s="2847" t="s">
        <v>2472</v>
      </c>
      <c r="D35" s="2848"/>
      <c r="E35" s="2849">
        <v>0.2</v>
      </c>
      <c r="F35" s="2846" t="s">
        <v>2473</v>
      </c>
      <c r="G35" s="2846"/>
    </row>
    <row r="36" spans="1:7" ht="19.5" customHeight="1">
      <c r="A36" s="3472"/>
      <c r="B36" s="3469"/>
      <c r="C36" s="2847" t="s">
        <v>2474</v>
      </c>
      <c r="D36" s="2848"/>
      <c r="E36" s="2849">
        <v>0.2</v>
      </c>
      <c r="F36" s="2846" t="s">
        <v>2475</v>
      </c>
      <c r="G36" s="2846"/>
    </row>
    <row r="37" spans="1:7" ht="19.5" customHeight="1">
      <c r="A37" s="3472"/>
      <c r="B37" s="3474" t="s">
        <v>2636</v>
      </c>
      <c r="C37" s="2847" t="s">
        <v>2476</v>
      </c>
      <c r="D37" s="2848"/>
      <c r="E37" s="2849">
        <v>0.6</v>
      </c>
      <c r="F37" s="2846" t="s">
        <v>2477</v>
      </c>
      <c r="G37" s="2846"/>
    </row>
    <row r="38" spans="1:7" ht="19.5" customHeight="1">
      <c r="A38" s="3472"/>
      <c r="B38" s="3469"/>
      <c r="C38" s="2847" t="s">
        <v>2478</v>
      </c>
      <c r="D38" s="2848"/>
      <c r="E38" s="2849">
        <v>0.6</v>
      </c>
      <c r="F38" s="2846" t="s">
        <v>2479</v>
      </c>
      <c r="G38" s="2846"/>
    </row>
    <row r="39" spans="1:7" ht="19.5" customHeight="1" thickBot="1">
      <c r="A39" s="3473"/>
      <c r="B39" s="3470"/>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75" t="s">
        <v>2614</v>
      </c>
      <c r="B41" s="3468" t="s">
        <v>2638</v>
      </c>
      <c r="C41" s="2843" t="s">
        <v>2483</v>
      </c>
      <c r="D41" s="2844"/>
      <c r="E41" s="2845">
        <v>1</v>
      </c>
      <c r="F41" s="2846" t="s">
        <v>2484</v>
      </c>
      <c r="G41" s="2846"/>
    </row>
    <row r="42" spans="1:7" ht="19.5" customHeight="1">
      <c r="A42" s="3476"/>
      <c r="B42" s="3469"/>
      <c r="C42" s="2847" t="s">
        <v>2485</v>
      </c>
      <c r="D42" s="2848"/>
      <c r="E42" s="2849">
        <v>1</v>
      </c>
      <c r="F42" s="2846" t="s">
        <v>2486</v>
      </c>
      <c r="G42" s="2846"/>
    </row>
    <row r="43" spans="1:7" ht="19.5" customHeight="1">
      <c r="A43" s="3476"/>
      <c r="B43" s="3478"/>
      <c r="C43" s="2847" t="s">
        <v>2487</v>
      </c>
      <c r="D43" s="2848"/>
      <c r="E43" s="2849">
        <v>1.5</v>
      </c>
      <c r="F43" s="2846" t="s">
        <v>2488</v>
      </c>
      <c r="G43" s="2846"/>
    </row>
    <row r="44" spans="1:7" ht="19.5" customHeight="1">
      <c r="A44" s="3476"/>
      <c r="B44" s="2858" t="s">
        <v>2639</v>
      </c>
      <c r="C44" s="2847" t="s">
        <v>2640</v>
      </c>
      <c r="D44" s="2848"/>
      <c r="E44" s="2849">
        <v>2</v>
      </c>
      <c r="F44" s="2846" t="s">
        <v>2489</v>
      </c>
      <c r="G44" s="2846"/>
    </row>
    <row r="45" spans="1:7" ht="19.5" customHeight="1">
      <c r="A45" s="3476"/>
      <c r="B45" s="3474" t="s">
        <v>2641</v>
      </c>
      <c r="C45" s="2847" t="s">
        <v>2490</v>
      </c>
      <c r="D45" s="2848"/>
      <c r="E45" s="2849">
        <v>1</v>
      </c>
      <c r="F45" s="2846" t="s">
        <v>2491</v>
      </c>
      <c r="G45" s="2846"/>
    </row>
    <row r="46" spans="1:7" ht="19.5" customHeight="1">
      <c r="A46" s="3476"/>
      <c r="B46" s="3469"/>
      <c r="C46" s="2847" t="s">
        <v>2492</v>
      </c>
      <c r="D46" s="2848"/>
      <c r="E46" s="2849">
        <v>1</v>
      </c>
      <c r="F46" s="2846" t="s">
        <v>2493</v>
      </c>
      <c r="G46" s="2846"/>
    </row>
    <row r="47" spans="1:7" ht="19.5" customHeight="1">
      <c r="A47" s="3476"/>
      <c r="B47" s="3469"/>
      <c r="C47" s="2847" t="s">
        <v>2494</v>
      </c>
      <c r="D47" s="2848"/>
      <c r="E47" s="2849">
        <v>1</v>
      </c>
      <c r="F47" s="2846" t="s">
        <v>2495</v>
      </c>
      <c r="G47" s="2846"/>
    </row>
    <row r="48" spans="1:7" ht="19.5" customHeight="1">
      <c r="A48" s="3476"/>
      <c r="B48" s="3469"/>
      <c r="C48" s="2847" t="s">
        <v>2496</v>
      </c>
      <c r="D48" s="2848"/>
      <c r="E48" s="2849">
        <v>1</v>
      </c>
      <c r="F48" s="2846" t="s">
        <v>2497</v>
      </c>
      <c r="G48" s="2846"/>
    </row>
    <row r="49" spans="1:7" ht="19.5" customHeight="1">
      <c r="A49" s="3476"/>
      <c r="B49" s="3469"/>
      <c r="C49" s="2847" t="s">
        <v>2498</v>
      </c>
      <c r="D49" s="2848"/>
      <c r="E49" s="2849">
        <v>1</v>
      </c>
      <c r="F49" s="2846" t="s">
        <v>2499</v>
      </c>
      <c r="G49" s="2846"/>
    </row>
    <row r="50" spans="1:7" ht="19.5" customHeight="1">
      <c r="A50" s="3476"/>
      <c r="B50" s="3469"/>
      <c r="C50" s="2847" t="s">
        <v>2500</v>
      </c>
      <c r="D50" s="2848"/>
      <c r="E50" s="2849">
        <v>1</v>
      </c>
      <c r="F50" s="2846" t="s">
        <v>2501</v>
      </c>
      <c r="G50" s="2846"/>
    </row>
    <row r="51" spans="1:7" ht="19.5" customHeight="1" thickBot="1">
      <c r="A51" s="3477"/>
      <c r="B51" s="3470"/>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74" t="s">
        <v>2655</v>
      </c>
      <c r="C73" s="2832" t="s">
        <v>2656</v>
      </c>
      <c r="D73" s="2832" t="s">
        <v>2657</v>
      </c>
      <c r="E73" s="2858">
        <v>0.2</v>
      </c>
      <c r="F73" s="2858">
        <v>25</v>
      </c>
    </row>
    <row r="74" spans="1:7" ht="24">
      <c r="A74" s="2858">
        <v>2</v>
      </c>
      <c r="B74" s="3469"/>
      <c r="C74" s="2832" t="s">
        <v>2658</v>
      </c>
      <c r="D74" s="2832" t="s">
        <v>2659</v>
      </c>
      <c r="E74" s="2858">
        <v>0.2</v>
      </c>
      <c r="F74" s="2858">
        <v>25</v>
      </c>
    </row>
    <row r="75" spans="1:7" ht="24">
      <c r="A75" s="2858">
        <v>3</v>
      </c>
      <c r="B75" s="3469"/>
      <c r="C75" s="2832" t="s">
        <v>2660</v>
      </c>
      <c r="D75" s="2832" t="s">
        <v>2661</v>
      </c>
      <c r="E75" s="2858">
        <v>0.2</v>
      </c>
      <c r="F75" s="2858">
        <v>25</v>
      </c>
    </row>
    <row r="76" spans="1:7" ht="13.5">
      <c r="A76" s="2858">
        <v>4</v>
      </c>
      <c r="B76" s="3469"/>
      <c r="C76" s="2832" t="s">
        <v>2662</v>
      </c>
      <c r="D76" s="2832" t="s">
        <v>2663</v>
      </c>
      <c r="E76" s="2858">
        <v>0.15</v>
      </c>
      <c r="F76" s="2858">
        <v>20</v>
      </c>
    </row>
    <row r="77" spans="1:7" ht="24">
      <c r="A77" s="2858">
        <v>5</v>
      </c>
      <c r="B77" s="3469"/>
      <c r="C77" s="2832" t="s">
        <v>2664</v>
      </c>
      <c r="D77" s="2832" t="s">
        <v>2665</v>
      </c>
      <c r="E77" s="2858">
        <v>0.15</v>
      </c>
      <c r="F77" s="2858">
        <v>20</v>
      </c>
    </row>
    <row r="78" spans="1:7" ht="24">
      <c r="A78" s="2858">
        <v>6</v>
      </c>
      <c r="B78" s="3469"/>
      <c r="C78" s="2832" t="s">
        <v>2666</v>
      </c>
      <c r="D78" s="2832" t="s">
        <v>2667</v>
      </c>
      <c r="E78" s="2858">
        <v>0.15</v>
      </c>
      <c r="F78" s="2858">
        <v>20</v>
      </c>
    </row>
    <row r="79" spans="1:7" ht="24">
      <c r="A79" s="2858">
        <v>7</v>
      </c>
      <c r="B79" s="3469"/>
      <c r="C79" s="2832" t="s">
        <v>2668</v>
      </c>
      <c r="D79" s="2832" t="s">
        <v>2669</v>
      </c>
      <c r="E79" s="2858">
        <v>0.15</v>
      </c>
      <c r="F79" s="2858">
        <v>20</v>
      </c>
    </row>
    <row r="80" spans="1:7" ht="24">
      <c r="A80" s="2858">
        <v>8</v>
      </c>
      <c r="B80" s="3469"/>
      <c r="C80" s="2832" t="s">
        <v>2670</v>
      </c>
      <c r="D80" s="2832" t="s">
        <v>2671</v>
      </c>
      <c r="E80" s="2858">
        <v>0.1</v>
      </c>
      <c r="F80" s="2858">
        <v>15</v>
      </c>
    </row>
    <row r="81" spans="1:6" ht="24">
      <c r="A81" s="2858">
        <v>9</v>
      </c>
      <c r="B81" s="3469"/>
      <c r="C81" s="2832" t="s">
        <v>2672</v>
      </c>
      <c r="D81" s="2832" t="s">
        <v>2673</v>
      </c>
      <c r="E81" s="2858">
        <v>0.1</v>
      </c>
      <c r="F81" s="2858">
        <v>15</v>
      </c>
    </row>
    <row r="82" spans="1:6" ht="24">
      <c r="A82" s="2858">
        <v>10</v>
      </c>
      <c r="B82" s="3469"/>
      <c r="C82" s="2832" t="s">
        <v>2674</v>
      </c>
      <c r="D82" s="2832" t="s">
        <v>2675</v>
      </c>
      <c r="E82" s="2858">
        <v>0.1</v>
      </c>
      <c r="F82" s="2858">
        <v>15</v>
      </c>
    </row>
    <row r="83" spans="1:6" ht="24">
      <c r="A83" s="2858">
        <v>11</v>
      </c>
      <c r="B83" s="3469"/>
      <c r="C83" s="2832" t="s">
        <v>2676</v>
      </c>
      <c r="D83" s="2832" t="s">
        <v>2677</v>
      </c>
      <c r="E83" s="2858">
        <v>0.1</v>
      </c>
      <c r="F83" s="2858">
        <v>15</v>
      </c>
    </row>
    <row r="84" spans="1:6" ht="24">
      <c r="A84" s="2858">
        <v>12</v>
      </c>
      <c r="B84" s="3469"/>
      <c r="C84" s="2832" t="s">
        <v>2678</v>
      </c>
      <c r="D84" s="2832" t="s">
        <v>2679</v>
      </c>
      <c r="E84" s="2858">
        <v>0.1</v>
      </c>
      <c r="F84" s="2858">
        <v>15</v>
      </c>
    </row>
    <row r="85" spans="1:6" ht="13.5">
      <c r="A85" s="2858">
        <v>13</v>
      </c>
      <c r="B85" s="3469"/>
      <c r="C85" s="2832" t="s">
        <v>2680</v>
      </c>
      <c r="D85" s="2832" t="s">
        <v>2681</v>
      </c>
      <c r="E85" s="2858">
        <v>0.1</v>
      </c>
      <c r="F85" s="2858">
        <v>15</v>
      </c>
    </row>
    <row r="86" spans="1:6" ht="13.5">
      <c r="A86" s="2858">
        <v>14</v>
      </c>
      <c r="B86" s="3469"/>
      <c r="C86" s="2832" t="s">
        <v>2682</v>
      </c>
      <c r="D86" s="2832" t="s">
        <v>2683</v>
      </c>
      <c r="E86" s="2858">
        <v>0.1</v>
      </c>
      <c r="F86" s="2858">
        <v>15</v>
      </c>
    </row>
    <row r="87" spans="1:6" ht="13.5">
      <c r="A87" s="2858">
        <v>15</v>
      </c>
      <c r="B87" s="3469"/>
      <c r="C87" s="2832" t="s">
        <v>2684</v>
      </c>
      <c r="D87" s="2832" t="s">
        <v>2685</v>
      </c>
      <c r="E87" s="2858">
        <v>0.1</v>
      </c>
      <c r="F87" s="2858">
        <v>15</v>
      </c>
    </row>
    <row r="88" spans="1:6" ht="24">
      <c r="A88" s="2858">
        <v>16</v>
      </c>
      <c r="B88" s="3469"/>
      <c r="C88" s="2832" t="s">
        <v>2686</v>
      </c>
      <c r="D88" s="2832" t="s">
        <v>2687</v>
      </c>
      <c r="E88" s="2858">
        <v>0.1</v>
      </c>
      <c r="F88" s="2858">
        <v>15</v>
      </c>
    </row>
    <row r="89" spans="1:6" ht="24">
      <c r="A89" s="2858">
        <v>17</v>
      </c>
      <c r="B89" s="3478"/>
      <c r="C89" s="2832" t="s">
        <v>2688</v>
      </c>
      <c r="D89" s="2832" t="s">
        <v>2689</v>
      </c>
      <c r="E89" s="2858">
        <v>0.1</v>
      </c>
      <c r="F89" s="2858">
        <v>15</v>
      </c>
    </row>
    <row r="90" spans="1:6" ht="13.5">
      <c r="A90" s="2858">
        <v>18</v>
      </c>
      <c r="B90" s="3474" t="s">
        <v>2690</v>
      </c>
      <c r="C90" s="2832" t="s">
        <v>2691</v>
      </c>
      <c r="D90" s="2832" t="s">
        <v>2692</v>
      </c>
      <c r="E90" s="2858">
        <v>0.2</v>
      </c>
      <c r="F90" s="2858">
        <v>25</v>
      </c>
    </row>
    <row r="91" spans="1:6" ht="24">
      <c r="A91" s="2858">
        <v>19</v>
      </c>
      <c r="B91" s="3469"/>
      <c r="C91" s="2832" t="s">
        <v>2693</v>
      </c>
      <c r="D91" s="2832" t="s">
        <v>2694</v>
      </c>
      <c r="E91" s="2858">
        <v>0.2</v>
      </c>
      <c r="F91" s="2858">
        <v>25</v>
      </c>
    </row>
    <row r="92" spans="1:6" ht="13.5">
      <c r="A92" s="2858">
        <v>20</v>
      </c>
      <c r="B92" s="3469"/>
      <c r="C92" s="2832" t="s">
        <v>2695</v>
      </c>
      <c r="D92" s="2832" t="s">
        <v>2696</v>
      </c>
      <c r="E92" s="2858">
        <v>0.15</v>
      </c>
      <c r="F92" s="2858">
        <v>20</v>
      </c>
    </row>
    <row r="93" spans="1:6" ht="13.5">
      <c r="A93" s="2858">
        <v>21</v>
      </c>
      <c r="B93" s="3469"/>
      <c r="C93" s="2832" t="s">
        <v>2697</v>
      </c>
      <c r="D93" s="2832" t="s">
        <v>2698</v>
      </c>
      <c r="E93" s="2858">
        <v>0.15</v>
      </c>
      <c r="F93" s="2858">
        <v>20</v>
      </c>
    </row>
    <row r="94" spans="1:6" ht="13.5">
      <c r="A94" s="2858">
        <v>22</v>
      </c>
      <c r="B94" s="3469"/>
      <c r="C94" s="2832" t="s">
        <v>2699</v>
      </c>
      <c r="D94" s="2832" t="s">
        <v>2700</v>
      </c>
      <c r="E94" s="2858">
        <v>0.15</v>
      </c>
      <c r="F94" s="2858">
        <v>20</v>
      </c>
    </row>
    <row r="95" spans="1:6" ht="36">
      <c r="A95" s="2858">
        <v>23</v>
      </c>
      <c r="B95" s="3469"/>
      <c r="C95" s="2832" t="s">
        <v>2701</v>
      </c>
      <c r="D95" s="2832" t="s">
        <v>2702</v>
      </c>
      <c r="E95" s="2858">
        <v>0.15</v>
      </c>
      <c r="F95" s="2858">
        <v>20</v>
      </c>
    </row>
    <row r="96" spans="1:6" ht="13.5">
      <c r="A96" s="2858">
        <v>24</v>
      </c>
      <c r="B96" s="3469"/>
      <c r="C96" s="2832" t="s">
        <v>2703</v>
      </c>
      <c r="D96" s="2832" t="s">
        <v>2704</v>
      </c>
      <c r="E96" s="2858">
        <v>0.1</v>
      </c>
      <c r="F96" s="2858">
        <v>15</v>
      </c>
    </row>
    <row r="97" spans="1:6" ht="13.5">
      <c r="A97" s="2858">
        <v>25</v>
      </c>
      <c r="B97" s="3469"/>
      <c r="C97" s="2832" t="s">
        <v>2705</v>
      </c>
      <c r="D97" s="2832" t="s">
        <v>2706</v>
      </c>
      <c r="E97" s="2858">
        <v>0.1</v>
      </c>
      <c r="F97" s="2858">
        <v>15</v>
      </c>
    </row>
    <row r="98" spans="1:6" ht="24">
      <c r="A98" s="2858">
        <v>26</v>
      </c>
      <c r="B98" s="3469"/>
      <c r="C98" s="2832" t="s">
        <v>2707</v>
      </c>
      <c r="D98" s="2832" t="s">
        <v>2708</v>
      </c>
      <c r="E98" s="2858">
        <v>0.1</v>
      </c>
      <c r="F98" s="2858">
        <v>15</v>
      </c>
    </row>
    <row r="99" spans="1:6" ht="24">
      <c r="A99" s="2858">
        <v>27</v>
      </c>
      <c r="B99" s="3469"/>
      <c r="C99" s="2832" t="s">
        <v>2709</v>
      </c>
      <c r="D99" s="2832" t="s">
        <v>2710</v>
      </c>
      <c r="E99" s="2858">
        <v>0.1</v>
      </c>
      <c r="F99" s="2858">
        <v>15</v>
      </c>
    </row>
    <row r="100" spans="1:6" ht="13.5">
      <c r="A100" s="2858">
        <v>28</v>
      </c>
      <c r="B100" s="3469"/>
      <c r="C100" s="2832" t="s">
        <v>2711</v>
      </c>
      <c r="D100" s="2832" t="s">
        <v>2712</v>
      </c>
      <c r="E100" s="2858">
        <v>0.1</v>
      </c>
      <c r="F100" s="2858">
        <v>15</v>
      </c>
    </row>
    <row r="101" spans="1:6" ht="13.5">
      <c r="A101" s="2858">
        <v>29</v>
      </c>
      <c r="B101" s="3469"/>
      <c r="C101" s="2832" t="s">
        <v>2713</v>
      </c>
      <c r="D101" s="2832" t="s">
        <v>2714</v>
      </c>
      <c r="E101" s="2858">
        <v>0.1</v>
      </c>
      <c r="F101" s="2858">
        <v>15</v>
      </c>
    </row>
    <row r="102" spans="1:6" ht="13.5">
      <c r="A102" s="2858">
        <v>30</v>
      </c>
      <c r="B102" s="3469"/>
      <c r="C102" s="2832" t="s">
        <v>2715</v>
      </c>
      <c r="D102" s="2832" t="s">
        <v>2716</v>
      </c>
      <c r="E102" s="2858">
        <v>0.1</v>
      </c>
      <c r="F102" s="2858">
        <v>15</v>
      </c>
    </row>
    <row r="103" spans="1:6" ht="24">
      <c r="A103" s="2858">
        <v>31</v>
      </c>
      <c r="B103" s="3469"/>
      <c r="C103" s="2832" t="s">
        <v>2717</v>
      </c>
      <c r="D103" s="2832" t="s">
        <v>2718</v>
      </c>
      <c r="E103" s="2858">
        <v>0.1</v>
      </c>
      <c r="F103" s="2858">
        <v>15</v>
      </c>
    </row>
    <row r="104" spans="1:6" ht="24">
      <c r="A104" s="2858">
        <v>32</v>
      </c>
      <c r="B104" s="3469"/>
      <c r="C104" s="2832" t="s">
        <v>2719</v>
      </c>
      <c r="D104" s="2832" t="s">
        <v>2720</v>
      </c>
      <c r="E104" s="2858">
        <v>0.1</v>
      </c>
      <c r="F104" s="2858">
        <v>15</v>
      </c>
    </row>
    <row r="105" spans="1:6" ht="24">
      <c r="A105" s="2858">
        <v>33</v>
      </c>
      <c r="B105" s="3469"/>
      <c r="C105" s="2832" t="s">
        <v>2721</v>
      </c>
      <c r="D105" s="2832" t="s">
        <v>2722</v>
      </c>
      <c r="E105" s="2858">
        <v>0.1</v>
      </c>
      <c r="F105" s="2858">
        <v>15</v>
      </c>
    </row>
    <row r="106" spans="1:6" ht="24">
      <c r="A106" s="2858">
        <v>34</v>
      </c>
      <c r="B106" s="3478"/>
      <c r="C106" s="2832" t="s">
        <v>2723</v>
      </c>
      <c r="D106" s="2832" t="s">
        <v>2724</v>
      </c>
      <c r="E106" s="2858">
        <v>0.1</v>
      </c>
      <c r="F106" s="2858">
        <v>15</v>
      </c>
    </row>
    <row r="107" spans="1:6" ht="24">
      <c r="A107" s="2858">
        <v>35</v>
      </c>
      <c r="B107" s="3474" t="s">
        <v>2725</v>
      </c>
      <c r="C107" s="2858" t="s">
        <v>2726</v>
      </c>
      <c r="D107" s="2832" t="s">
        <v>2727</v>
      </c>
      <c r="E107" s="2858">
        <v>0.15</v>
      </c>
      <c r="F107" s="2858">
        <v>20</v>
      </c>
    </row>
    <row r="108" spans="1:6" ht="13.5">
      <c r="A108" s="2858">
        <v>36</v>
      </c>
      <c r="B108" s="3469"/>
      <c r="C108" s="2858" t="s">
        <v>2728</v>
      </c>
      <c r="D108" s="2832" t="s">
        <v>2729</v>
      </c>
      <c r="E108" s="2858">
        <v>0.15</v>
      </c>
      <c r="F108" s="2858">
        <v>20</v>
      </c>
    </row>
    <row r="109" spans="1:6" ht="13.5">
      <c r="A109" s="2858">
        <v>37</v>
      </c>
      <c r="B109" s="3469"/>
      <c r="C109" s="2858" t="s">
        <v>2730</v>
      </c>
      <c r="D109" s="2832" t="s">
        <v>2731</v>
      </c>
      <c r="E109" s="2858">
        <v>0.15</v>
      </c>
      <c r="F109" s="2858">
        <v>20</v>
      </c>
    </row>
    <row r="110" spans="1:6" ht="13.5">
      <c r="A110" s="2858">
        <v>38</v>
      </c>
      <c r="B110" s="3469"/>
      <c r="C110" s="2858" t="s">
        <v>2732</v>
      </c>
      <c r="D110" s="2832" t="s">
        <v>2733</v>
      </c>
      <c r="E110" s="2858">
        <v>0.1</v>
      </c>
      <c r="F110" s="2858">
        <v>15</v>
      </c>
    </row>
    <row r="111" spans="1:6" ht="24">
      <c r="A111" s="2858">
        <v>39</v>
      </c>
      <c r="B111" s="3469"/>
      <c r="C111" s="2858" t="s">
        <v>2734</v>
      </c>
      <c r="D111" s="2832" t="s">
        <v>2735</v>
      </c>
      <c r="E111" s="2858">
        <v>0.1</v>
      </c>
      <c r="F111" s="2858">
        <v>15</v>
      </c>
    </row>
    <row r="112" spans="1:6" ht="24">
      <c r="A112" s="2858">
        <v>40</v>
      </c>
      <c r="B112" s="3478"/>
      <c r="C112" s="2858" t="s">
        <v>2736</v>
      </c>
      <c r="D112" s="2832" t="s">
        <v>2737</v>
      </c>
      <c r="E112" s="2858">
        <v>0.1</v>
      </c>
      <c r="F112" s="2858">
        <v>15</v>
      </c>
    </row>
    <row r="113" spans="1:6" ht="13.5">
      <c r="A113" s="2858">
        <v>41</v>
      </c>
      <c r="B113" s="3479" t="s">
        <v>2738</v>
      </c>
      <c r="C113" s="2858" t="s">
        <v>2739</v>
      </c>
      <c r="D113" s="2832" t="s">
        <v>2740</v>
      </c>
      <c r="E113" s="2858">
        <v>0.1</v>
      </c>
      <c r="F113" s="2858">
        <v>15</v>
      </c>
    </row>
    <row r="114" spans="1:6" ht="13.5">
      <c r="A114" s="2858">
        <v>42</v>
      </c>
      <c r="B114" s="3479"/>
      <c r="C114" s="2858" t="s">
        <v>2741</v>
      </c>
      <c r="D114" s="2832" t="s">
        <v>2742</v>
      </c>
      <c r="E114" s="2858">
        <v>0.1</v>
      </c>
      <c r="F114" s="2858">
        <v>15</v>
      </c>
    </row>
    <row r="115" spans="1:6" ht="24">
      <c r="A115" s="2858">
        <v>43</v>
      </c>
      <c r="B115" s="3479"/>
      <c r="C115" s="2858" t="s">
        <v>2743</v>
      </c>
      <c r="D115" s="2832" t="s">
        <v>2744</v>
      </c>
      <c r="E115" s="2858">
        <v>0.1</v>
      </c>
      <c r="F115" s="2858">
        <v>15</v>
      </c>
    </row>
    <row r="116" spans="1:6" ht="13.5">
      <c r="A116" s="2858">
        <v>44</v>
      </c>
      <c r="B116" s="3474" t="s">
        <v>2745</v>
      </c>
      <c r="C116" s="2858" t="s">
        <v>2746</v>
      </c>
      <c r="D116" s="2832" t="s">
        <v>2747</v>
      </c>
      <c r="E116" s="2858">
        <v>0.1</v>
      </c>
      <c r="F116" s="2858">
        <v>15</v>
      </c>
    </row>
    <row r="117" spans="1:6" ht="24">
      <c r="A117" s="2858">
        <v>45</v>
      </c>
      <c r="B117" s="3478"/>
      <c r="C117" s="2832" t="s">
        <v>2748</v>
      </c>
      <c r="D117" s="2832" t="s">
        <v>2749</v>
      </c>
      <c r="E117" s="2858">
        <v>0.1</v>
      </c>
      <c r="F117" s="2858">
        <v>15</v>
      </c>
    </row>
    <row r="118" spans="1:6" ht="24">
      <c r="A118" s="2858">
        <v>46</v>
      </c>
      <c r="B118" s="3474" t="s">
        <v>2750</v>
      </c>
      <c r="C118" s="2858" t="s">
        <v>2751</v>
      </c>
      <c r="D118" s="2832" t="s">
        <v>2752</v>
      </c>
      <c r="E118" s="2858">
        <v>0.1</v>
      </c>
      <c r="F118" s="2858">
        <v>15</v>
      </c>
    </row>
    <row r="119" spans="1:6" ht="24">
      <c r="A119" s="2858">
        <v>47</v>
      </c>
      <c r="B119" s="3478"/>
      <c r="C119" s="2858" t="s">
        <v>2753</v>
      </c>
      <c r="D119" s="2832" t="s">
        <v>2754</v>
      </c>
      <c r="E119" s="2858">
        <v>0.1</v>
      </c>
      <c r="F119" s="2858">
        <v>15</v>
      </c>
    </row>
    <row r="120" spans="1:6" ht="13.5">
      <c r="A120" s="2858">
        <v>48</v>
      </c>
      <c r="B120" s="3474" t="s">
        <v>2755</v>
      </c>
      <c r="C120" s="2858" t="s">
        <v>2756</v>
      </c>
      <c r="D120" s="2832" t="s">
        <v>2757</v>
      </c>
      <c r="E120" s="2858">
        <v>0.1</v>
      </c>
      <c r="F120" s="2858">
        <v>15</v>
      </c>
    </row>
    <row r="121" spans="1:6" ht="13.5">
      <c r="A121" s="2858">
        <v>49</v>
      </c>
      <c r="B121" s="3478"/>
      <c r="C121" s="2858" t="s">
        <v>2758</v>
      </c>
      <c r="D121" s="2832" t="s">
        <v>2759</v>
      </c>
      <c r="E121" s="2858">
        <v>0.1</v>
      </c>
      <c r="F121" s="2858">
        <v>15</v>
      </c>
    </row>
    <row r="122" spans="1:6" ht="24">
      <c r="A122" s="2858">
        <v>50</v>
      </c>
      <c r="B122" s="3479" t="s">
        <v>2760</v>
      </c>
      <c r="C122" s="2858" t="s">
        <v>2761</v>
      </c>
      <c r="D122" s="2832" t="s">
        <v>2762</v>
      </c>
      <c r="E122" s="2858">
        <v>0.1</v>
      </c>
      <c r="F122" s="2858">
        <v>15</v>
      </c>
    </row>
    <row r="123" spans="1:6" ht="24">
      <c r="A123" s="2858">
        <v>51</v>
      </c>
      <c r="B123" s="3479"/>
      <c r="C123" s="2858" t="s">
        <v>2763</v>
      </c>
      <c r="D123" s="2832" t="s">
        <v>2764</v>
      </c>
      <c r="E123" s="2858">
        <v>0.1</v>
      </c>
      <c r="F123" s="2858">
        <v>15</v>
      </c>
    </row>
    <row r="124" spans="1:6" ht="24">
      <c r="A124" s="2858">
        <v>52</v>
      </c>
      <c r="B124" s="3479" t="s">
        <v>2765</v>
      </c>
      <c r="C124" s="2858" t="s">
        <v>2766</v>
      </c>
      <c r="D124" s="2832" t="s">
        <v>2767</v>
      </c>
      <c r="E124" s="2858">
        <v>0.1</v>
      </c>
      <c r="F124" s="2858">
        <v>15</v>
      </c>
    </row>
    <row r="125" spans="1:6" ht="24">
      <c r="A125" s="2858">
        <v>53</v>
      </c>
      <c r="B125" s="3479"/>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79" t="s">
        <v>2773</v>
      </c>
      <c r="C127" s="2858" t="s">
        <v>2774</v>
      </c>
      <c r="D127" s="2832" t="s">
        <v>2775</v>
      </c>
      <c r="E127" s="2858">
        <v>0.1</v>
      </c>
      <c r="F127" s="2858">
        <v>15</v>
      </c>
    </row>
    <row r="128" spans="1:6" ht="13.5">
      <c r="A128" s="2858">
        <v>56</v>
      </c>
      <c r="B128" s="3479"/>
      <c r="C128" s="2858" t="s">
        <v>2776</v>
      </c>
      <c r="D128" s="2832" t="s">
        <v>2777</v>
      </c>
      <c r="E128" s="2858">
        <v>0.1</v>
      </c>
      <c r="F128" s="2858">
        <v>15</v>
      </c>
    </row>
    <row r="129" spans="1:6" ht="24">
      <c r="A129" s="2858">
        <v>57</v>
      </c>
      <c r="B129" s="3479"/>
      <c r="C129" s="2858" t="s">
        <v>2778</v>
      </c>
      <c r="D129" s="2832" t="s">
        <v>2779</v>
      </c>
      <c r="E129" s="2858">
        <v>0.1</v>
      </c>
      <c r="F129" s="2858">
        <v>15</v>
      </c>
    </row>
    <row r="130" spans="1:6" ht="24">
      <c r="A130" s="2858">
        <v>58</v>
      </c>
      <c r="B130" s="3479" t="s">
        <v>2780</v>
      </c>
      <c r="C130" s="2858" t="s">
        <v>2781</v>
      </c>
      <c r="D130" s="2832" t="s">
        <v>2782</v>
      </c>
      <c r="E130" s="2858">
        <v>0.1</v>
      </c>
      <c r="F130" s="2858">
        <v>15</v>
      </c>
    </row>
    <row r="131" spans="1:6" ht="13.5">
      <c r="A131" s="2858">
        <v>59</v>
      </c>
      <c r="B131" s="3479"/>
      <c r="C131" s="2858" t="s">
        <v>2783</v>
      </c>
      <c r="D131" s="2832" t="s">
        <v>2784</v>
      </c>
      <c r="E131" s="2858">
        <v>0.1</v>
      </c>
      <c r="F131" s="2858">
        <v>15</v>
      </c>
    </row>
    <row r="132" spans="1:6" ht="13.5">
      <c r="A132" s="2858">
        <v>60</v>
      </c>
      <c r="B132" s="3474" t="s">
        <v>2785</v>
      </c>
      <c r="C132" s="2858" t="s">
        <v>2786</v>
      </c>
      <c r="D132" s="2832" t="s">
        <v>2787</v>
      </c>
      <c r="E132" s="2858">
        <v>0.1</v>
      </c>
      <c r="F132" s="2858">
        <v>15</v>
      </c>
    </row>
    <row r="133" spans="1:6" ht="13.5">
      <c r="A133" s="2858">
        <v>61</v>
      </c>
      <c r="B133" s="3478"/>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79" t="s">
        <v>2793</v>
      </c>
      <c r="C135" s="2858" t="s">
        <v>2794</v>
      </c>
      <c r="D135" s="2832" t="s">
        <v>2795</v>
      </c>
      <c r="E135" s="2858">
        <v>0.1</v>
      </c>
      <c r="F135" s="2858">
        <v>15</v>
      </c>
    </row>
    <row r="136" spans="1:6" ht="13.5">
      <c r="A136" s="2858">
        <v>64</v>
      </c>
      <c r="B136" s="3479"/>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0</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0</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3" t="s">
        <v>94</v>
      </c>
    </row>
    <row r="43" spans="1:7" ht="13.5" customHeight="1">
      <c r="A43" s="734" t="s">
        <v>347</v>
      </c>
      <c r="B43" s="207" t="s">
        <v>426</v>
      </c>
      <c r="C43" s="230" t="e">
        <f ca="1">ROUND(IF('数据-取费表'!B22&lt;=1,C39*F22*'数据-取费表'!B21/2,C39*(POWER((1+F22),'数据-取费表'!B21/2)-1)),0)</f>
        <v>#VALUE!</v>
      </c>
      <c r="D43" s="230"/>
      <c r="E43" s="230"/>
      <c r="F43" s="231"/>
      <c r="G43" s="3344"/>
    </row>
    <row r="44" spans="1:7" ht="13.5" customHeight="1">
      <c r="A44" s="734" t="s">
        <v>348</v>
      </c>
      <c r="B44" s="207" t="s">
        <v>428</v>
      </c>
      <c r="C44" s="230" t="e">
        <f ca="1">ROUND(IF('数据-取费表'!B22&lt;=1,C40*F22*'数据-取费表'!B21/2,C40*(POWER((1+F22),'数据-取费表'!B21/2)-1)),4)</f>
        <v>#VALUE!</v>
      </c>
      <c r="D44" s="230"/>
      <c r="E44" s="230"/>
      <c r="F44" s="231"/>
      <c r="G44" s="334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2" t="s">
        <v>2845</v>
      </c>
      <c r="B1" s="3482"/>
      <c r="C1" s="3482"/>
      <c r="D1" s="3482"/>
      <c r="E1" s="3482"/>
      <c r="F1" s="3482"/>
      <c r="G1" s="3483"/>
      <c r="I1" s="2939" t="s">
        <v>2846</v>
      </c>
      <c r="J1" s="2940" t="s">
        <v>2847</v>
      </c>
      <c r="K1" s="2940" t="s">
        <v>2848</v>
      </c>
      <c r="L1" s="2940" t="s">
        <v>2849</v>
      </c>
      <c r="M1" s="2940" t="s">
        <v>2850</v>
      </c>
      <c r="N1" s="2940" t="s">
        <v>2851</v>
      </c>
      <c r="O1" s="2940" t="s">
        <v>2852</v>
      </c>
      <c r="P1" s="2940" t="s">
        <v>2853</v>
      </c>
      <c r="Q1" s="2940" t="s">
        <v>2854</v>
      </c>
      <c r="R1" s="2940" t="s">
        <v>2855</v>
      </c>
      <c r="S1" s="2940" t="s">
        <v>2856</v>
      </c>
      <c r="T1" s="2941" t="s">
        <v>2857</v>
      </c>
    </row>
    <row r="2" spans="1:20" ht="12" thickBot="1">
      <c r="A2" s="2942" t="s">
        <v>2858</v>
      </c>
      <c r="B2" s="2942"/>
      <c r="C2" s="2942"/>
      <c r="D2" s="2942"/>
      <c r="E2" s="2942"/>
      <c r="F2" s="2942"/>
      <c r="G2" s="2943" t="s">
        <v>2859</v>
      </c>
      <c r="I2" s="2944" t="s">
        <v>2860</v>
      </c>
      <c r="J2" s="2944" t="s">
        <v>2861</v>
      </c>
      <c r="K2" s="2944" t="s">
        <v>2862</v>
      </c>
      <c r="L2" s="2944" t="s">
        <v>2863</v>
      </c>
      <c r="M2" s="2944" t="s">
        <v>2864</v>
      </c>
      <c r="N2" s="2944" t="s">
        <v>2865</v>
      </c>
      <c r="O2" s="2944" t="s">
        <v>2866</v>
      </c>
      <c r="P2" s="2944" t="s">
        <v>2867</v>
      </c>
      <c r="Q2" s="2944" t="s">
        <v>2868</v>
      </c>
      <c r="R2" s="2944" t="s">
        <v>2869</v>
      </c>
      <c r="S2" s="2944" t="s">
        <v>2870</v>
      </c>
      <c r="T2" s="2944" t="s">
        <v>2871</v>
      </c>
    </row>
    <row r="3" spans="1:20" s="2950" customFormat="1">
      <c r="A3" s="3480" t="s">
        <v>2872</v>
      </c>
      <c r="B3" s="2945"/>
      <c r="C3" s="2946" t="s">
        <v>2815</v>
      </c>
      <c r="D3" s="2946" t="s">
        <v>2873</v>
      </c>
      <c r="E3" s="2946" t="s">
        <v>2817</v>
      </c>
      <c r="F3" s="2946" t="s">
        <v>2874</v>
      </c>
      <c r="G3" s="2946" t="s">
        <v>2635</v>
      </c>
      <c r="H3" s="2947"/>
      <c r="I3" s="2948" t="s">
        <v>2875</v>
      </c>
      <c r="J3" s="2949" t="s">
        <v>128</v>
      </c>
      <c r="K3" s="2949" t="s">
        <v>129</v>
      </c>
      <c r="L3" s="2948" t="s">
        <v>130</v>
      </c>
      <c r="M3" s="2948" t="s">
        <v>131</v>
      </c>
      <c r="N3" s="2948" t="s">
        <v>132</v>
      </c>
      <c r="O3" s="2948" t="s">
        <v>133</v>
      </c>
      <c r="P3" s="2948" t="s">
        <v>134</v>
      </c>
      <c r="Q3" s="2948" t="s">
        <v>135</v>
      </c>
      <c r="R3" s="2948" t="s">
        <v>136</v>
      </c>
      <c r="S3" s="2948" t="s">
        <v>2876</v>
      </c>
      <c r="T3" s="2948" t="s">
        <v>2877</v>
      </c>
    </row>
    <row r="4" spans="1:20" s="2950" customFormat="1" ht="12" thickBot="1">
      <c r="A4" s="3481"/>
      <c r="B4" s="2951" t="s">
        <v>2878</v>
      </c>
      <c r="C4" s="2951" t="s">
        <v>2879</v>
      </c>
      <c r="D4" s="2951" t="s">
        <v>2879</v>
      </c>
      <c r="E4" s="2951" t="s">
        <v>2879</v>
      </c>
      <c r="F4" s="2952" t="s">
        <v>2879</v>
      </c>
      <c r="G4" s="2952" t="s">
        <v>2879</v>
      </c>
      <c r="H4" s="2947"/>
      <c r="I4" s="2949" t="s">
        <v>137</v>
      </c>
      <c r="J4" s="2949" t="s">
        <v>111</v>
      </c>
      <c r="K4" s="2949" t="s">
        <v>138</v>
      </c>
      <c r="L4" s="2948" t="s">
        <v>139</v>
      </c>
      <c r="M4" s="2948" t="s">
        <v>140</v>
      </c>
      <c r="N4" s="2948" t="s">
        <v>141</v>
      </c>
      <c r="O4" s="2948" t="s">
        <v>142</v>
      </c>
      <c r="P4" s="2948" t="s">
        <v>143</v>
      </c>
      <c r="Q4" s="2948" t="s">
        <v>2880</v>
      </c>
      <c r="R4" s="2948" t="s">
        <v>2881</v>
      </c>
      <c r="S4" s="2948" t="s">
        <v>2882</v>
      </c>
      <c r="T4" s="2948" t="s">
        <v>2883</v>
      </c>
    </row>
    <row r="5" spans="1:20">
      <c r="A5" s="2953" t="s">
        <v>2846</v>
      </c>
      <c r="B5" s="2944" t="s">
        <v>2860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2884</v>
      </c>
      <c r="R5" s="2948" t="s">
        <v>2885</v>
      </c>
      <c r="S5" s="2948" t="s">
        <v>153</v>
      </c>
      <c r="T5" s="2948" t="s">
        <v>2886</v>
      </c>
    </row>
    <row r="6" spans="1:20" ht="12" thickBot="1">
      <c r="A6" s="2948" t="s">
        <v>144</v>
      </c>
      <c r="B6" s="2948" t="s">
        <v>2875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2887</v>
      </c>
      <c r="Q6" s="2948" t="s">
        <v>2888</v>
      </c>
      <c r="R6" s="2948" t="s">
        <v>161</v>
      </c>
      <c r="S6" s="2948" t="s">
        <v>2889</v>
      </c>
      <c r="T6" s="2948" t="s">
        <v>2890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2891</v>
      </c>
      <c r="Q7" s="2948" t="s">
        <v>2892</v>
      </c>
      <c r="R7" s="2948" t="s">
        <v>2893</v>
      </c>
      <c r="S7" s="2948" t="s">
        <v>2894</v>
      </c>
      <c r="T7" s="2948" t="s">
        <v>2895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2896</v>
      </c>
      <c r="Q8" s="2948" t="s">
        <v>174</v>
      </c>
      <c r="R8" s="2948" t="s">
        <v>2897</v>
      </c>
      <c r="S8" s="2948" t="s">
        <v>2898</v>
      </c>
      <c r="T8" s="2955" t="s">
        <v>2899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2900</v>
      </c>
      <c r="Q9" s="2948" t="s">
        <v>182</v>
      </c>
      <c r="R9" s="2948" t="s">
        <v>183</v>
      </c>
      <c r="S9" s="2948" t="s">
        <v>200</v>
      </c>
    </row>
    <row r="10" spans="1:20">
      <c r="A10" s="2953" t="s">
        <v>184</v>
      </c>
      <c r="B10" s="2944" t="s">
        <v>2861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2902</v>
      </c>
      <c r="P11" s="2948" t="s">
        <v>191</v>
      </c>
      <c r="Q11" s="2948" t="s">
        <v>199</v>
      </c>
      <c r="R11" s="2948" t="s">
        <v>2903</v>
      </c>
      <c r="S11" s="2948" t="s">
        <v>2904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2905</v>
      </c>
      <c r="P12" s="2948" t="s">
        <v>2906</v>
      </c>
      <c r="Q12" s="2948" t="s">
        <v>2907</v>
      </c>
      <c r="R12" s="2948" t="s">
        <v>2908</v>
      </c>
      <c r="S12" s="2948" t="s">
        <v>2909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2911</v>
      </c>
      <c r="K14" s="2949" t="s">
        <v>215</v>
      </c>
      <c r="L14" s="2948" t="s">
        <v>216</v>
      </c>
      <c r="M14" s="2948" t="s">
        <v>217</v>
      </c>
      <c r="N14" s="2948" t="s">
        <v>218</v>
      </c>
      <c r="O14" s="2948" t="s">
        <v>240</v>
      </c>
      <c r="P14" s="2948" t="s">
        <v>213</v>
      </c>
      <c r="Q14" s="2948" t="s">
        <v>2912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2913</v>
      </c>
      <c r="P15" s="2948" t="s">
        <v>2914</v>
      </c>
      <c r="Q15" s="2948" t="s">
        <v>242</v>
      </c>
      <c r="R15" s="2948" t="s">
        <v>2915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2916</v>
      </c>
      <c r="P16" s="2948" t="s">
        <v>227</v>
      </c>
      <c r="Q16" s="2948" t="s">
        <v>250</v>
      </c>
      <c r="R16" s="2948" t="s">
        <v>207</v>
      </c>
      <c r="S16" s="2948" t="s">
        <v>2917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2918</v>
      </c>
      <c r="P17" s="2948" t="s">
        <v>2919</v>
      </c>
      <c r="Q17" s="2948" t="s">
        <v>256</v>
      </c>
      <c r="R17" s="2948" t="s">
        <v>2920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2921</v>
      </c>
      <c r="P18" s="2948" t="s">
        <v>241</v>
      </c>
      <c r="Q18" s="2948" t="s">
        <v>2922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2923</v>
      </c>
      <c r="P19" s="2948" t="s">
        <v>249</v>
      </c>
      <c r="Q19" s="2948" t="s">
        <v>2924</v>
      </c>
      <c r="R19" s="2948" t="s">
        <v>265</v>
      </c>
      <c r="S19" s="2948" t="s">
        <v>2925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2926</v>
      </c>
      <c r="P20" s="2948" t="s">
        <v>2927</v>
      </c>
      <c r="Q20" s="2948" t="s">
        <v>290</v>
      </c>
      <c r="R20" s="2948" t="s">
        <v>2928</v>
      </c>
      <c r="S20" s="2948" t="s">
        <v>277</v>
      </c>
    </row>
    <row r="21" spans="1:19" ht="14.25" customHeight="1" thickBot="1">
      <c r="A21" s="2948" t="s">
        <v>184</v>
      </c>
      <c r="B21" s="2949" t="s">
        <v>208</v>
      </c>
      <c r="C21" s="2948">
        <v>32370</v>
      </c>
      <c r="D21" s="2948">
        <v>26730</v>
      </c>
      <c r="E21" s="2948">
        <v>26640</v>
      </c>
      <c r="F21" s="2948"/>
      <c r="G21" s="2948">
        <v>19440</v>
      </c>
      <c r="J21" s="2955" t="s">
        <v>2929</v>
      </c>
      <c r="K21" s="2949" t="s">
        <v>267</v>
      </c>
      <c r="L21" s="2948" t="s">
        <v>268</v>
      </c>
      <c r="M21" s="2948" t="s">
        <v>269</v>
      </c>
      <c r="N21" s="2948" t="s">
        <v>270</v>
      </c>
      <c r="O21" s="2948" t="s">
        <v>264</v>
      </c>
      <c r="P21" s="2948" t="s">
        <v>283</v>
      </c>
      <c r="Q21" s="2948" t="s">
        <v>293</v>
      </c>
      <c r="R21" s="2948" t="s">
        <v>2930</v>
      </c>
      <c r="S21" s="2955" t="s">
        <v>2931</v>
      </c>
    </row>
    <row r="22" spans="1:19" ht="14.25" customHeight="1">
      <c r="A22" s="2948" t="s">
        <v>184</v>
      </c>
      <c r="B22" s="2949" t="s">
        <v>2911</v>
      </c>
      <c r="C22" s="2948">
        <v>29830</v>
      </c>
      <c r="D22" s="2948">
        <v>27600</v>
      </c>
      <c r="E22" s="2948">
        <v>28150</v>
      </c>
      <c r="F22" s="2948"/>
      <c r="G22" s="2948">
        <v>20080</v>
      </c>
      <c r="K22" s="2949" t="s">
        <v>2932</v>
      </c>
      <c r="L22" s="2948" t="s">
        <v>272</v>
      </c>
      <c r="M22" s="2948" t="s">
        <v>273</v>
      </c>
      <c r="N22" s="2948" t="s">
        <v>274</v>
      </c>
      <c r="O22" s="2948" t="s">
        <v>2933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2934</v>
      </c>
      <c r="L23" s="2948" t="s">
        <v>278</v>
      </c>
      <c r="M23" s="2948" t="s">
        <v>279</v>
      </c>
      <c r="N23" s="2948" t="s">
        <v>2935</v>
      </c>
      <c r="O23" s="2948" t="s">
        <v>2936</v>
      </c>
      <c r="P23" s="2948" t="s">
        <v>289</v>
      </c>
      <c r="Q23" s="2948" t="s">
        <v>298</v>
      </c>
      <c r="R23" s="2948" t="s">
        <v>2937</v>
      </c>
    </row>
    <row r="24" spans="1:19" ht="14.25" customHeight="1">
      <c r="A24" s="2948" t="s">
        <v>184</v>
      </c>
      <c r="B24" s="2949" t="s">
        <v>230</v>
      </c>
      <c r="C24" s="2948">
        <v>27930</v>
      </c>
      <c r="D24" s="2948">
        <v>32260</v>
      </c>
      <c r="E24" s="2948">
        <v>32120</v>
      </c>
      <c r="F24" s="2948"/>
      <c r="G24" s="2948">
        <v>23470</v>
      </c>
      <c r="K24" s="2949" t="s">
        <v>2938</v>
      </c>
      <c r="L24" s="2948" t="s">
        <v>281</v>
      </c>
      <c r="M24" s="2948" t="s">
        <v>282</v>
      </c>
      <c r="N24" s="2948" t="s">
        <v>2939</v>
      </c>
      <c r="O24" s="2948" t="s">
        <v>285</v>
      </c>
      <c r="P24" s="2948" t="s">
        <v>2940</v>
      </c>
      <c r="Q24" s="2957" t="s">
        <v>2941</v>
      </c>
      <c r="R24" s="2948" t="s">
        <v>2942</v>
      </c>
    </row>
    <row r="25" spans="1:19" ht="14.25" customHeight="1">
      <c r="A25" s="2948" t="s">
        <v>184</v>
      </c>
      <c r="B25" s="2949" t="s">
        <v>235</v>
      </c>
      <c r="C25" s="2948">
        <v>32230</v>
      </c>
      <c r="D25" s="2948">
        <v>29640</v>
      </c>
      <c r="E25" s="2948">
        <v>29510</v>
      </c>
      <c r="F25" s="2948"/>
      <c r="G25" s="2948">
        <v>21560</v>
      </c>
      <c r="K25" s="2949" t="s">
        <v>2943</v>
      </c>
      <c r="L25" s="2948" t="s">
        <v>2944</v>
      </c>
      <c r="M25" s="2948" t="s">
        <v>284</v>
      </c>
      <c r="N25" s="2948" t="s">
        <v>292</v>
      </c>
      <c r="O25" s="2948" t="s">
        <v>288</v>
      </c>
      <c r="P25" s="2948" t="s">
        <v>275</v>
      </c>
      <c r="Q25" s="2957" t="s">
        <v>271</v>
      </c>
      <c r="R25" s="2948" t="s">
        <v>2945</v>
      </c>
    </row>
    <row r="26" spans="1:19" ht="14.25" customHeight="1" thickBot="1">
      <c r="A26" s="2948" t="s">
        <v>184</v>
      </c>
      <c r="B26" s="2949" t="s">
        <v>244</v>
      </c>
      <c r="C26" s="2948">
        <v>31690</v>
      </c>
      <c r="D26" s="2948">
        <v>27650</v>
      </c>
      <c r="E26" s="2948">
        <v>28200</v>
      </c>
      <c r="F26" s="2948"/>
      <c r="G26" s="2948">
        <v>20110</v>
      </c>
      <c r="K26" s="2954" t="s">
        <v>2946</v>
      </c>
      <c r="L26" s="2948" t="s">
        <v>2947</v>
      </c>
      <c r="M26" s="2948" t="s">
        <v>287</v>
      </c>
      <c r="N26" s="2948" t="s">
        <v>294</v>
      </c>
      <c r="O26" s="2948" t="s">
        <v>2948</v>
      </c>
      <c r="P26" s="2948" t="s">
        <v>2949</v>
      </c>
      <c r="Q26" s="2957" t="s">
        <v>276</v>
      </c>
      <c r="R26" s="2948" t="s">
        <v>2950</v>
      </c>
    </row>
    <row r="27" spans="1:19" ht="14.25" customHeight="1">
      <c r="A27" s="2948" t="s">
        <v>184</v>
      </c>
      <c r="B27" s="2949" t="s">
        <v>251</v>
      </c>
      <c r="C27" s="2948">
        <v>29610</v>
      </c>
      <c r="D27" s="2948">
        <v>27770</v>
      </c>
      <c r="E27" s="2948">
        <v>28300</v>
      </c>
      <c r="F27" s="2948"/>
      <c r="G27" s="2948">
        <v>20210</v>
      </c>
      <c r="L27" s="2948" t="s">
        <v>2951</v>
      </c>
      <c r="M27" s="2948" t="s">
        <v>291</v>
      </c>
      <c r="N27" s="2948" t="s">
        <v>297</v>
      </c>
      <c r="O27" s="2948" t="s">
        <v>2952</v>
      </c>
      <c r="P27" s="2948" t="s">
        <v>2953</v>
      </c>
      <c r="Q27" s="2948" t="s">
        <v>2954</v>
      </c>
      <c r="R27" s="2948" t="s">
        <v>2955</v>
      </c>
    </row>
    <row r="28" spans="1:19" ht="14.25" customHeight="1">
      <c r="A28" s="2948" t="s">
        <v>184</v>
      </c>
      <c r="B28" s="2949" t="s">
        <v>259</v>
      </c>
      <c r="C28" s="2948"/>
      <c r="D28" s="2948">
        <v>31520</v>
      </c>
      <c r="E28" s="2948">
        <v>31410</v>
      </c>
      <c r="F28" s="2948"/>
      <c r="G28" s="2948">
        <v>22940</v>
      </c>
      <c r="L28" s="2948" t="s">
        <v>2956</v>
      </c>
      <c r="M28" s="2948" t="s">
        <v>2957</v>
      </c>
      <c r="N28" s="2948" t="s">
        <v>2958</v>
      </c>
      <c r="O28" s="2948" t="s">
        <v>2959</v>
      </c>
      <c r="P28" s="2948" t="s">
        <v>2960</v>
      </c>
      <c r="Q28" s="2948" t="s">
        <v>2961</v>
      </c>
      <c r="R28" s="2948" t="s">
        <v>2962</v>
      </c>
    </row>
    <row r="29" spans="1:19" ht="14.25" customHeight="1" thickBot="1">
      <c r="A29" s="2956" t="s">
        <v>184</v>
      </c>
      <c r="B29" s="2958" t="s">
        <v>2929</v>
      </c>
      <c r="C29" s="2959"/>
      <c r="D29" s="2959">
        <v>29460</v>
      </c>
      <c r="E29" s="2959">
        <v>28640</v>
      </c>
      <c r="F29" s="2959"/>
      <c r="G29" s="2959">
        <v>21430</v>
      </c>
      <c r="L29" s="2948" t="s">
        <v>2963</v>
      </c>
      <c r="M29" s="2948" t="s">
        <v>2964</v>
      </c>
      <c r="N29" s="2948" t="s">
        <v>2965</v>
      </c>
      <c r="O29" s="2948" t="s">
        <v>2966</v>
      </c>
      <c r="P29" s="2948" t="s">
        <v>2967</v>
      </c>
      <c r="Q29" s="2948" t="s">
        <v>2968</v>
      </c>
      <c r="R29" s="2948" t="s">
        <v>280</v>
      </c>
    </row>
    <row r="30" spans="1:19" ht="14.25" customHeight="1">
      <c r="A30" s="2953" t="s">
        <v>296</v>
      </c>
      <c r="B30" s="2944" t="s">
        <v>2862</v>
      </c>
      <c r="C30" s="2944">
        <v>26890</v>
      </c>
      <c r="D30" s="2944">
        <v>26770</v>
      </c>
      <c r="E30" s="2944">
        <v>25700</v>
      </c>
      <c r="F30" s="2944">
        <v>8180</v>
      </c>
      <c r="G30" s="2960">
        <v>18740</v>
      </c>
      <c r="L30" s="2948" t="s">
        <v>2969</v>
      </c>
      <c r="M30" s="2948" t="s">
        <v>2970</v>
      </c>
      <c r="N30" s="2948" t="s">
        <v>2971</v>
      </c>
      <c r="O30" s="2948" t="s">
        <v>2972</v>
      </c>
      <c r="P30" s="2948" t="s">
        <v>2973</v>
      </c>
      <c r="Q30" s="2948" t="s">
        <v>2974</v>
      </c>
      <c r="R30" s="2948" t="s">
        <v>2975</v>
      </c>
    </row>
    <row r="31" spans="1:19" ht="14.25" customHeight="1">
      <c r="A31" s="2948" t="s">
        <v>296</v>
      </c>
      <c r="B31" s="2949" t="s">
        <v>129</v>
      </c>
      <c r="C31" s="2948">
        <v>24550</v>
      </c>
      <c r="D31" s="2948">
        <v>23990</v>
      </c>
      <c r="E31" s="2948">
        <v>22930</v>
      </c>
      <c r="F31" s="2948">
        <v>7470</v>
      </c>
      <c r="G31" s="2961">
        <v>16790</v>
      </c>
      <c r="L31" s="2948" t="s">
        <v>2976</v>
      </c>
      <c r="M31" s="2948" t="s">
        <v>2977</v>
      </c>
      <c r="N31" s="2948" t="s">
        <v>2978</v>
      </c>
      <c r="O31" s="2948" t="s">
        <v>2979</v>
      </c>
      <c r="P31" s="2948" t="s">
        <v>2980</v>
      </c>
      <c r="Q31" s="2948" t="s">
        <v>2981</v>
      </c>
      <c r="R31" s="2948" t="s">
        <v>2982</v>
      </c>
    </row>
    <row r="32" spans="1:19" ht="14.25" customHeight="1" thickBot="1">
      <c r="A32" s="2948" t="s">
        <v>296</v>
      </c>
      <c r="B32" s="2949" t="s">
        <v>138</v>
      </c>
      <c r="C32" s="2948">
        <v>27210</v>
      </c>
      <c r="D32" s="2948">
        <v>23240</v>
      </c>
      <c r="E32" s="2948">
        <v>23260</v>
      </c>
      <c r="F32" s="2948">
        <v>7130</v>
      </c>
      <c r="G32" s="2961">
        <v>16270</v>
      </c>
      <c r="L32" s="2948" t="s">
        <v>2983</v>
      </c>
      <c r="M32" s="2948" t="s">
        <v>2984</v>
      </c>
      <c r="N32" s="2948" t="s">
        <v>300</v>
      </c>
      <c r="O32" s="2948" t="s">
        <v>2985</v>
      </c>
      <c r="P32" s="2948" t="s">
        <v>299</v>
      </c>
      <c r="Q32" s="2948" t="s">
        <v>2986</v>
      </c>
      <c r="R32" s="2955" t="s">
        <v>2987</v>
      </c>
    </row>
    <row r="33" spans="1:17" ht="14.25" customHeight="1" thickBot="1">
      <c r="A33" s="2948" t="s">
        <v>296</v>
      </c>
      <c r="B33" s="2949" t="s">
        <v>147</v>
      </c>
      <c r="C33" s="2948">
        <v>27300</v>
      </c>
      <c r="D33" s="2948">
        <v>22980</v>
      </c>
      <c r="E33" s="2948">
        <v>24260</v>
      </c>
      <c r="F33" s="2948">
        <v>5860</v>
      </c>
      <c r="G33" s="2961">
        <v>16090</v>
      </c>
      <c r="L33" s="2955" t="s">
        <v>2988</v>
      </c>
      <c r="M33" s="2948" t="s">
        <v>2989</v>
      </c>
      <c r="N33" s="2948" t="s">
        <v>301</v>
      </c>
      <c r="O33" s="2948" t="s">
        <v>2990</v>
      </c>
      <c r="P33" s="2948" t="s">
        <v>2991</v>
      </c>
      <c r="Q33" s="2948" t="s">
        <v>2992</v>
      </c>
    </row>
    <row r="34" spans="1:17" ht="14.25" customHeight="1">
      <c r="A34" s="2948" t="s">
        <v>296</v>
      </c>
      <c r="B34" s="2949" t="s">
        <v>156</v>
      </c>
      <c r="C34" s="2948">
        <v>23090</v>
      </c>
      <c r="D34" s="2948">
        <v>23390</v>
      </c>
      <c r="E34" s="2948">
        <v>23510</v>
      </c>
      <c r="F34" s="2948">
        <v>6700</v>
      </c>
      <c r="G34" s="2961">
        <v>16370</v>
      </c>
      <c r="M34" s="2948" t="s">
        <v>2993</v>
      </c>
      <c r="N34" s="2948" t="s">
        <v>302</v>
      </c>
      <c r="O34" s="2948" t="s">
        <v>2994</v>
      </c>
      <c r="P34" s="2948" t="s">
        <v>2995</v>
      </c>
      <c r="Q34" s="2948" t="s">
        <v>2996</v>
      </c>
    </row>
    <row r="35" spans="1:17" ht="14.25" customHeight="1">
      <c r="A35" s="2948" t="s">
        <v>296</v>
      </c>
      <c r="B35" s="2949" t="s">
        <v>163</v>
      </c>
      <c r="C35" s="2948">
        <v>27270</v>
      </c>
      <c r="D35" s="2948">
        <v>24270</v>
      </c>
      <c r="E35" s="2948">
        <v>24950</v>
      </c>
      <c r="F35" s="2948">
        <v>6600</v>
      </c>
      <c r="G35" s="2961">
        <v>16990</v>
      </c>
      <c r="M35" s="2948" t="s">
        <v>2997</v>
      </c>
      <c r="N35" s="2948" t="s">
        <v>2998</v>
      </c>
      <c r="O35" s="2948" t="s">
        <v>2999</v>
      </c>
      <c r="P35" s="2948" t="s">
        <v>3000</v>
      </c>
      <c r="Q35" s="2948" t="s">
        <v>3001</v>
      </c>
    </row>
    <row r="36" spans="1:17" ht="14.25" customHeight="1">
      <c r="A36" s="2948" t="s">
        <v>296</v>
      </c>
      <c r="B36" s="2949" t="s">
        <v>169</v>
      </c>
      <c r="C36" s="2948">
        <v>23490</v>
      </c>
      <c r="D36" s="2948">
        <v>23020</v>
      </c>
      <c r="E36" s="2948">
        <v>25230</v>
      </c>
      <c r="F36" s="2948">
        <v>6780</v>
      </c>
      <c r="G36" s="2961">
        <v>16120</v>
      </c>
      <c r="M36" s="2948" t="s">
        <v>3002</v>
      </c>
      <c r="N36" s="2948" t="s">
        <v>3003</v>
      </c>
      <c r="O36" s="2948" t="s">
        <v>3004</v>
      </c>
      <c r="P36" s="2948" t="s">
        <v>3005</v>
      </c>
      <c r="Q36" s="2948" t="s">
        <v>3006</v>
      </c>
    </row>
    <row r="37" spans="1:17" ht="14.25" customHeight="1">
      <c r="A37" s="2948" t="s">
        <v>296</v>
      </c>
      <c r="B37" s="2949" t="s">
        <v>176</v>
      </c>
      <c r="C37" s="2948">
        <v>24380</v>
      </c>
      <c r="D37" s="2948">
        <v>22240</v>
      </c>
      <c r="E37" s="2948">
        <v>25980</v>
      </c>
      <c r="F37" s="2948">
        <v>8160</v>
      </c>
      <c r="G37" s="2961">
        <v>15570</v>
      </c>
      <c r="M37" s="2948" t="s">
        <v>3007</v>
      </c>
      <c r="N37" s="2948" t="s">
        <v>3008</v>
      </c>
      <c r="O37" s="2948" t="s">
        <v>3009</v>
      </c>
      <c r="P37" s="2948" t="s">
        <v>3010</v>
      </c>
      <c r="Q37" s="2948" t="s">
        <v>3011</v>
      </c>
    </row>
    <row r="38" spans="1:17" ht="14.25" customHeight="1">
      <c r="A38" s="2948" t="s">
        <v>296</v>
      </c>
      <c r="B38" s="2949" t="s">
        <v>186</v>
      </c>
      <c r="C38" s="2948">
        <v>23120</v>
      </c>
      <c r="D38" s="2948">
        <v>24630</v>
      </c>
      <c r="E38" s="2948">
        <v>25030</v>
      </c>
      <c r="F38" s="2948">
        <v>7710</v>
      </c>
      <c r="G38" s="2961">
        <v>17240</v>
      </c>
      <c r="M38" s="2948" t="s">
        <v>3012</v>
      </c>
      <c r="N38" s="2948" t="s">
        <v>3013</v>
      </c>
      <c r="O38" s="2948" t="s">
        <v>3014</v>
      </c>
      <c r="P38" s="2948" t="s">
        <v>3015</v>
      </c>
      <c r="Q38" s="2948" t="s">
        <v>3016</v>
      </c>
    </row>
    <row r="39" spans="1:17" ht="14.25" customHeight="1">
      <c r="A39" s="2948" t="s">
        <v>296</v>
      </c>
      <c r="B39" s="2949" t="s">
        <v>195</v>
      </c>
      <c r="C39" s="2948">
        <v>22330</v>
      </c>
      <c r="D39" s="2948">
        <v>21140</v>
      </c>
      <c r="E39" s="2948">
        <v>23970</v>
      </c>
      <c r="F39" s="2948">
        <v>7940</v>
      </c>
      <c r="G39" s="2961">
        <v>14790</v>
      </c>
      <c r="M39" s="2948" t="s">
        <v>3017</v>
      </c>
      <c r="N39" s="2948" t="s">
        <v>3018</v>
      </c>
      <c r="O39" s="2948" t="s">
        <v>3019</v>
      </c>
      <c r="P39" s="2948" t="s">
        <v>3020</v>
      </c>
      <c r="Q39" s="2948" t="s">
        <v>3021</v>
      </c>
    </row>
    <row r="40" spans="1:17" ht="14.25" customHeight="1">
      <c r="A40" s="2948" t="s">
        <v>296</v>
      </c>
      <c r="B40" s="2949" t="s">
        <v>202</v>
      </c>
      <c r="C40" s="2948">
        <v>24740</v>
      </c>
      <c r="D40" s="2948">
        <v>24690</v>
      </c>
      <c r="E40" s="2948">
        <v>22610</v>
      </c>
      <c r="F40" s="2948"/>
      <c r="G40" s="2961">
        <v>17280</v>
      </c>
      <c r="M40" s="2948" t="s">
        <v>3022</v>
      </c>
      <c r="N40" s="2948" t="s">
        <v>3023</v>
      </c>
      <c r="O40" s="2948" t="s">
        <v>3024</v>
      </c>
      <c r="P40" s="2948" t="s">
        <v>3025</v>
      </c>
      <c r="Q40" s="2948" t="s">
        <v>3026</v>
      </c>
    </row>
    <row r="41" spans="1:17" ht="14.25" customHeight="1" thickBot="1">
      <c r="A41" s="2948" t="s">
        <v>296</v>
      </c>
      <c r="B41" s="2949" t="s">
        <v>209</v>
      </c>
      <c r="C41" s="2948">
        <v>21220</v>
      </c>
      <c r="D41" s="2948">
        <v>21120</v>
      </c>
      <c r="E41" s="2948">
        <v>22590</v>
      </c>
      <c r="F41" s="2948"/>
      <c r="G41" s="2961">
        <v>14780</v>
      </c>
      <c r="M41" s="2955" t="s">
        <v>3027</v>
      </c>
      <c r="N41" s="2948" t="s">
        <v>3028</v>
      </c>
      <c r="O41" s="2948" t="s">
        <v>3029</v>
      </c>
      <c r="P41" s="2948" t="s">
        <v>3030</v>
      </c>
      <c r="Q41" s="2948" t="s">
        <v>3031</v>
      </c>
    </row>
    <row r="42" spans="1:17" ht="14.25" customHeight="1">
      <c r="A42" s="2948" t="s">
        <v>296</v>
      </c>
      <c r="B42" s="2949" t="s">
        <v>215</v>
      </c>
      <c r="C42" s="2948">
        <v>24800</v>
      </c>
      <c r="D42" s="2948">
        <v>22280</v>
      </c>
      <c r="E42" s="2948">
        <v>24350</v>
      </c>
      <c r="F42" s="2948"/>
      <c r="G42" s="2961">
        <v>15590</v>
      </c>
      <c r="N42" s="2948" t="s">
        <v>3032</v>
      </c>
      <c r="O42" s="2948" t="s">
        <v>3033</v>
      </c>
      <c r="P42" s="2948" t="s">
        <v>3034</v>
      </c>
      <c r="Q42" s="2948" t="s">
        <v>3035</v>
      </c>
    </row>
    <row r="43" spans="1:17" ht="14.25" customHeight="1">
      <c r="A43" s="2948" t="s">
        <v>3036</v>
      </c>
      <c r="B43" s="2949" t="s">
        <v>223</v>
      </c>
      <c r="C43" s="2948">
        <v>21210</v>
      </c>
      <c r="D43" s="2948">
        <v>21160</v>
      </c>
      <c r="E43" s="2948">
        <v>22650</v>
      </c>
      <c r="F43" s="2948"/>
      <c r="G43" s="2961">
        <v>14800</v>
      </c>
      <c r="N43" s="2948" t="s">
        <v>3037</v>
      </c>
      <c r="O43" s="2948" t="s">
        <v>3038</v>
      </c>
      <c r="P43" s="2948" t="s">
        <v>3039</v>
      </c>
      <c r="Q43" s="2948" t="s">
        <v>3040</v>
      </c>
    </row>
    <row r="44" spans="1:17" ht="14.25" customHeight="1" thickBot="1">
      <c r="A44" s="2948" t="s">
        <v>296</v>
      </c>
      <c r="B44" s="2949" t="s">
        <v>231</v>
      </c>
      <c r="C44" s="2948">
        <v>22370</v>
      </c>
      <c r="D44" s="2948">
        <v>23140</v>
      </c>
      <c r="E44" s="2948">
        <v>25090</v>
      </c>
      <c r="F44" s="2948"/>
      <c r="G44" s="2961">
        <v>16190</v>
      </c>
      <c r="N44" s="2948" t="s">
        <v>3041</v>
      </c>
      <c r="O44" s="2948" t="s">
        <v>3042</v>
      </c>
      <c r="P44" s="2955" t="s">
        <v>3043</v>
      </c>
      <c r="Q44" s="2948" t="s">
        <v>3044</v>
      </c>
    </row>
    <row r="45" spans="1:17" ht="14.25" customHeight="1" thickBot="1">
      <c r="A45" s="2948" t="s">
        <v>296</v>
      </c>
      <c r="B45" s="2949" t="s">
        <v>236</v>
      </c>
      <c r="C45" s="2948">
        <v>21240</v>
      </c>
      <c r="D45" s="2948">
        <v>27050</v>
      </c>
      <c r="E45" s="2948">
        <v>28000</v>
      </c>
      <c r="F45" s="2948"/>
      <c r="G45" s="2961">
        <v>18940</v>
      </c>
      <c r="N45" s="2948" t="s">
        <v>3045</v>
      </c>
      <c r="O45" s="2955" t="s">
        <v>3046</v>
      </c>
      <c r="Q45" s="2948" t="s">
        <v>3047</v>
      </c>
    </row>
    <row r="46" spans="1:17" ht="14.25" customHeight="1">
      <c r="A46" s="2948" t="s">
        <v>296</v>
      </c>
      <c r="B46" s="2949" t="s">
        <v>245</v>
      </c>
      <c r="C46" s="2948">
        <v>23240</v>
      </c>
      <c r="D46" s="2948">
        <v>23000</v>
      </c>
      <c r="E46" s="2948">
        <v>24980</v>
      </c>
      <c r="F46" s="2948"/>
      <c r="G46" s="2961">
        <v>16100</v>
      </c>
      <c r="N46" s="2948" t="s">
        <v>3048</v>
      </c>
      <c r="Q46" s="2948" t="s">
        <v>3049</v>
      </c>
    </row>
    <row r="47" spans="1:17" ht="14.25" customHeight="1">
      <c r="A47" s="2948" t="s">
        <v>296</v>
      </c>
      <c r="B47" s="2949" t="s">
        <v>252</v>
      </c>
      <c r="C47" s="2948">
        <v>27150</v>
      </c>
      <c r="D47" s="2948">
        <v>23310</v>
      </c>
      <c r="E47" s="2948">
        <v>25150</v>
      </c>
      <c r="F47" s="2948"/>
      <c r="G47" s="2961">
        <v>16310</v>
      </c>
      <c r="N47" s="2948" t="s">
        <v>3050</v>
      </c>
      <c r="Q47" s="2948" t="s">
        <v>3051</v>
      </c>
    </row>
    <row r="48" spans="1:17" ht="14.25" customHeight="1">
      <c r="A48" s="2948" t="s">
        <v>296</v>
      </c>
      <c r="B48" s="2949" t="s">
        <v>260</v>
      </c>
      <c r="C48" s="2948">
        <v>23100</v>
      </c>
      <c r="D48" s="2948">
        <v>21110</v>
      </c>
      <c r="E48" s="2948">
        <v>23080</v>
      </c>
      <c r="F48" s="2948"/>
      <c r="G48" s="2961">
        <v>14780</v>
      </c>
      <c r="N48" s="2948" t="s">
        <v>3052</v>
      </c>
      <c r="Q48" s="2948" t="s">
        <v>3053</v>
      </c>
    </row>
    <row r="49" spans="1:17" ht="14.25" customHeight="1">
      <c r="A49" s="2948" t="s">
        <v>296</v>
      </c>
      <c r="B49" s="2949" t="s">
        <v>267</v>
      </c>
      <c r="C49" s="2948">
        <v>23400</v>
      </c>
      <c r="D49" s="2948">
        <v>22920</v>
      </c>
      <c r="E49" s="2948">
        <v>24900</v>
      </c>
      <c r="F49" s="2948"/>
      <c r="G49" s="2961">
        <v>16040</v>
      </c>
      <c r="N49" s="2948" t="s">
        <v>3054</v>
      </c>
      <c r="Q49" s="2948" t="s">
        <v>3055</v>
      </c>
    </row>
    <row r="50" spans="1:17" ht="14.25" customHeight="1">
      <c r="A50" s="2948" t="s">
        <v>296</v>
      </c>
      <c r="B50" s="2949" t="s">
        <v>2932</v>
      </c>
      <c r="C50" s="2948">
        <v>21200</v>
      </c>
      <c r="D50" s="2948">
        <v>26540</v>
      </c>
      <c r="E50" s="2948">
        <v>23200</v>
      </c>
      <c r="F50" s="2948"/>
      <c r="G50" s="2961">
        <v>18580</v>
      </c>
      <c r="N50" s="2948" t="s">
        <v>3056</v>
      </c>
      <c r="Q50" s="2949" t="s">
        <v>3057</v>
      </c>
    </row>
    <row r="51" spans="1:17" ht="14.25" customHeight="1" thickBot="1">
      <c r="A51" s="2948" t="s">
        <v>296</v>
      </c>
      <c r="B51" s="2949" t="s">
        <v>2934</v>
      </c>
      <c r="C51" s="2948">
        <v>23000</v>
      </c>
      <c r="D51" s="2948">
        <v>23460</v>
      </c>
      <c r="E51" s="2948">
        <v>25290</v>
      </c>
      <c r="F51" s="2948"/>
      <c r="G51" s="2961">
        <v>16420</v>
      </c>
      <c r="N51" s="2948" t="s">
        <v>3058</v>
      </c>
      <c r="Q51" s="2955" t="s">
        <v>3059</v>
      </c>
    </row>
    <row r="52" spans="1:17" ht="14.25" customHeight="1">
      <c r="A52" s="2948" t="s">
        <v>296</v>
      </c>
      <c r="B52" s="2949" t="s">
        <v>2938</v>
      </c>
      <c r="C52" s="2948">
        <v>26660</v>
      </c>
      <c r="D52" s="2948">
        <v>22350</v>
      </c>
      <c r="E52" s="2948">
        <v>22920</v>
      </c>
      <c r="F52" s="2948"/>
      <c r="G52" s="2961">
        <v>15640</v>
      </c>
      <c r="N52" s="2948" t="s">
        <v>3060</v>
      </c>
    </row>
    <row r="53" spans="1:17" ht="14.25" customHeight="1">
      <c r="A53" s="2948" t="s">
        <v>296</v>
      </c>
      <c r="B53" s="2949" t="s">
        <v>2943</v>
      </c>
      <c r="C53" s="2948">
        <v>23580</v>
      </c>
      <c r="D53" s="2948"/>
      <c r="E53" s="2948">
        <v>24280</v>
      </c>
      <c r="F53" s="2948"/>
      <c r="G53" s="2961"/>
      <c r="N53" s="2948" t="s">
        <v>3061</v>
      </c>
    </row>
    <row r="54" spans="1:17" ht="14.25" customHeight="1" thickBot="1">
      <c r="A54" s="2962" t="s">
        <v>296</v>
      </c>
      <c r="B54" s="2954" t="s">
        <v>2946</v>
      </c>
      <c r="C54" s="2955">
        <v>22460</v>
      </c>
      <c r="D54" s="2955"/>
      <c r="E54" s="2955"/>
      <c r="F54" s="2955"/>
      <c r="G54" s="2963"/>
      <c r="N54" s="2948" t="s">
        <v>3062</v>
      </c>
    </row>
    <row r="55" spans="1:17" ht="14.25" customHeight="1">
      <c r="A55" s="2953" t="s">
        <v>110</v>
      </c>
      <c r="B55" s="2944" t="s">
        <v>3063</v>
      </c>
      <c r="C55" s="2948">
        <v>21970</v>
      </c>
      <c r="D55" s="2948">
        <v>20370</v>
      </c>
      <c r="E55" s="2948">
        <v>20180</v>
      </c>
      <c r="F55" s="2948">
        <v>5730</v>
      </c>
      <c r="G55" s="2948">
        <v>13820</v>
      </c>
      <c r="N55" s="2948" t="s">
        <v>3064</v>
      </c>
    </row>
    <row r="56" spans="1:17" ht="14.25" customHeight="1">
      <c r="A56" s="2948" t="s">
        <v>110</v>
      </c>
      <c r="B56" s="2948" t="s">
        <v>130</v>
      </c>
      <c r="C56" s="2948">
        <v>20470</v>
      </c>
      <c r="D56" s="2948">
        <v>20700</v>
      </c>
      <c r="E56" s="2948">
        <v>20380</v>
      </c>
      <c r="F56" s="2948">
        <v>4760</v>
      </c>
      <c r="G56" s="2948">
        <v>14050</v>
      </c>
      <c r="N56" s="2948" t="s">
        <v>3065</v>
      </c>
    </row>
    <row r="57" spans="1:17" ht="14.25" customHeight="1">
      <c r="A57" s="2948" t="s">
        <v>110</v>
      </c>
      <c r="B57" s="2948" t="s">
        <v>139</v>
      </c>
      <c r="C57" s="2948">
        <v>20790</v>
      </c>
      <c r="D57" s="2948">
        <v>21370</v>
      </c>
      <c r="E57" s="2948">
        <v>20890</v>
      </c>
      <c r="F57" s="2948">
        <v>4910</v>
      </c>
      <c r="G57" s="2948">
        <v>14510</v>
      </c>
      <c r="N57" s="2948" t="s">
        <v>3066</v>
      </c>
    </row>
    <row r="58" spans="1:17" ht="14.25" customHeight="1">
      <c r="A58" s="2948" t="s">
        <v>110</v>
      </c>
      <c r="B58" s="2948" t="s">
        <v>148</v>
      </c>
      <c r="C58" s="2948">
        <v>21460</v>
      </c>
      <c r="D58" s="2948">
        <v>20920</v>
      </c>
      <c r="E58" s="2948">
        <v>23410</v>
      </c>
      <c r="F58" s="2948">
        <v>5100</v>
      </c>
      <c r="G58" s="2948">
        <v>14200</v>
      </c>
      <c r="N58" s="2948" t="s">
        <v>3067</v>
      </c>
    </row>
    <row r="59" spans="1:17" ht="14.25" customHeight="1">
      <c r="A59" s="2948" t="s">
        <v>110</v>
      </c>
      <c r="B59" s="2948" t="s">
        <v>157</v>
      </c>
      <c r="C59" s="2948">
        <v>21000</v>
      </c>
      <c r="D59" s="2948">
        <v>21550</v>
      </c>
      <c r="E59" s="2948">
        <v>21150</v>
      </c>
      <c r="F59" s="2948">
        <v>5250</v>
      </c>
      <c r="G59" s="2948">
        <v>14630</v>
      </c>
      <c r="N59" s="2948" t="s">
        <v>3068</v>
      </c>
    </row>
    <row r="60" spans="1:17" ht="14.25" customHeight="1">
      <c r="A60" s="2948" t="s">
        <v>110</v>
      </c>
      <c r="B60" s="2948" t="s">
        <v>164</v>
      </c>
      <c r="C60" s="2948">
        <v>21640</v>
      </c>
      <c r="D60" s="2948">
        <v>21260</v>
      </c>
      <c r="E60" s="2948">
        <v>24040</v>
      </c>
      <c r="F60" s="2948">
        <v>4470</v>
      </c>
      <c r="G60" s="2948">
        <v>14430</v>
      </c>
      <c r="N60" s="2948" t="s">
        <v>3069</v>
      </c>
    </row>
    <row r="61" spans="1:17" ht="14.25" customHeight="1">
      <c r="A61" s="2948" t="s">
        <v>110</v>
      </c>
      <c r="B61" s="2948" t="s">
        <v>170</v>
      </c>
      <c r="C61" s="2948">
        <v>21330</v>
      </c>
      <c r="D61" s="2948">
        <v>18640</v>
      </c>
      <c r="E61" s="2948">
        <v>21190</v>
      </c>
      <c r="F61" s="2948">
        <v>4180</v>
      </c>
      <c r="G61" s="2948">
        <v>12650</v>
      </c>
      <c r="N61" s="2948" t="s">
        <v>3070</v>
      </c>
    </row>
    <row r="62" spans="1:17" ht="14.25" customHeight="1">
      <c r="A62" s="2948" t="s">
        <v>110</v>
      </c>
      <c r="B62" s="2948" t="s">
        <v>177</v>
      </c>
      <c r="C62" s="2948">
        <v>18710</v>
      </c>
      <c r="D62" s="2948">
        <v>19400</v>
      </c>
      <c r="E62" s="2948">
        <v>23750</v>
      </c>
      <c r="F62" s="2948">
        <v>4860</v>
      </c>
      <c r="G62" s="2948">
        <v>13170</v>
      </c>
      <c r="N62" s="2948" t="s">
        <v>3071</v>
      </c>
    </row>
    <row r="63" spans="1:17" ht="14.25" customHeight="1">
      <c r="A63" s="2948" t="s">
        <v>110</v>
      </c>
      <c r="B63" s="2948" t="s">
        <v>187</v>
      </c>
      <c r="C63" s="2948">
        <v>19480</v>
      </c>
      <c r="D63" s="2948">
        <v>16830</v>
      </c>
      <c r="E63" s="2948">
        <v>21590</v>
      </c>
      <c r="F63" s="2948">
        <v>4560</v>
      </c>
      <c r="G63" s="2948">
        <v>11420</v>
      </c>
      <c r="N63" s="2948" t="s">
        <v>3072</v>
      </c>
    </row>
    <row r="64" spans="1:17" ht="14.25" customHeight="1" thickBot="1">
      <c r="A64" s="2948" t="s">
        <v>110</v>
      </c>
      <c r="B64" s="2948" t="s">
        <v>196</v>
      </c>
      <c r="C64" s="2948">
        <v>16920</v>
      </c>
      <c r="D64" s="2948">
        <v>19190</v>
      </c>
      <c r="E64" s="2948">
        <v>22200</v>
      </c>
      <c r="F64" s="2948">
        <v>4390</v>
      </c>
      <c r="G64" s="2948">
        <v>13030</v>
      </c>
      <c r="N64" s="2955" t="s">
        <v>3073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2944</v>
      </c>
      <c r="C78" s="2948">
        <v>19820</v>
      </c>
      <c r="D78" s="2948">
        <v>19780</v>
      </c>
      <c r="E78" s="2948">
        <v>18560</v>
      </c>
      <c r="F78" s="2948"/>
      <c r="G78" s="2948">
        <v>13430</v>
      </c>
    </row>
    <row r="79" spans="1:7" s="2782" customFormat="1" ht="14.25" customHeight="1">
      <c r="A79" s="2948" t="s">
        <v>110</v>
      </c>
      <c r="B79" s="2948" t="s">
        <v>2947</v>
      </c>
      <c r="C79" s="2948">
        <v>21660</v>
      </c>
      <c r="D79" s="2948">
        <v>18000</v>
      </c>
      <c r="E79" s="2948">
        <v>22570</v>
      </c>
      <c r="F79" s="2948"/>
      <c r="G79" s="2948">
        <v>12220</v>
      </c>
    </row>
    <row r="80" spans="1:7" s="2782" customFormat="1" ht="14.25" customHeight="1">
      <c r="A80" s="2948" t="s">
        <v>110</v>
      </c>
      <c r="B80" s="2948" t="s">
        <v>2951</v>
      </c>
      <c r="C80" s="2948">
        <v>19850</v>
      </c>
      <c r="D80" s="2948"/>
      <c r="E80" s="2948">
        <v>21700</v>
      </c>
      <c r="F80" s="2948"/>
      <c r="G80" s="2948"/>
    </row>
    <row r="81" spans="1:7" s="2782" customFormat="1" ht="14.25" customHeight="1">
      <c r="A81" s="2948" t="s">
        <v>110</v>
      </c>
      <c r="B81" s="2948" t="s">
        <v>2956</v>
      </c>
      <c r="C81" s="2948">
        <v>18080</v>
      </c>
      <c r="D81" s="2948"/>
      <c r="E81" s="2948">
        <v>20900</v>
      </c>
      <c r="F81" s="2948"/>
      <c r="G81" s="2948"/>
    </row>
    <row r="82" spans="1:7" s="2782" customFormat="1" ht="14.25" customHeight="1">
      <c r="A82" s="2948" t="s">
        <v>110</v>
      </c>
      <c r="B82" s="2948" t="s">
        <v>2963</v>
      </c>
      <c r="C82" s="2948"/>
      <c r="D82" s="2948"/>
      <c r="E82" s="2948">
        <v>20840</v>
      </c>
      <c r="F82" s="2948"/>
      <c r="G82" s="2948"/>
    </row>
    <row r="83" spans="1:7" s="2782" customFormat="1" ht="14.25" customHeight="1">
      <c r="A83" s="2948" t="s">
        <v>110</v>
      </c>
      <c r="B83" s="2948" t="s">
        <v>3074</v>
      </c>
      <c r="C83" s="2948"/>
      <c r="D83" s="2948"/>
      <c r="E83" s="2948"/>
      <c r="F83" s="2948">
        <v>4770</v>
      </c>
      <c r="G83" s="2948"/>
    </row>
    <row r="84" spans="1:7" s="2782" customFormat="1" ht="14.25" customHeight="1">
      <c r="A84" s="2948" t="s">
        <v>110</v>
      </c>
      <c r="B84" s="2948" t="s">
        <v>3075</v>
      </c>
      <c r="C84" s="2948"/>
      <c r="D84" s="2948"/>
      <c r="E84" s="2948"/>
      <c r="F84" s="2948">
        <v>4600</v>
      </c>
      <c r="G84" s="2948"/>
    </row>
    <row r="85" spans="1:7" s="2782" customFormat="1" ht="14.25" customHeight="1">
      <c r="A85" s="2948" t="s">
        <v>110</v>
      </c>
      <c r="B85" s="2948" t="s">
        <v>3076</v>
      </c>
      <c r="C85" s="2948"/>
      <c r="D85" s="2948"/>
      <c r="E85" s="2948"/>
      <c r="F85" s="2948">
        <v>4680</v>
      </c>
      <c r="G85" s="2948"/>
    </row>
    <row r="86" spans="1:7" s="2782" customFormat="1" ht="14.25" customHeight="1" thickBot="1">
      <c r="A86" s="2956" t="s">
        <v>110</v>
      </c>
      <c r="B86" s="2958" t="s">
        <v>3077</v>
      </c>
      <c r="C86" s="2959">
        <v>16610</v>
      </c>
      <c r="D86" s="2959">
        <v>16540</v>
      </c>
      <c r="E86" s="2959">
        <v>18850</v>
      </c>
      <c r="F86" s="2959"/>
      <c r="G86" s="2959">
        <v>11220</v>
      </c>
    </row>
    <row r="87" spans="1:7" s="2782" customFormat="1" ht="14.25" customHeight="1">
      <c r="A87" s="2953" t="s">
        <v>303</v>
      </c>
      <c r="B87" s="2944" t="s">
        <v>3078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2957</v>
      </c>
      <c r="C113" s="2948">
        <v>15520</v>
      </c>
      <c r="D113" s="2948">
        <v>15450</v>
      </c>
      <c r="E113" s="2948"/>
      <c r="F113" s="2948"/>
      <c r="G113" s="2961">
        <v>10210</v>
      </c>
    </row>
    <row r="114" spans="1:7" s="2782" customFormat="1" ht="14.25" customHeight="1">
      <c r="A114" s="2948" t="s">
        <v>303</v>
      </c>
      <c r="B114" s="2948" t="s">
        <v>2964</v>
      </c>
      <c r="C114" s="2948">
        <v>13110</v>
      </c>
      <c r="D114" s="2948">
        <v>13050</v>
      </c>
      <c r="E114" s="2948"/>
      <c r="F114" s="2948"/>
      <c r="G114" s="2961">
        <v>8620</v>
      </c>
    </row>
    <row r="115" spans="1:7" s="2782" customFormat="1" ht="14.25" customHeight="1">
      <c r="A115" s="2948" t="s">
        <v>303</v>
      </c>
      <c r="B115" s="2948" t="s">
        <v>2970</v>
      </c>
      <c r="C115" s="2948">
        <v>12460</v>
      </c>
      <c r="D115" s="2948">
        <v>12390</v>
      </c>
      <c r="E115" s="2948"/>
      <c r="F115" s="2948"/>
      <c r="G115" s="2961">
        <v>8190</v>
      </c>
    </row>
    <row r="116" spans="1:7" s="2782" customFormat="1" ht="14.25" customHeight="1">
      <c r="A116" s="2948" t="s">
        <v>303</v>
      </c>
      <c r="B116" s="2948" t="s">
        <v>2977</v>
      </c>
      <c r="C116" s="2948">
        <v>13580</v>
      </c>
      <c r="D116" s="2948">
        <v>13520</v>
      </c>
      <c r="E116" s="2948"/>
      <c r="F116" s="2948"/>
      <c r="G116" s="2961">
        <v>8930</v>
      </c>
    </row>
    <row r="117" spans="1:7" s="2782" customFormat="1" ht="14.25" customHeight="1">
      <c r="A117" s="2948" t="s">
        <v>303</v>
      </c>
      <c r="B117" s="2948" t="s">
        <v>2984</v>
      </c>
      <c r="C117" s="2948">
        <v>17120</v>
      </c>
      <c r="D117" s="2948">
        <v>17040</v>
      </c>
      <c r="E117" s="2948"/>
      <c r="F117" s="2948"/>
      <c r="G117" s="2961">
        <v>11260</v>
      </c>
    </row>
    <row r="118" spans="1:7" s="2782" customFormat="1" ht="14.25" customHeight="1">
      <c r="A118" s="2948" t="s">
        <v>303</v>
      </c>
      <c r="B118" s="2948" t="s">
        <v>2989</v>
      </c>
      <c r="C118" s="2948">
        <v>14860</v>
      </c>
      <c r="D118" s="2948">
        <v>14790</v>
      </c>
      <c r="E118" s="2948"/>
      <c r="F118" s="2948"/>
      <c r="G118" s="2961">
        <v>9780</v>
      </c>
    </row>
    <row r="119" spans="1:7" s="2782" customFormat="1" ht="14.25" customHeight="1">
      <c r="A119" s="2948" t="s">
        <v>303</v>
      </c>
      <c r="B119" s="2948" t="s">
        <v>2993</v>
      </c>
      <c r="C119" s="2948">
        <v>16470</v>
      </c>
      <c r="D119" s="2948">
        <v>16400</v>
      </c>
      <c r="E119" s="2948"/>
      <c r="F119" s="2948"/>
      <c r="G119" s="2961">
        <v>10840</v>
      </c>
    </row>
    <row r="120" spans="1:7" s="2782" customFormat="1" ht="14.25" customHeight="1">
      <c r="A120" s="2948" t="s">
        <v>303</v>
      </c>
      <c r="B120" s="2948" t="s">
        <v>3079</v>
      </c>
      <c r="C120" s="2948"/>
      <c r="D120" s="2948"/>
      <c r="E120" s="2948"/>
      <c r="F120" s="2948">
        <v>4160</v>
      </c>
      <c r="G120" s="2961"/>
    </row>
    <row r="121" spans="1:7" s="2782" customFormat="1" ht="14.25" customHeight="1">
      <c r="A121" s="2948" t="s">
        <v>303</v>
      </c>
      <c r="B121" s="2948" t="s">
        <v>3080</v>
      </c>
      <c r="C121" s="2948"/>
      <c r="D121" s="2948"/>
      <c r="E121" s="2948"/>
      <c r="F121" s="2948">
        <v>3880</v>
      </c>
      <c r="G121" s="2961"/>
    </row>
    <row r="122" spans="1:7" s="2782" customFormat="1" ht="14.25" customHeight="1">
      <c r="A122" s="2948" t="s">
        <v>303</v>
      </c>
      <c r="B122" s="2948" t="s">
        <v>3081</v>
      </c>
      <c r="C122" s="2948">
        <v>13750</v>
      </c>
      <c r="D122" s="2948">
        <v>13680</v>
      </c>
      <c r="E122" s="2948">
        <v>16460</v>
      </c>
      <c r="F122" s="2948">
        <v>2880</v>
      </c>
      <c r="G122" s="2961">
        <v>9040</v>
      </c>
    </row>
    <row r="123" spans="1:7" s="2782" customFormat="1" ht="14.25" customHeight="1">
      <c r="A123" s="2948" t="s">
        <v>303</v>
      </c>
      <c r="B123" s="2948" t="s">
        <v>3012</v>
      </c>
      <c r="C123" s="2948">
        <v>13590</v>
      </c>
      <c r="D123" s="2948">
        <v>13520</v>
      </c>
      <c r="E123" s="2948">
        <v>16290</v>
      </c>
      <c r="F123" s="2948">
        <v>2790</v>
      </c>
      <c r="G123" s="2961">
        <v>8930</v>
      </c>
    </row>
    <row r="124" spans="1:7" s="2782" customFormat="1" ht="14.25" customHeight="1">
      <c r="A124" s="2948" t="s">
        <v>303</v>
      </c>
      <c r="B124" s="2948" t="s">
        <v>3017</v>
      </c>
      <c r="C124" s="2948">
        <v>13400</v>
      </c>
      <c r="D124" s="2948">
        <v>13320</v>
      </c>
      <c r="E124" s="2948">
        <v>16100</v>
      </c>
      <c r="F124" s="2948">
        <v>2320</v>
      </c>
      <c r="G124" s="2961">
        <v>8800</v>
      </c>
    </row>
    <row r="125" spans="1:7" s="2782" customFormat="1" ht="14.25" customHeight="1">
      <c r="A125" s="2948" t="s">
        <v>303</v>
      </c>
      <c r="B125" s="2948" t="s">
        <v>3022</v>
      </c>
      <c r="C125" s="2948">
        <v>12860</v>
      </c>
      <c r="D125" s="2948">
        <v>12790</v>
      </c>
      <c r="E125" s="2948">
        <v>15370</v>
      </c>
      <c r="F125" s="2948">
        <v>2280</v>
      </c>
      <c r="G125" s="2961">
        <v>8450</v>
      </c>
    </row>
    <row r="126" spans="1:7" s="2782" customFormat="1" ht="14.25" customHeight="1" thickBot="1">
      <c r="A126" s="2962" t="s">
        <v>303</v>
      </c>
      <c r="B126" s="2955" t="s">
        <v>3027</v>
      </c>
      <c r="C126" s="2955">
        <v>12960</v>
      </c>
      <c r="D126" s="2955">
        <v>12890</v>
      </c>
      <c r="E126" s="2955">
        <v>15530</v>
      </c>
      <c r="F126" s="2955">
        <v>2910</v>
      </c>
      <c r="G126" s="2963">
        <v>8520</v>
      </c>
    </row>
    <row r="127" spans="1:7" s="2782" customFormat="1" ht="14.25" customHeight="1">
      <c r="A127" s="2953" t="s">
        <v>29</v>
      </c>
      <c r="B127" s="2944" t="s">
        <v>3082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3083</v>
      </c>
      <c r="C148" s="2948">
        <v>10370</v>
      </c>
      <c r="D148" s="2948">
        <v>10310</v>
      </c>
      <c r="E148" s="2948">
        <v>12970</v>
      </c>
      <c r="F148" s="2948"/>
      <c r="G148" s="2948">
        <v>6630</v>
      </c>
    </row>
    <row r="149" spans="1:7" s="2782" customFormat="1" ht="14.25" customHeight="1">
      <c r="A149" s="2948" t="s">
        <v>29</v>
      </c>
      <c r="B149" s="2948" t="s">
        <v>3084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2958</v>
      </c>
      <c r="C153" s="2948">
        <v>10880</v>
      </c>
      <c r="D153" s="2948">
        <v>10820</v>
      </c>
      <c r="E153" s="2948">
        <v>13660</v>
      </c>
      <c r="F153" s="2948">
        <v>2260</v>
      </c>
      <c r="G153" s="2948">
        <v>6970</v>
      </c>
    </row>
    <row r="154" spans="1:7" s="2782" customFormat="1" ht="14.25" customHeight="1">
      <c r="A154" s="2948" t="s">
        <v>29</v>
      </c>
      <c r="B154" s="2948" t="s">
        <v>3085</v>
      </c>
      <c r="C154" s="2948">
        <v>11220</v>
      </c>
      <c r="D154" s="2948">
        <v>11160</v>
      </c>
      <c r="E154" s="2948">
        <v>14130</v>
      </c>
      <c r="F154" s="2948">
        <v>2230</v>
      </c>
      <c r="G154" s="2948">
        <v>7180</v>
      </c>
    </row>
    <row r="155" spans="1:7" s="2782" customFormat="1" ht="14.25" customHeight="1">
      <c r="A155" s="2948" t="s">
        <v>29</v>
      </c>
      <c r="B155" s="2948" t="s">
        <v>2971</v>
      </c>
      <c r="C155" s="2948">
        <v>10430</v>
      </c>
      <c r="D155" s="2948">
        <v>10380</v>
      </c>
      <c r="E155" s="2948">
        <v>13140</v>
      </c>
      <c r="F155" s="2948">
        <v>2080</v>
      </c>
      <c r="G155" s="2948">
        <v>6650</v>
      </c>
    </row>
    <row r="156" spans="1:7" s="2782" customFormat="1" ht="14.25" customHeight="1">
      <c r="A156" s="2948" t="s">
        <v>29</v>
      </c>
      <c r="B156" s="2948" t="s">
        <v>3086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3087</v>
      </c>
      <c r="C160" s="2948">
        <v>11180</v>
      </c>
      <c r="D160" s="2948">
        <v>11140</v>
      </c>
      <c r="E160" s="2948">
        <v>14050</v>
      </c>
      <c r="F160" s="2948">
        <v>2270</v>
      </c>
      <c r="G160" s="2948">
        <v>7170</v>
      </c>
    </row>
    <row r="161" spans="1:7" s="2782" customFormat="1" ht="14.25" customHeight="1">
      <c r="A161" s="2948" t="s">
        <v>29</v>
      </c>
      <c r="B161" s="2948" t="s">
        <v>3003</v>
      </c>
      <c r="C161" s="2948">
        <v>11160</v>
      </c>
      <c r="D161" s="2948">
        <v>11120</v>
      </c>
      <c r="E161" s="2948">
        <v>14020</v>
      </c>
      <c r="F161" s="2948">
        <v>2150</v>
      </c>
      <c r="G161" s="2948">
        <v>7160</v>
      </c>
    </row>
    <row r="162" spans="1:7" s="2782" customFormat="1" ht="14.25" customHeight="1">
      <c r="A162" s="2948" t="s">
        <v>29</v>
      </c>
      <c r="B162" s="2948" t="s">
        <v>3008</v>
      </c>
      <c r="C162" s="2948">
        <v>9620</v>
      </c>
      <c r="D162" s="2948">
        <v>9570</v>
      </c>
      <c r="E162" s="2948">
        <v>12320</v>
      </c>
      <c r="F162" s="2948">
        <v>2010</v>
      </c>
      <c r="G162" s="2948">
        <v>6160</v>
      </c>
    </row>
    <row r="163" spans="1:7" s="2782" customFormat="1" ht="14.25" customHeight="1">
      <c r="A163" s="2948" t="s">
        <v>29</v>
      </c>
      <c r="B163" s="2948" t="s">
        <v>3013</v>
      </c>
      <c r="C163" s="2948">
        <v>9320</v>
      </c>
      <c r="D163" s="2948">
        <v>9270</v>
      </c>
      <c r="E163" s="2948">
        <v>11790</v>
      </c>
      <c r="F163" s="2948">
        <v>1920</v>
      </c>
      <c r="G163" s="2948">
        <v>5960</v>
      </c>
    </row>
    <row r="164" spans="1:7" s="2782" customFormat="1" ht="14.25" customHeight="1">
      <c r="A164" s="2948" t="s">
        <v>29</v>
      </c>
      <c r="B164" s="2948" t="s">
        <v>3018</v>
      </c>
      <c r="C164" s="2948"/>
      <c r="D164" s="2948"/>
      <c r="E164" s="2948"/>
      <c r="F164" s="2948">
        <v>1980</v>
      </c>
      <c r="G164" s="2948"/>
    </row>
    <row r="165" spans="1:7" s="2782" customFormat="1" ht="14.25" customHeight="1">
      <c r="A165" s="2948" t="s">
        <v>29</v>
      </c>
      <c r="B165" s="2948" t="s">
        <v>3088</v>
      </c>
      <c r="C165" s="2948">
        <v>11060</v>
      </c>
      <c r="D165" s="2948">
        <v>11030</v>
      </c>
      <c r="E165" s="2948">
        <v>13850</v>
      </c>
      <c r="F165" s="2948">
        <v>2170</v>
      </c>
      <c r="G165" s="2948">
        <v>7090</v>
      </c>
    </row>
    <row r="166" spans="1:7" s="2782" customFormat="1" ht="14.25" customHeight="1">
      <c r="A166" s="2948" t="s">
        <v>29</v>
      </c>
      <c r="B166" s="2948" t="s">
        <v>3028</v>
      </c>
      <c r="C166" s="2948">
        <v>11050</v>
      </c>
      <c r="D166" s="2948">
        <v>11010</v>
      </c>
      <c r="E166" s="2948">
        <v>13920</v>
      </c>
      <c r="F166" s="2948">
        <v>2140</v>
      </c>
      <c r="G166" s="2948">
        <v>7080</v>
      </c>
    </row>
    <row r="167" spans="1:7" s="2782" customFormat="1" ht="14.25" customHeight="1">
      <c r="A167" s="2948" t="s">
        <v>29</v>
      </c>
      <c r="B167" s="2948" t="s">
        <v>3032</v>
      </c>
      <c r="C167" s="2948">
        <v>10930</v>
      </c>
      <c r="D167" s="2948">
        <v>10890</v>
      </c>
      <c r="E167" s="2948">
        <v>13790</v>
      </c>
      <c r="F167" s="2948">
        <v>2010</v>
      </c>
      <c r="G167" s="2948">
        <v>7000</v>
      </c>
    </row>
    <row r="168" spans="1:7" s="2782" customFormat="1" ht="14.25" customHeight="1">
      <c r="A168" s="2948" t="s">
        <v>29</v>
      </c>
      <c r="B168" s="2948" t="s">
        <v>3037</v>
      </c>
      <c r="C168" s="2948">
        <v>9420</v>
      </c>
      <c r="D168" s="2948">
        <v>9380</v>
      </c>
      <c r="E168" s="2948">
        <v>11970</v>
      </c>
      <c r="F168" s="2948"/>
      <c r="G168" s="2948">
        <v>6040</v>
      </c>
    </row>
    <row r="169" spans="1:7" s="2782" customFormat="1" ht="14.25" customHeight="1">
      <c r="A169" s="2948" t="s">
        <v>29</v>
      </c>
      <c r="B169" s="2948" t="s">
        <v>3089</v>
      </c>
      <c r="C169" s="2948"/>
      <c r="D169" s="2948"/>
      <c r="E169" s="2948"/>
      <c r="F169" s="2948">
        <v>2880</v>
      </c>
      <c r="G169" s="2948"/>
    </row>
    <row r="170" spans="1:7" s="2782" customFormat="1" ht="14.25" customHeight="1">
      <c r="A170" s="2948" t="s">
        <v>29</v>
      </c>
      <c r="B170" s="2948" t="s">
        <v>3045</v>
      </c>
      <c r="C170" s="2948"/>
      <c r="D170" s="2948"/>
      <c r="E170" s="2948"/>
      <c r="F170" s="2948">
        <v>2880</v>
      </c>
      <c r="G170" s="2948"/>
    </row>
    <row r="171" spans="1:7" s="2782" customFormat="1" ht="14.25" customHeight="1">
      <c r="A171" s="2948" t="s">
        <v>29</v>
      </c>
      <c r="B171" s="2948" t="s">
        <v>3048</v>
      </c>
      <c r="C171" s="2948"/>
      <c r="D171" s="2948"/>
      <c r="E171" s="2948"/>
      <c r="F171" s="2948">
        <v>2880</v>
      </c>
      <c r="G171" s="2948"/>
    </row>
    <row r="172" spans="1:7" s="2782" customFormat="1" ht="14.25" customHeight="1">
      <c r="A172" s="2948" t="s">
        <v>29</v>
      </c>
      <c r="B172" s="2948" t="s">
        <v>3050</v>
      </c>
      <c r="C172" s="2948"/>
      <c r="D172" s="2948"/>
      <c r="E172" s="2948"/>
      <c r="F172" s="2948">
        <v>2880</v>
      </c>
      <c r="G172" s="2948"/>
    </row>
    <row r="173" spans="1:7" s="2782" customFormat="1" ht="14.25" customHeight="1">
      <c r="A173" s="2948" t="s">
        <v>29</v>
      </c>
      <c r="B173" s="2948" t="s">
        <v>3052</v>
      </c>
      <c r="C173" s="2948"/>
      <c r="D173" s="2948"/>
      <c r="E173" s="2948"/>
      <c r="F173" s="2948">
        <v>2150</v>
      </c>
      <c r="G173" s="2948"/>
    </row>
    <row r="174" spans="1:7" s="2782" customFormat="1" ht="14.25" customHeight="1">
      <c r="A174" s="2948" t="s">
        <v>29</v>
      </c>
      <c r="B174" s="2948" t="s">
        <v>3054</v>
      </c>
      <c r="C174" s="2948"/>
      <c r="D174" s="2948"/>
      <c r="E174" s="2948"/>
      <c r="F174" s="2948">
        <v>2030</v>
      </c>
      <c r="G174" s="2948"/>
    </row>
    <row r="175" spans="1:7" s="2782" customFormat="1" ht="14.25" customHeight="1">
      <c r="A175" s="2948" t="s">
        <v>29</v>
      </c>
      <c r="B175" s="2948" t="s">
        <v>3056</v>
      </c>
      <c r="C175" s="2948"/>
      <c r="D175" s="2948"/>
      <c r="E175" s="2948"/>
      <c r="F175" s="2948">
        <v>2780</v>
      </c>
      <c r="G175" s="2948"/>
    </row>
    <row r="176" spans="1:7" s="2782" customFormat="1" ht="14.25" customHeight="1">
      <c r="A176" s="2948" t="s">
        <v>29</v>
      </c>
      <c r="B176" s="2948" t="s">
        <v>3058</v>
      </c>
      <c r="C176" s="2948"/>
      <c r="D176" s="2948"/>
      <c r="E176" s="2948"/>
      <c r="F176" s="2948">
        <v>2780</v>
      </c>
      <c r="G176" s="2948"/>
    </row>
    <row r="177" spans="1:7" s="2782" customFormat="1" ht="14.25" customHeight="1">
      <c r="A177" s="2948" t="s">
        <v>29</v>
      </c>
      <c r="B177" s="2948" t="s">
        <v>3090</v>
      </c>
      <c r="C177" s="2948"/>
      <c r="D177" s="2948"/>
      <c r="E177" s="2948"/>
      <c r="F177" s="2948">
        <v>2780</v>
      </c>
      <c r="G177" s="2948"/>
    </row>
    <row r="178" spans="1:7" s="2782" customFormat="1" ht="14.25" customHeight="1">
      <c r="A178" s="2948" t="s">
        <v>29</v>
      </c>
      <c r="B178" s="2948" t="s">
        <v>3091</v>
      </c>
      <c r="C178" s="2948"/>
      <c r="D178" s="2948"/>
      <c r="E178" s="2948"/>
      <c r="F178" s="2948">
        <v>2060</v>
      </c>
      <c r="G178" s="2948"/>
    </row>
    <row r="179" spans="1:7" s="2782" customFormat="1" ht="14.25" customHeight="1">
      <c r="A179" s="2948" t="s">
        <v>29</v>
      </c>
      <c r="B179" s="2948" t="s">
        <v>3092</v>
      </c>
      <c r="C179" s="2948"/>
      <c r="D179" s="2948"/>
      <c r="E179" s="2948"/>
      <c r="F179" s="2948">
        <v>2120</v>
      </c>
      <c r="G179" s="2948"/>
    </row>
    <row r="180" spans="1:7" s="2782" customFormat="1" ht="14.25" customHeight="1">
      <c r="A180" s="2948" t="s">
        <v>29</v>
      </c>
      <c r="B180" s="2948" t="s">
        <v>3064</v>
      </c>
      <c r="C180" s="2948"/>
      <c r="D180" s="2948"/>
      <c r="E180" s="2948"/>
      <c r="F180" s="2948">
        <v>2340</v>
      </c>
      <c r="G180" s="2948"/>
    </row>
    <row r="181" spans="1:7" s="2782" customFormat="1" ht="14.25" customHeight="1">
      <c r="A181" s="2948" t="s">
        <v>29</v>
      </c>
      <c r="B181" s="2948" t="s">
        <v>3065</v>
      </c>
      <c r="C181" s="2948"/>
      <c r="D181" s="2948"/>
      <c r="E181" s="2948"/>
      <c r="F181" s="2948">
        <v>2340</v>
      </c>
      <c r="G181" s="2948"/>
    </row>
    <row r="182" spans="1:7" s="2782" customFormat="1" ht="14.25" customHeight="1">
      <c r="A182" s="2948" t="s">
        <v>29</v>
      </c>
      <c r="B182" s="2948" t="s">
        <v>3066</v>
      </c>
      <c r="C182" s="2948"/>
      <c r="D182" s="2948"/>
      <c r="E182" s="2948"/>
      <c r="F182" s="2948">
        <v>2340</v>
      </c>
      <c r="G182" s="2948"/>
    </row>
    <row r="183" spans="1:7" s="2782" customFormat="1" ht="14.25" customHeight="1">
      <c r="A183" s="2948" t="s">
        <v>29</v>
      </c>
      <c r="B183" s="2948" t="s">
        <v>3067</v>
      </c>
      <c r="C183" s="2948"/>
      <c r="D183" s="2948"/>
      <c r="E183" s="2948"/>
      <c r="F183" s="2948">
        <v>2340</v>
      </c>
      <c r="G183" s="2948"/>
    </row>
    <row r="184" spans="1:7" s="2782" customFormat="1" ht="14.25" customHeight="1">
      <c r="A184" s="2948" t="s">
        <v>29</v>
      </c>
      <c r="B184" s="2948" t="s">
        <v>3068</v>
      </c>
      <c r="C184" s="2948"/>
      <c r="D184" s="2948"/>
      <c r="E184" s="2948"/>
      <c r="F184" s="2948">
        <v>2340</v>
      </c>
      <c r="G184" s="2948"/>
    </row>
    <row r="185" spans="1:7" s="2782" customFormat="1" ht="14.25" customHeight="1">
      <c r="A185" s="2948" t="s">
        <v>29</v>
      </c>
      <c r="B185" s="2948" t="s">
        <v>3069</v>
      </c>
      <c r="C185" s="2948"/>
      <c r="D185" s="2948"/>
      <c r="E185" s="2948"/>
      <c r="F185" s="2948">
        <v>2530</v>
      </c>
      <c r="G185" s="2948"/>
    </row>
    <row r="186" spans="1:7" s="2782" customFormat="1" ht="14.25" customHeight="1">
      <c r="A186" s="2948" t="s">
        <v>29</v>
      </c>
      <c r="B186" s="2948" t="s">
        <v>3070</v>
      </c>
      <c r="C186" s="2948"/>
      <c r="D186" s="2948"/>
      <c r="E186" s="2948"/>
      <c r="F186" s="2948">
        <v>2550</v>
      </c>
      <c r="G186" s="2948"/>
    </row>
    <row r="187" spans="1:7" s="2782" customFormat="1" ht="14.25" customHeight="1">
      <c r="A187" s="2948" t="s">
        <v>29</v>
      </c>
      <c r="B187" s="2948" t="s">
        <v>3071</v>
      </c>
      <c r="C187" s="2948"/>
      <c r="D187" s="2948"/>
      <c r="E187" s="2948"/>
      <c r="F187" s="2948">
        <v>2070</v>
      </c>
      <c r="G187" s="2948"/>
    </row>
    <row r="188" spans="1:7" s="2782" customFormat="1" ht="14.25" customHeight="1">
      <c r="A188" s="2948" t="s">
        <v>29</v>
      </c>
      <c r="B188" s="2948" t="s">
        <v>3072</v>
      </c>
      <c r="C188" s="2948"/>
      <c r="D188" s="2948"/>
      <c r="E188" s="2948"/>
      <c r="F188" s="2948">
        <v>2340</v>
      </c>
      <c r="G188" s="2948"/>
    </row>
    <row r="189" spans="1:7" s="2782" customFormat="1" ht="14.25" customHeight="1" thickBot="1">
      <c r="A189" s="2956" t="s">
        <v>29</v>
      </c>
      <c r="B189" s="2959" t="s">
        <v>3073</v>
      </c>
      <c r="C189" s="2959"/>
      <c r="D189" s="2959"/>
      <c r="E189" s="2959"/>
      <c r="F189" s="2959">
        <v>2050</v>
      </c>
      <c r="G189" s="2959"/>
    </row>
    <row r="190" spans="1:7" s="2782" customFormat="1" ht="14.25" customHeight="1">
      <c r="A190" s="2953" t="s">
        <v>304</v>
      </c>
      <c r="B190" s="2944" t="s">
        <v>3093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3094</v>
      </c>
      <c r="C199" s="2948">
        <v>8690</v>
      </c>
      <c r="D199" s="2948">
        <v>8630</v>
      </c>
      <c r="E199" s="2948">
        <v>11350</v>
      </c>
      <c r="F199" s="2948">
        <v>1600</v>
      </c>
      <c r="G199" s="2961">
        <v>5450</v>
      </c>
    </row>
    <row r="200" spans="1:7" s="2782" customFormat="1" ht="14.25" customHeight="1">
      <c r="A200" s="2948" t="s">
        <v>304</v>
      </c>
      <c r="B200" s="2948" t="s">
        <v>2905</v>
      </c>
      <c r="C200" s="2948"/>
      <c r="D200" s="2948"/>
      <c r="E200" s="2948"/>
      <c r="F200" s="2948">
        <v>1510</v>
      </c>
      <c r="G200" s="2961"/>
    </row>
    <row r="201" spans="1:7" s="2782" customFormat="1" ht="14.25" customHeight="1">
      <c r="A201" s="2948" t="s">
        <v>304</v>
      </c>
      <c r="B201" s="2948" t="s">
        <v>3095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3096</v>
      </c>
      <c r="C203" s="2948">
        <v>8130</v>
      </c>
      <c r="D203" s="2948">
        <v>8070</v>
      </c>
      <c r="E203" s="2948">
        <v>10820</v>
      </c>
      <c r="F203" s="2948">
        <v>1690</v>
      </c>
      <c r="G203" s="2961">
        <v>5100</v>
      </c>
    </row>
    <row r="204" spans="1:7" s="2782" customFormat="1" ht="14.25" customHeight="1">
      <c r="A204" s="2948" t="s">
        <v>304</v>
      </c>
      <c r="B204" s="2948" t="s">
        <v>2916</v>
      </c>
      <c r="C204" s="2948">
        <v>8350</v>
      </c>
      <c r="D204" s="2948">
        <v>8290</v>
      </c>
      <c r="E204" s="2948">
        <v>11080</v>
      </c>
      <c r="F204" s="2948">
        <v>1450</v>
      </c>
      <c r="G204" s="2961">
        <v>5240</v>
      </c>
    </row>
    <row r="205" spans="1:7" s="2782" customFormat="1" ht="14.25" customHeight="1">
      <c r="A205" s="2948" t="s">
        <v>304</v>
      </c>
      <c r="B205" s="2948" t="s">
        <v>2918</v>
      </c>
      <c r="C205" s="2948">
        <v>7190</v>
      </c>
      <c r="D205" s="2948">
        <v>7130</v>
      </c>
      <c r="E205" s="2948">
        <v>9490</v>
      </c>
      <c r="F205" s="2948">
        <v>1470</v>
      </c>
      <c r="G205" s="2961">
        <v>4510</v>
      </c>
    </row>
    <row r="206" spans="1:7" s="2782" customFormat="1" ht="14.25" customHeight="1">
      <c r="A206" s="2948" t="s">
        <v>304</v>
      </c>
      <c r="B206" s="2948" t="s">
        <v>2921</v>
      </c>
      <c r="C206" s="2948">
        <v>7000</v>
      </c>
      <c r="D206" s="2948">
        <v>6950</v>
      </c>
      <c r="E206" s="2948">
        <v>9170</v>
      </c>
      <c r="F206" s="2948">
        <v>1400</v>
      </c>
      <c r="G206" s="2961">
        <v>4380</v>
      </c>
    </row>
    <row r="207" spans="1:7" s="2782" customFormat="1" ht="14.25" customHeight="1">
      <c r="A207" s="2948" t="s">
        <v>304</v>
      </c>
      <c r="B207" s="2948" t="s">
        <v>2923</v>
      </c>
      <c r="C207" s="2948">
        <v>6950</v>
      </c>
      <c r="D207" s="2948">
        <v>6900</v>
      </c>
      <c r="E207" s="2948">
        <v>9110</v>
      </c>
      <c r="F207" s="2948">
        <v>1790</v>
      </c>
      <c r="G207" s="2961">
        <v>4360</v>
      </c>
    </row>
    <row r="208" spans="1:7" s="2782" customFormat="1" ht="14.25" customHeight="1">
      <c r="A208" s="2948" t="s">
        <v>304</v>
      </c>
      <c r="B208" s="2948" t="s">
        <v>3097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2933</v>
      </c>
      <c r="C210" s="2948">
        <v>8710</v>
      </c>
      <c r="D210" s="2948">
        <v>8660</v>
      </c>
      <c r="E210" s="2948">
        <v>11440</v>
      </c>
      <c r="F210" s="2948">
        <v>1740</v>
      </c>
      <c r="G210" s="2961">
        <v>5470</v>
      </c>
    </row>
    <row r="211" spans="1:7" s="2782" customFormat="1" ht="14.25" customHeight="1">
      <c r="A211" s="2948" t="s">
        <v>304</v>
      </c>
      <c r="B211" s="2948" t="s">
        <v>3098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3099</v>
      </c>
      <c r="C214" s="2948">
        <v>8090</v>
      </c>
      <c r="D214" s="2948">
        <v>8030</v>
      </c>
      <c r="E214" s="2948">
        <v>10780</v>
      </c>
      <c r="F214" s="2948">
        <v>1570</v>
      </c>
      <c r="G214" s="2961">
        <v>5070</v>
      </c>
    </row>
    <row r="215" spans="1:7" s="2782" customFormat="1" ht="14.25" customHeight="1">
      <c r="A215" s="2948" t="s">
        <v>304</v>
      </c>
      <c r="B215" s="2948" t="s">
        <v>3100</v>
      </c>
      <c r="C215" s="2948">
        <v>7950</v>
      </c>
      <c r="D215" s="2948">
        <v>7900</v>
      </c>
      <c r="E215" s="2948">
        <v>10560</v>
      </c>
      <c r="F215" s="2948">
        <v>1630</v>
      </c>
      <c r="G215" s="2961">
        <v>4990</v>
      </c>
    </row>
    <row r="216" spans="1:7" s="2782" customFormat="1" ht="14.25" customHeight="1">
      <c r="A216" s="2948" t="s">
        <v>304</v>
      </c>
      <c r="B216" s="2948" t="s">
        <v>3101</v>
      </c>
      <c r="C216" s="2948">
        <v>8490</v>
      </c>
      <c r="D216" s="2948">
        <v>8440</v>
      </c>
      <c r="E216" s="2948">
        <v>11260</v>
      </c>
      <c r="F216" s="2948">
        <v>1690</v>
      </c>
      <c r="G216" s="2961">
        <v>5330</v>
      </c>
    </row>
    <row r="217" spans="1:7" s="2782" customFormat="1" ht="14.25" customHeight="1">
      <c r="A217" s="2948" t="s">
        <v>304</v>
      </c>
      <c r="B217" s="2948" t="s">
        <v>2966</v>
      </c>
      <c r="C217" s="2948">
        <v>8200</v>
      </c>
      <c r="D217" s="2948">
        <v>8150</v>
      </c>
      <c r="E217" s="2948">
        <v>10910</v>
      </c>
      <c r="F217" s="2948">
        <v>1670</v>
      </c>
      <c r="G217" s="2961">
        <v>5150</v>
      </c>
    </row>
    <row r="218" spans="1:7" s="2782" customFormat="1" ht="14.25" customHeight="1">
      <c r="A218" s="2948" t="s">
        <v>304</v>
      </c>
      <c r="B218" s="2948" t="s">
        <v>3102</v>
      </c>
      <c r="C218" s="2948"/>
      <c r="D218" s="2948"/>
      <c r="E218" s="2948"/>
      <c r="F218" s="2948">
        <v>2040</v>
      </c>
      <c r="G218" s="2961"/>
    </row>
    <row r="219" spans="1:7" s="2782" customFormat="1" ht="14.25" customHeight="1">
      <c r="A219" s="2948" t="s">
        <v>304</v>
      </c>
      <c r="B219" s="2948" t="s">
        <v>3103</v>
      </c>
      <c r="C219" s="2948"/>
      <c r="D219" s="2948"/>
      <c r="E219" s="2948"/>
      <c r="F219" s="2948">
        <v>2040</v>
      </c>
      <c r="G219" s="2961"/>
    </row>
    <row r="220" spans="1:7" s="2782" customFormat="1" ht="14.25" customHeight="1">
      <c r="A220" s="2948" t="s">
        <v>304</v>
      </c>
      <c r="B220" s="2948" t="s">
        <v>3104</v>
      </c>
      <c r="C220" s="2948"/>
      <c r="D220" s="2948"/>
      <c r="E220" s="2948"/>
      <c r="F220" s="2948">
        <v>2040</v>
      </c>
      <c r="G220" s="2961"/>
    </row>
    <row r="221" spans="1:7" s="2782" customFormat="1" ht="14.25" customHeight="1">
      <c r="A221" s="2948" t="s">
        <v>304</v>
      </c>
      <c r="B221" s="2948" t="s">
        <v>3105</v>
      </c>
      <c r="C221" s="2948"/>
      <c r="D221" s="2948"/>
      <c r="E221" s="2948"/>
      <c r="F221" s="2948">
        <v>2040</v>
      </c>
      <c r="G221" s="2961"/>
    </row>
    <row r="222" spans="1:7" s="2782" customFormat="1" ht="14.25" customHeight="1">
      <c r="A222" s="2948" t="s">
        <v>304</v>
      </c>
      <c r="B222" s="2948" t="s">
        <v>3106</v>
      </c>
      <c r="C222" s="2948"/>
      <c r="D222" s="2948"/>
      <c r="E222" s="2948"/>
      <c r="F222" s="2948">
        <v>2040</v>
      </c>
      <c r="G222" s="2961"/>
    </row>
    <row r="223" spans="1:7" s="2782" customFormat="1" ht="14.25" customHeight="1">
      <c r="A223" s="2948" t="s">
        <v>304</v>
      </c>
      <c r="B223" s="2948" t="s">
        <v>3107</v>
      </c>
      <c r="C223" s="2948"/>
      <c r="D223" s="2948"/>
      <c r="E223" s="2948"/>
      <c r="F223" s="2948">
        <v>1930</v>
      </c>
      <c r="G223" s="2961"/>
    </row>
    <row r="224" spans="1:7" s="2782" customFormat="1" ht="14.25" customHeight="1">
      <c r="A224" s="2948" t="s">
        <v>304</v>
      </c>
      <c r="B224" s="2948" t="s">
        <v>3108</v>
      </c>
      <c r="C224" s="2948"/>
      <c r="D224" s="2948"/>
      <c r="E224" s="2948"/>
      <c r="F224" s="2948">
        <v>1930</v>
      </c>
      <c r="G224" s="2961"/>
    </row>
    <row r="225" spans="1:7" s="2782" customFormat="1" ht="14.25" customHeight="1">
      <c r="A225" s="2948" t="s">
        <v>304</v>
      </c>
      <c r="B225" s="2948" t="s">
        <v>3109</v>
      </c>
      <c r="C225" s="2948"/>
      <c r="D225" s="2948"/>
      <c r="E225" s="2948"/>
      <c r="F225" s="2948">
        <v>1930</v>
      </c>
      <c r="G225" s="2961"/>
    </row>
    <row r="226" spans="1:7" s="2782" customFormat="1" ht="14.25" customHeight="1">
      <c r="A226" s="2948" t="s">
        <v>304</v>
      </c>
      <c r="B226" s="2948" t="s">
        <v>3110</v>
      </c>
      <c r="C226" s="2948"/>
      <c r="D226" s="2948"/>
      <c r="E226" s="2948"/>
      <c r="F226" s="2948">
        <v>1700</v>
      </c>
      <c r="G226" s="2961"/>
    </row>
    <row r="227" spans="1:7" s="2782" customFormat="1" ht="14.25" customHeight="1">
      <c r="A227" s="2948" t="s">
        <v>304</v>
      </c>
      <c r="B227" s="2948" t="s">
        <v>3111</v>
      </c>
      <c r="C227" s="2948"/>
      <c r="D227" s="2948"/>
      <c r="E227" s="2948"/>
      <c r="F227" s="2948">
        <v>1520</v>
      </c>
      <c r="G227" s="2961"/>
    </row>
    <row r="228" spans="1:7" s="2782" customFormat="1" ht="14.25" customHeight="1">
      <c r="A228" s="2948" t="s">
        <v>304</v>
      </c>
      <c r="B228" s="2948" t="s">
        <v>3112</v>
      </c>
      <c r="C228" s="2948"/>
      <c r="D228" s="2948"/>
      <c r="E228" s="2948"/>
      <c r="F228" s="2948">
        <v>1520</v>
      </c>
      <c r="G228" s="2961"/>
    </row>
    <row r="229" spans="1:7" s="2782" customFormat="1" ht="14.25" customHeight="1">
      <c r="A229" s="2948" t="s">
        <v>304</v>
      </c>
      <c r="B229" s="2948" t="s">
        <v>3029</v>
      </c>
      <c r="C229" s="2948"/>
      <c r="D229" s="2948"/>
      <c r="E229" s="2948"/>
      <c r="F229" s="2948">
        <v>1520</v>
      </c>
      <c r="G229" s="2961"/>
    </row>
    <row r="230" spans="1:7" s="2782" customFormat="1" ht="14.25" customHeight="1">
      <c r="A230" s="2948" t="s">
        <v>304</v>
      </c>
      <c r="B230" s="2948" t="s">
        <v>3113</v>
      </c>
      <c r="C230" s="2948"/>
      <c r="D230" s="2948"/>
      <c r="E230" s="2948"/>
      <c r="F230" s="2948">
        <v>1820</v>
      </c>
      <c r="G230" s="2961"/>
    </row>
    <row r="231" spans="1:7" s="2782" customFormat="1" ht="14.25" customHeight="1">
      <c r="A231" s="2948" t="s">
        <v>304</v>
      </c>
      <c r="B231" s="2948" t="s">
        <v>3114</v>
      </c>
      <c r="C231" s="2948"/>
      <c r="D231" s="2948"/>
      <c r="E231" s="2948"/>
      <c r="F231" s="2948">
        <v>1760</v>
      </c>
      <c r="G231" s="2961"/>
    </row>
    <row r="232" spans="1:7" s="2782" customFormat="1" ht="14.25" customHeight="1">
      <c r="A232" s="2948" t="s">
        <v>304</v>
      </c>
      <c r="B232" s="2948" t="s">
        <v>3115</v>
      </c>
      <c r="C232" s="2948"/>
      <c r="D232" s="2948"/>
      <c r="E232" s="2948"/>
      <c r="F232" s="2948">
        <v>1840</v>
      </c>
      <c r="G232" s="2961"/>
    </row>
    <row r="233" spans="1:7" s="2782" customFormat="1" ht="14.25" customHeight="1" thickBot="1">
      <c r="A233" s="2962" t="s">
        <v>304</v>
      </c>
      <c r="B233" s="2955" t="s">
        <v>3046</v>
      </c>
      <c r="C233" s="2955"/>
      <c r="D233" s="2955"/>
      <c r="E233" s="2955"/>
      <c r="F233" s="2955">
        <v>1770</v>
      </c>
      <c r="G233" s="2963"/>
    </row>
    <row r="234" spans="1:7" s="2782" customFormat="1" ht="14.25" customHeight="1">
      <c r="A234" s="2953" t="s">
        <v>305</v>
      </c>
      <c r="B234" s="2944" t="s">
        <v>3116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2887</v>
      </c>
      <c r="C238" s="2948">
        <v>6920</v>
      </c>
      <c r="D238" s="2948">
        <v>6890</v>
      </c>
      <c r="E238" s="2948">
        <v>8640</v>
      </c>
      <c r="F238" s="2948">
        <v>1310</v>
      </c>
      <c r="G238" s="2948">
        <v>4230</v>
      </c>
    </row>
    <row r="239" spans="1:7" s="2782" customFormat="1" ht="14.25" customHeight="1">
      <c r="A239" s="2948" t="s">
        <v>305</v>
      </c>
      <c r="B239" s="2948" t="s">
        <v>3117</v>
      </c>
      <c r="C239" s="2948">
        <v>6780</v>
      </c>
      <c r="D239" s="2948">
        <v>6750</v>
      </c>
      <c r="E239" s="2948">
        <v>8440</v>
      </c>
      <c r="F239" s="2948">
        <v>1160</v>
      </c>
      <c r="G239" s="2948">
        <v>4140</v>
      </c>
    </row>
    <row r="240" spans="1:7" s="2782" customFormat="1" ht="14.25" customHeight="1">
      <c r="A240" s="2948" t="s">
        <v>305</v>
      </c>
      <c r="B240" s="2948" t="s">
        <v>3118</v>
      </c>
      <c r="C240" s="2948">
        <v>5420</v>
      </c>
      <c r="D240" s="2948">
        <v>5380</v>
      </c>
      <c r="E240" s="2948">
        <v>6640</v>
      </c>
      <c r="F240" s="2948">
        <v>1020</v>
      </c>
      <c r="G240" s="2948">
        <v>3300</v>
      </c>
    </row>
    <row r="241" spans="1:7" s="2782" customFormat="1" ht="14.25" customHeight="1">
      <c r="A241" s="2948" t="s">
        <v>305</v>
      </c>
      <c r="B241" s="2948" t="s">
        <v>3119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2949</v>
      </c>
      <c r="C258" s="2948">
        <v>6190</v>
      </c>
      <c r="D258" s="2948">
        <v>6160</v>
      </c>
      <c r="E258" s="2948">
        <v>7680</v>
      </c>
      <c r="F258" s="2948">
        <v>1170</v>
      </c>
      <c r="G258" s="2948">
        <v>3780</v>
      </c>
    </row>
    <row r="259" spans="1:7" s="2782" customFormat="1" ht="14.25" customHeight="1">
      <c r="A259" s="2948" t="s">
        <v>305</v>
      </c>
      <c r="B259" s="2948" t="s">
        <v>3125</v>
      </c>
      <c r="C259" s="2948">
        <v>7610</v>
      </c>
      <c r="D259" s="2948">
        <v>7570</v>
      </c>
      <c r="E259" s="2948">
        <v>9350</v>
      </c>
      <c r="F259" s="2948">
        <v>1350</v>
      </c>
      <c r="G259" s="2948">
        <v>4650</v>
      </c>
    </row>
    <row r="260" spans="1:7" s="2782" customFormat="1" ht="14.25" customHeight="1">
      <c r="A260" s="2948" t="s">
        <v>305</v>
      </c>
      <c r="B260" s="2948" t="s">
        <v>3126</v>
      </c>
      <c r="C260" s="2948">
        <v>6920</v>
      </c>
      <c r="D260" s="2948">
        <v>6880</v>
      </c>
      <c r="E260" s="2948">
        <v>8380</v>
      </c>
      <c r="F260" s="2948">
        <v>1160</v>
      </c>
      <c r="G260" s="2948">
        <v>4220</v>
      </c>
    </row>
    <row r="261" spans="1:7" s="2782" customFormat="1" ht="14.25" customHeight="1">
      <c r="A261" s="2948" t="s">
        <v>305</v>
      </c>
      <c r="B261" s="2948" t="s">
        <v>3127</v>
      </c>
      <c r="C261" s="2948">
        <v>6850</v>
      </c>
      <c r="D261" s="2948">
        <v>6810</v>
      </c>
      <c r="E261" s="2948">
        <v>8290</v>
      </c>
      <c r="F261" s="2948">
        <v>1130</v>
      </c>
      <c r="G261" s="2948">
        <v>4180</v>
      </c>
    </row>
    <row r="262" spans="1:7" s="2782" customFormat="1" ht="14.25" customHeight="1">
      <c r="A262" s="2948" t="s">
        <v>305</v>
      </c>
      <c r="B262" s="2948" t="s">
        <v>3128</v>
      </c>
      <c r="C262" s="2948">
        <v>5860</v>
      </c>
      <c r="D262" s="2948">
        <v>5820</v>
      </c>
      <c r="E262" s="2948">
        <v>7640</v>
      </c>
      <c r="F262" s="2948">
        <v>1070</v>
      </c>
      <c r="G262" s="2948">
        <v>3570</v>
      </c>
    </row>
    <row r="263" spans="1:7" s="2782" customFormat="1" ht="14.25" customHeight="1">
      <c r="A263" s="2948" t="s">
        <v>305</v>
      </c>
      <c r="B263" s="2948" t="s">
        <v>3129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3130</v>
      </c>
      <c r="C265" s="2948"/>
      <c r="D265" s="2948"/>
      <c r="E265" s="2948"/>
      <c r="F265" s="2948">
        <v>1500</v>
      </c>
      <c r="G265" s="2948"/>
    </row>
    <row r="266" spans="1:7" s="2782" customFormat="1" ht="14.25" customHeight="1">
      <c r="A266" s="2948" t="s">
        <v>305</v>
      </c>
      <c r="B266" s="2948" t="s">
        <v>3131</v>
      </c>
      <c r="C266" s="2948"/>
      <c r="D266" s="2948"/>
      <c r="E266" s="2948"/>
      <c r="F266" s="2948">
        <v>1500</v>
      </c>
      <c r="G266" s="2948"/>
    </row>
    <row r="267" spans="1:7" s="2782" customFormat="1" ht="14.25" customHeight="1">
      <c r="A267" s="2948" t="s">
        <v>305</v>
      </c>
      <c r="B267" s="2948" t="s">
        <v>3132</v>
      </c>
      <c r="C267" s="2948"/>
      <c r="D267" s="2948"/>
      <c r="E267" s="2948"/>
      <c r="F267" s="2948">
        <v>1500</v>
      </c>
      <c r="G267" s="2948"/>
    </row>
    <row r="268" spans="1:7" s="2782" customFormat="1" ht="14.25" customHeight="1">
      <c r="A268" s="2948" t="s">
        <v>305</v>
      </c>
      <c r="B268" s="2948" t="s">
        <v>3133</v>
      </c>
      <c r="C268" s="2948"/>
      <c r="D268" s="2948"/>
      <c r="E268" s="2948"/>
      <c r="F268" s="2948">
        <v>1290</v>
      </c>
      <c r="G268" s="2948"/>
    </row>
    <row r="269" spans="1:7" s="2782" customFormat="1" ht="14.25" customHeight="1">
      <c r="A269" s="2948" t="s">
        <v>305</v>
      </c>
      <c r="B269" s="2948" t="s">
        <v>3134</v>
      </c>
      <c r="C269" s="2948"/>
      <c r="D269" s="2948"/>
      <c r="E269" s="2948"/>
      <c r="F269" s="2948">
        <v>1150</v>
      </c>
      <c r="G269" s="2948"/>
    </row>
    <row r="270" spans="1:7" s="2782" customFormat="1" ht="14.25" customHeight="1">
      <c r="A270" s="2948" t="s">
        <v>305</v>
      </c>
      <c r="B270" s="2948" t="s">
        <v>3135</v>
      </c>
      <c r="C270" s="2948"/>
      <c r="D270" s="2948"/>
      <c r="E270" s="2948"/>
      <c r="F270" s="2948">
        <v>1380</v>
      </c>
      <c r="G270" s="2948"/>
    </row>
    <row r="271" spans="1:7" s="2782" customFormat="1" ht="14.25" customHeight="1">
      <c r="A271" s="2948" t="s">
        <v>305</v>
      </c>
      <c r="B271" s="2948" t="s">
        <v>3136</v>
      </c>
      <c r="C271" s="2948"/>
      <c r="D271" s="2948"/>
      <c r="E271" s="2948"/>
      <c r="F271" s="2948">
        <v>1460</v>
      </c>
      <c r="G271" s="2948"/>
    </row>
    <row r="272" spans="1:7" s="2782" customFormat="1" ht="14.25" customHeight="1">
      <c r="A272" s="2948" t="s">
        <v>305</v>
      </c>
      <c r="B272" s="2948" t="s">
        <v>3137</v>
      </c>
      <c r="C272" s="2948"/>
      <c r="D272" s="2948"/>
      <c r="E272" s="2948"/>
      <c r="F272" s="2948">
        <v>1460</v>
      </c>
      <c r="G272" s="2948"/>
    </row>
    <row r="273" spans="1:7" s="2782" customFormat="1" ht="14.25" customHeight="1">
      <c r="A273" s="2948" t="s">
        <v>305</v>
      </c>
      <c r="B273" s="2948" t="s">
        <v>3030</v>
      </c>
      <c r="C273" s="2948"/>
      <c r="D273" s="2948"/>
      <c r="E273" s="2948"/>
      <c r="F273" s="2948">
        <v>1490</v>
      </c>
      <c r="G273" s="2948"/>
    </row>
    <row r="274" spans="1:7" s="2782" customFormat="1" ht="14.25" customHeight="1">
      <c r="A274" s="2948" t="s">
        <v>305</v>
      </c>
      <c r="B274" s="2948" t="s">
        <v>3138</v>
      </c>
      <c r="C274" s="2948"/>
      <c r="D274" s="2948"/>
      <c r="E274" s="2948"/>
      <c r="F274" s="2948">
        <v>1490</v>
      </c>
      <c r="G274" s="2948"/>
    </row>
    <row r="275" spans="1:7" s="2782" customFormat="1" ht="14.25" customHeight="1">
      <c r="A275" s="2948" t="s">
        <v>305</v>
      </c>
      <c r="B275" s="2948" t="s">
        <v>3139</v>
      </c>
      <c r="C275" s="2948"/>
      <c r="D275" s="2948"/>
      <c r="E275" s="2948"/>
      <c r="F275" s="2948">
        <v>1220</v>
      </c>
      <c r="G275" s="2948"/>
    </row>
    <row r="276" spans="1:7" s="2782" customFormat="1" ht="14.25" customHeight="1" thickBot="1">
      <c r="A276" s="2956" t="s">
        <v>305</v>
      </c>
      <c r="B276" s="2958" t="s">
        <v>3140</v>
      </c>
      <c r="C276" s="2959"/>
      <c r="D276" s="2959"/>
      <c r="E276" s="2959"/>
      <c r="F276" s="2959">
        <v>1380</v>
      </c>
      <c r="G276" s="2959"/>
    </row>
    <row r="277" spans="1:7" s="2782" customFormat="1" ht="14.25" customHeight="1">
      <c r="A277" s="2953" t="s">
        <v>306</v>
      </c>
      <c r="B277" s="2944" t="s">
        <v>3141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3142</v>
      </c>
      <c r="C279" s="2948">
        <v>4760</v>
      </c>
      <c r="D279" s="2948">
        <v>4720</v>
      </c>
      <c r="E279" s="2948">
        <v>5540</v>
      </c>
      <c r="F279" s="2948">
        <v>810</v>
      </c>
      <c r="G279" s="2961">
        <v>2850</v>
      </c>
    </row>
    <row r="280" spans="1:7" s="2782" customFormat="1" ht="14.25" customHeight="1">
      <c r="A280" s="2948" t="s">
        <v>306</v>
      </c>
      <c r="B280" s="2948" t="s">
        <v>3143</v>
      </c>
      <c r="C280" s="2948">
        <v>4010</v>
      </c>
      <c r="D280" s="2948">
        <v>3950</v>
      </c>
      <c r="E280" s="2948">
        <v>4710</v>
      </c>
      <c r="F280" s="2948">
        <v>800</v>
      </c>
      <c r="G280" s="2961">
        <v>2390</v>
      </c>
    </row>
    <row r="281" spans="1:7" s="2782" customFormat="1" ht="14.25" customHeight="1">
      <c r="A281" s="2948" t="s">
        <v>306</v>
      </c>
      <c r="B281" s="2948" t="s">
        <v>3144</v>
      </c>
      <c r="C281" s="2948">
        <v>4480</v>
      </c>
      <c r="D281" s="2948">
        <v>4420</v>
      </c>
      <c r="E281" s="2948">
        <v>5230</v>
      </c>
      <c r="F281" s="2948">
        <v>870</v>
      </c>
      <c r="G281" s="2961">
        <v>2660</v>
      </c>
    </row>
    <row r="282" spans="1:7" s="2782" customFormat="1" ht="14.25" customHeight="1">
      <c r="A282" s="2948" t="s">
        <v>306</v>
      </c>
      <c r="B282" s="2948" t="s">
        <v>3145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2922</v>
      </c>
      <c r="C293" s="2948">
        <v>5320</v>
      </c>
      <c r="D293" s="2948">
        <v>5270</v>
      </c>
      <c r="E293" s="2948">
        <v>6160</v>
      </c>
      <c r="F293" s="2948">
        <v>990</v>
      </c>
      <c r="G293" s="2961">
        <v>3170</v>
      </c>
    </row>
    <row r="294" spans="1:7" s="2782" customFormat="1" ht="14.25" customHeight="1">
      <c r="A294" s="2948" t="s">
        <v>306</v>
      </c>
      <c r="B294" s="2948" t="s">
        <v>3148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3149</v>
      </c>
      <c r="C302" s="2948">
        <v>5520</v>
      </c>
      <c r="D302" s="2948">
        <v>5470</v>
      </c>
      <c r="E302" s="2948">
        <v>6410</v>
      </c>
      <c r="F302" s="2948">
        <v>950</v>
      </c>
      <c r="G302" s="2961">
        <v>3300</v>
      </c>
    </row>
    <row r="303" spans="1:7" s="2782" customFormat="1" ht="14.25" customHeight="1">
      <c r="A303" s="2948" t="s">
        <v>306</v>
      </c>
      <c r="B303" s="2948" t="s">
        <v>2961</v>
      </c>
      <c r="C303" s="2948">
        <v>5630</v>
      </c>
      <c r="D303" s="2948">
        <v>5590</v>
      </c>
      <c r="E303" s="2948">
        <v>6550</v>
      </c>
      <c r="F303" s="2948">
        <v>1010</v>
      </c>
      <c r="G303" s="2961">
        <v>3370</v>
      </c>
    </row>
    <row r="304" spans="1:7" s="2782" customFormat="1" ht="14.25" customHeight="1">
      <c r="A304" s="2948" t="s">
        <v>306</v>
      </c>
      <c r="B304" s="2948" t="s">
        <v>2968</v>
      </c>
      <c r="C304" s="2948">
        <v>5680</v>
      </c>
      <c r="D304" s="2948">
        <v>5620</v>
      </c>
      <c r="E304" s="2948">
        <v>6620</v>
      </c>
      <c r="F304" s="2948">
        <v>1050</v>
      </c>
      <c r="G304" s="2961">
        <v>3390</v>
      </c>
    </row>
    <row r="305" spans="1:7" s="2782" customFormat="1" ht="14.25" customHeight="1">
      <c r="A305" s="2948" t="s">
        <v>306</v>
      </c>
      <c r="B305" s="2948" t="s">
        <v>2974</v>
      </c>
      <c r="C305" s="2948">
        <v>5590</v>
      </c>
      <c r="D305" s="2948">
        <v>5530</v>
      </c>
      <c r="E305" s="2948">
        <v>6460</v>
      </c>
      <c r="F305" s="2948">
        <v>900</v>
      </c>
      <c r="G305" s="2961">
        <v>3340</v>
      </c>
    </row>
    <row r="306" spans="1:7" s="2782" customFormat="1" ht="14.25" customHeight="1">
      <c r="A306" s="2948" t="s">
        <v>306</v>
      </c>
      <c r="B306" s="2948" t="s">
        <v>3150</v>
      </c>
      <c r="C306" s="2948">
        <v>5560</v>
      </c>
      <c r="D306" s="2948">
        <v>5510</v>
      </c>
      <c r="E306" s="2948">
        <v>6440</v>
      </c>
      <c r="F306" s="2948">
        <v>900</v>
      </c>
      <c r="G306" s="2961">
        <v>3320</v>
      </c>
    </row>
    <row r="307" spans="1:7" s="2782" customFormat="1" ht="14.25" customHeight="1">
      <c r="A307" s="2948" t="s">
        <v>306</v>
      </c>
      <c r="B307" s="2948" t="s">
        <v>2986</v>
      </c>
      <c r="C307" s="2948">
        <v>5650</v>
      </c>
      <c r="D307" s="2948">
        <v>5600</v>
      </c>
      <c r="E307" s="2948">
        <v>6590</v>
      </c>
      <c r="F307" s="2948">
        <v>930</v>
      </c>
      <c r="G307" s="2961">
        <v>3380</v>
      </c>
    </row>
    <row r="308" spans="1:7" s="2782" customFormat="1" ht="14.25" customHeight="1">
      <c r="A308" s="2948" t="s">
        <v>306</v>
      </c>
      <c r="B308" s="2948" t="s">
        <v>3151</v>
      </c>
      <c r="C308" s="2948">
        <v>5620</v>
      </c>
      <c r="D308" s="2948">
        <v>5580</v>
      </c>
      <c r="E308" s="2948">
        <v>6540</v>
      </c>
      <c r="F308" s="2948">
        <v>910</v>
      </c>
      <c r="G308" s="2961">
        <v>3370</v>
      </c>
    </row>
    <row r="309" spans="1:7" s="2782" customFormat="1" ht="14.25" customHeight="1">
      <c r="A309" s="2948" t="s">
        <v>306</v>
      </c>
      <c r="B309" s="2948" t="s">
        <v>3152</v>
      </c>
      <c r="C309" s="2948">
        <v>5060</v>
      </c>
      <c r="D309" s="2948">
        <v>5020</v>
      </c>
      <c r="E309" s="2948">
        <v>6370</v>
      </c>
      <c r="F309" s="2948">
        <v>800</v>
      </c>
      <c r="G309" s="2961">
        <v>3020</v>
      </c>
    </row>
    <row r="310" spans="1:7" s="2782" customFormat="1" ht="14.25" customHeight="1">
      <c r="A310" s="2948" t="s">
        <v>306</v>
      </c>
      <c r="B310" s="2948" t="s">
        <v>3001</v>
      </c>
      <c r="C310" s="2948">
        <v>5150</v>
      </c>
      <c r="D310" s="2948">
        <v>5110</v>
      </c>
      <c r="E310" s="2948">
        <v>6500</v>
      </c>
      <c r="F310" s="2948">
        <v>880</v>
      </c>
      <c r="G310" s="2961">
        <v>3080</v>
      </c>
    </row>
    <row r="311" spans="1:7" s="2782" customFormat="1" ht="14.25" customHeight="1">
      <c r="A311" s="2948" t="s">
        <v>306</v>
      </c>
      <c r="B311" s="2948" t="s">
        <v>3153</v>
      </c>
      <c r="C311" s="2948">
        <v>4750</v>
      </c>
      <c r="D311" s="2948">
        <v>4710</v>
      </c>
      <c r="E311" s="2948">
        <v>5510</v>
      </c>
      <c r="F311" s="2948">
        <v>880</v>
      </c>
      <c r="G311" s="2961">
        <v>2840</v>
      </c>
    </row>
    <row r="312" spans="1:7" s="2782" customFormat="1" ht="14.25" customHeight="1">
      <c r="A312" s="2948" t="s">
        <v>306</v>
      </c>
      <c r="B312" s="2948" t="s">
        <v>3011</v>
      </c>
      <c r="C312" s="2948">
        <v>4690</v>
      </c>
      <c r="D312" s="2948">
        <v>4640</v>
      </c>
      <c r="E312" s="2948">
        <v>5420</v>
      </c>
      <c r="F312" s="2948">
        <v>800</v>
      </c>
      <c r="G312" s="2961">
        <v>2800</v>
      </c>
    </row>
    <row r="313" spans="1:7" s="2782" customFormat="1" ht="14.25" customHeight="1">
      <c r="A313" s="2948" t="s">
        <v>306</v>
      </c>
      <c r="B313" s="2948" t="s">
        <v>3016</v>
      </c>
      <c r="C313" s="2948">
        <v>4810</v>
      </c>
      <c r="D313" s="2948">
        <v>4760</v>
      </c>
      <c r="E313" s="2948">
        <v>5550</v>
      </c>
      <c r="F313" s="2948">
        <v>920</v>
      </c>
      <c r="G313" s="2961">
        <v>2870</v>
      </c>
    </row>
    <row r="314" spans="1:7" s="2782" customFormat="1" ht="14.25" customHeight="1">
      <c r="A314" s="2948" t="s">
        <v>306</v>
      </c>
      <c r="B314" s="2948" t="s">
        <v>3154</v>
      </c>
      <c r="C314" s="2948"/>
      <c r="D314" s="2948"/>
      <c r="E314" s="2948"/>
      <c r="F314" s="2948">
        <v>1020</v>
      </c>
      <c r="G314" s="2961"/>
    </row>
    <row r="315" spans="1:7" s="2782" customFormat="1" ht="14.25" customHeight="1">
      <c r="A315" s="2948" t="s">
        <v>306</v>
      </c>
      <c r="B315" s="2948" t="s">
        <v>3155</v>
      </c>
      <c r="C315" s="2948"/>
      <c r="D315" s="2948"/>
      <c r="E315" s="2948"/>
      <c r="F315" s="2948">
        <v>1050</v>
      </c>
      <c r="G315" s="2961"/>
    </row>
    <row r="316" spans="1:7" s="2782" customFormat="1" ht="14.25" customHeight="1">
      <c r="A316" s="2948" t="s">
        <v>306</v>
      </c>
      <c r="B316" s="2948" t="s">
        <v>3031</v>
      </c>
      <c r="C316" s="2948"/>
      <c r="D316" s="2948"/>
      <c r="E316" s="2948"/>
      <c r="F316" s="2948">
        <v>900</v>
      </c>
      <c r="G316" s="2961"/>
    </row>
    <row r="317" spans="1:7" s="2782" customFormat="1" ht="14.25" customHeight="1">
      <c r="A317" s="2948" t="s">
        <v>306</v>
      </c>
      <c r="B317" s="2948" t="s">
        <v>3156</v>
      </c>
      <c r="C317" s="2948"/>
      <c r="D317" s="2948"/>
      <c r="E317" s="2948"/>
      <c r="F317" s="2948">
        <v>920</v>
      </c>
      <c r="G317" s="2961"/>
    </row>
    <row r="318" spans="1:7" s="2782" customFormat="1" ht="14.25" customHeight="1">
      <c r="A318" s="2948" t="s">
        <v>306</v>
      </c>
      <c r="B318" s="2948" t="s">
        <v>3157</v>
      </c>
      <c r="C318" s="2948"/>
      <c r="D318" s="2948"/>
      <c r="E318" s="2948"/>
      <c r="F318" s="2948">
        <v>1080</v>
      </c>
      <c r="G318" s="2961"/>
    </row>
    <row r="319" spans="1:7" s="2782" customFormat="1" ht="14.25" customHeight="1">
      <c r="A319" s="2948" t="s">
        <v>306</v>
      </c>
      <c r="B319" s="2948" t="s">
        <v>3044</v>
      </c>
      <c r="C319" s="2948"/>
      <c r="D319" s="2948"/>
      <c r="E319" s="2948"/>
      <c r="F319" s="2948">
        <v>1020</v>
      </c>
      <c r="G319" s="2961"/>
    </row>
    <row r="320" spans="1:7" s="2782" customFormat="1" ht="14.25" customHeight="1">
      <c r="A320" s="2948" t="s">
        <v>306</v>
      </c>
      <c r="B320" s="2948" t="s">
        <v>3047</v>
      </c>
      <c r="C320" s="2948"/>
      <c r="D320" s="2948"/>
      <c r="E320" s="2948"/>
      <c r="F320" s="2948">
        <v>1050</v>
      </c>
      <c r="G320" s="2961"/>
    </row>
    <row r="321" spans="1:7" s="2782" customFormat="1" ht="14.25" customHeight="1">
      <c r="A321" s="2948" t="s">
        <v>306</v>
      </c>
      <c r="B321" s="2948" t="s">
        <v>3049</v>
      </c>
      <c r="C321" s="2948"/>
      <c r="D321" s="2948"/>
      <c r="E321" s="2948"/>
      <c r="F321" s="2948">
        <v>960</v>
      </c>
      <c r="G321" s="2961"/>
    </row>
    <row r="322" spans="1:7" s="2782" customFormat="1" ht="14.25" customHeight="1">
      <c r="A322" s="2948" t="s">
        <v>306</v>
      </c>
      <c r="B322" s="2948" t="s">
        <v>3051</v>
      </c>
      <c r="C322" s="2948"/>
      <c r="D322" s="2948"/>
      <c r="E322" s="2948"/>
      <c r="F322" s="2948">
        <v>960</v>
      </c>
      <c r="G322" s="2961"/>
    </row>
    <row r="323" spans="1:7" s="2782" customFormat="1" ht="14.25" customHeight="1">
      <c r="A323" s="2948" t="s">
        <v>306</v>
      </c>
      <c r="B323" s="2948" t="s">
        <v>3053</v>
      </c>
      <c r="C323" s="2948"/>
      <c r="D323" s="2948"/>
      <c r="E323" s="2948"/>
      <c r="F323" s="2948">
        <v>880</v>
      </c>
      <c r="G323" s="2961"/>
    </row>
    <row r="324" spans="1:7" s="2782" customFormat="1" ht="14.25" customHeight="1">
      <c r="A324" s="2948" t="s">
        <v>306</v>
      </c>
      <c r="B324" s="2948" t="s">
        <v>3055</v>
      </c>
      <c r="C324" s="2948"/>
      <c r="D324" s="2948"/>
      <c r="E324" s="2948"/>
      <c r="F324" s="2948">
        <v>930</v>
      </c>
      <c r="G324" s="2961"/>
    </row>
    <row r="325" spans="1:7" s="2782" customFormat="1" ht="14.25" customHeight="1">
      <c r="A325" s="2948" t="s">
        <v>306</v>
      </c>
      <c r="B325" s="2949" t="s">
        <v>3057</v>
      </c>
      <c r="C325" s="2948"/>
      <c r="D325" s="2948"/>
      <c r="E325" s="2948"/>
      <c r="F325" s="2948">
        <v>900</v>
      </c>
      <c r="G325" s="2961"/>
    </row>
    <row r="326" spans="1:7" s="2782" customFormat="1" ht="14.25" customHeight="1" thickBot="1">
      <c r="A326" s="2962" t="s">
        <v>306</v>
      </c>
      <c r="B326" s="2955" t="s">
        <v>3059</v>
      </c>
      <c r="C326" s="2955"/>
      <c r="D326" s="2955"/>
      <c r="E326" s="2955"/>
      <c r="F326" s="2955">
        <v>790</v>
      </c>
      <c r="G326" s="2963"/>
    </row>
    <row r="327" spans="1:7" s="2782" customFormat="1" ht="14.25" customHeight="1">
      <c r="A327" s="2953" t="s">
        <v>307</v>
      </c>
      <c r="B327" s="2944" t="s">
        <v>3158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3159</v>
      </c>
      <c r="C329" s="2948">
        <v>2730</v>
      </c>
      <c r="D329" s="2948">
        <v>2690</v>
      </c>
      <c r="E329" s="2948">
        <v>3100</v>
      </c>
      <c r="F329" s="2948">
        <v>660</v>
      </c>
      <c r="G329" s="2948">
        <v>1610</v>
      </c>
    </row>
    <row r="330" spans="1:7" s="2782" customFormat="1" ht="14.25" customHeight="1">
      <c r="A330" s="2948" t="s">
        <v>307</v>
      </c>
      <c r="B330" s="2948" t="s">
        <v>3160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2893</v>
      </c>
      <c r="C332" s="2948">
        <v>3520</v>
      </c>
      <c r="D332" s="2948">
        <v>3480</v>
      </c>
      <c r="E332" s="2948">
        <v>3830</v>
      </c>
      <c r="F332" s="2948">
        <v>720</v>
      </c>
      <c r="G332" s="2948">
        <v>2090</v>
      </c>
    </row>
    <row r="333" spans="1:7" s="2782" customFormat="1" ht="14.25" customHeight="1">
      <c r="A333" s="2948" t="s">
        <v>307</v>
      </c>
      <c r="B333" s="2948" t="s">
        <v>3161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2903</v>
      </c>
      <c r="C336" s="2948">
        <v>3570</v>
      </c>
      <c r="D336" s="2948">
        <v>3530</v>
      </c>
      <c r="E336" s="2948">
        <v>3880</v>
      </c>
      <c r="F336" s="2948">
        <v>770</v>
      </c>
      <c r="G336" s="2948">
        <v>2110</v>
      </c>
    </row>
    <row r="337" spans="1:10" s="2782" customFormat="1" ht="14.25" customHeight="1">
      <c r="A337" s="2948" t="s">
        <v>307</v>
      </c>
      <c r="B337" s="2948" t="s">
        <v>3162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2928</v>
      </c>
      <c r="C345" s="2948">
        <v>3190</v>
      </c>
      <c r="D345" s="2948">
        <v>3140</v>
      </c>
      <c r="E345" s="2948">
        <v>3450</v>
      </c>
      <c r="F345" s="2948">
        <v>720</v>
      </c>
      <c r="G345" s="2948">
        <v>1880</v>
      </c>
      <c r="J345" s="2782"/>
    </row>
    <row r="346" spans="1:10">
      <c r="A346" s="2948" t="s">
        <v>307</v>
      </c>
      <c r="B346" s="2948" t="s">
        <v>3165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2937</v>
      </c>
      <c r="C348" s="2948">
        <v>4000</v>
      </c>
      <c r="D348" s="2948">
        <v>3950</v>
      </c>
      <c r="E348" s="2948">
        <v>4430</v>
      </c>
      <c r="F348" s="2948">
        <v>760</v>
      </c>
      <c r="G348" s="2948">
        <v>2360</v>
      </c>
      <c r="J348" s="2782"/>
    </row>
    <row r="349" spans="1:10">
      <c r="A349" s="2948" t="s">
        <v>307</v>
      </c>
      <c r="B349" s="2948" t="s">
        <v>2942</v>
      </c>
      <c r="C349" s="2948">
        <v>3820</v>
      </c>
      <c r="D349" s="2948">
        <v>3780</v>
      </c>
      <c r="E349" s="2948">
        <v>4170</v>
      </c>
      <c r="F349" s="2948">
        <v>710</v>
      </c>
      <c r="G349" s="2948">
        <v>2260</v>
      </c>
      <c r="J349" s="2782"/>
    </row>
    <row r="350" spans="1:10">
      <c r="A350" s="2948" t="s">
        <v>307</v>
      </c>
      <c r="B350" s="2948" t="s">
        <v>3166</v>
      </c>
      <c r="C350" s="2948">
        <v>3760</v>
      </c>
      <c r="D350" s="2948">
        <v>3730</v>
      </c>
      <c r="E350" s="2948">
        <v>4100</v>
      </c>
      <c r="F350" s="2948">
        <v>800</v>
      </c>
      <c r="G350" s="2948">
        <v>2230</v>
      </c>
      <c r="J350" s="2782"/>
    </row>
    <row r="351" spans="1:10">
      <c r="A351" s="2948" t="s">
        <v>307</v>
      </c>
      <c r="B351" s="2948" t="s">
        <v>2950</v>
      </c>
      <c r="C351" s="2948">
        <v>3610</v>
      </c>
      <c r="D351" s="2948">
        <v>3580</v>
      </c>
      <c r="E351" s="2948">
        <v>3930</v>
      </c>
      <c r="F351" s="2948">
        <v>700</v>
      </c>
      <c r="G351" s="2948">
        <v>2140</v>
      </c>
      <c r="J351" s="2782"/>
    </row>
    <row r="352" spans="1:10">
      <c r="A352" s="2948" t="s">
        <v>307</v>
      </c>
      <c r="B352" s="2948" t="s">
        <v>2955</v>
      </c>
      <c r="C352" s="2948">
        <v>3670</v>
      </c>
      <c r="D352" s="2948">
        <v>3630</v>
      </c>
      <c r="E352" s="2948">
        <v>4000</v>
      </c>
      <c r="F352" s="2948">
        <v>750</v>
      </c>
      <c r="G352" s="2948">
        <v>2180</v>
      </c>
    </row>
    <row r="353" spans="1:7" s="2783" customFormat="1">
      <c r="A353" s="2948" t="s">
        <v>307</v>
      </c>
      <c r="B353" s="2948" t="s">
        <v>3167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2975</v>
      </c>
      <c r="C355" s="2948">
        <v>3650</v>
      </c>
      <c r="D355" s="2948">
        <v>3610</v>
      </c>
      <c r="E355" s="2948">
        <v>4200</v>
      </c>
      <c r="F355" s="2948">
        <v>640</v>
      </c>
      <c r="G355" s="2948">
        <v>2160</v>
      </c>
    </row>
    <row r="356" spans="1:7" s="2783" customFormat="1">
      <c r="A356" s="2948" t="s">
        <v>307</v>
      </c>
      <c r="B356" s="2948" t="s">
        <v>2982</v>
      </c>
      <c r="C356" s="2948">
        <v>3260</v>
      </c>
      <c r="D356" s="2948">
        <v>3230</v>
      </c>
      <c r="E356" s="2948">
        <v>3740</v>
      </c>
      <c r="F356" s="2948">
        <v>600</v>
      </c>
      <c r="G356" s="2948">
        <v>1930</v>
      </c>
    </row>
    <row r="357" spans="1:7" s="2783" customFormat="1" ht="12" thickBot="1">
      <c r="A357" s="2956" t="s">
        <v>307</v>
      </c>
      <c r="B357" s="2959" t="s">
        <v>3168</v>
      </c>
      <c r="C357" s="2959">
        <v>3690</v>
      </c>
      <c r="D357" s="2959">
        <v>3650</v>
      </c>
      <c r="E357" s="2959">
        <v>4020</v>
      </c>
      <c r="F357" s="2959">
        <v>700</v>
      </c>
      <c r="G357" s="2959">
        <v>2190</v>
      </c>
    </row>
    <row r="358" spans="1:7" s="2783" customFormat="1">
      <c r="A358" s="2953" t="s">
        <v>3169</v>
      </c>
      <c r="B358" s="2944" t="s">
        <v>3170</v>
      </c>
      <c r="C358" s="2944">
        <v>2080</v>
      </c>
      <c r="D358" s="2944">
        <v>2040</v>
      </c>
      <c r="E358" s="2944">
        <v>2010</v>
      </c>
      <c r="F358" s="2944">
        <v>530</v>
      </c>
      <c r="G358" s="2960">
        <v>1230</v>
      </c>
    </row>
    <row r="359" spans="1:7" s="2783" customFormat="1">
      <c r="A359" s="2948" t="s">
        <v>3169</v>
      </c>
      <c r="B359" s="2948" t="s">
        <v>3171</v>
      </c>
      <c r="C359" s="2948">
        <v>1850</v>
      </c>
      <c r="D359" s="2948">
        <v>1820</v>
      </c>
      <c r="E359" s="2948">
        <v>1780</v>
      </c>
      <c r="F359" s="2948">
        <v>520</v>
      </c>
      <c r="G359" s="2961">
        <v>1100</v>
      </c>
    </row>
    <row r="360" spans="1:7" s="2783" customFormat="1">
      <c r="A360" s="2948" t="s">
        <v>3169</v>
      </c>
      <c r="B360" s="2948" t="s">
        <v>3172</v>
      </c>
      <c r="C360" s="2948">
        <v>2020</v>
      </c>
      <c r="D360" s="2948">
        <v>1990</v>
      </c>
      <c r="E360" s="2948">
        <v>1950</v>
      </c>
      <c r="F360" s="2948">
        <v>500</v>
      </c>
      <c r="G360" s="2961">
        <v>1200</v>
      </c>
    </row>
    <row r="361" spans="1:7" s="2783" customFormat="1">
      <c r="A361" s="2948" t="s">
        <v>3169</v>
      </c>
      <c r="B361" s="2948" t="s">
        <v>153</v>
      </c>
      <c r="C361" s="2948">
        <v>2260</v>
      </c>
      <c r="D361" s="2948">
        <v>2220</v>
      </c>
      <c r="E361" s="2948">
        <v>2180</v>
      </c>
      <c r="F361" s="2948">
        <v>580</v>
      </c>
      <c r="G361" s="2961">
        <v>1340</v>
      </c>
    </row>
    <row r="362" spans="1:7" s="2783" customFormat="1">
      <c r="A362" s="2948" t="s">
        <v>3169</v>
      </c>
      <c r="B362" s="2948" t="s">
        <v>3173</v>
      </c>
      <c r="C362" s="2948">
        <v>2650</v>
      </c>
      <c r="D362" s="2948">
        <v>2610</v>
      </c>
      <c r="E362" s="2948">
        <v>2570</v>
      </c>
      <c r="F362" s="2948">
        <v>630</v>
      </c>
      <c r="G362" s="2961">
        <v>1570</v>
      </c>
    </row>
    <row r="363" spans="1:7" s="2783" customFormat="1">
      <c r="A363" s="2948" t="s">
        <v>3169</v>
      </c>
      <c r="B363" s="2948" t="s">
        <v>2894</v>
      </c>
      <c r="C363" s="2948">
        <v>2390</v>
      </c>
      <c r="D363" s="2948">
        <v>2360</v>
      </c>
      <c r="E363" s="2948">
        <v>2320</v>
      </c>
      <c r="F363" s="2948">
        <v>600</v>
      </c>
      <c r="G363" s="2961">
        <v>1420</v>
      </c>
    </row>
    <row r="364" spans="1:7" s="2783" customFormat="1">
      <c r="A364" s="2948" t="s">
        <v>3169</v>
      </c>
      <c r="B364" s="2948" t="s">
        <v>3174</v>
      </c>
      <c r="C364" s="2948">
        <v>2050</v>
      </c>
      <c r="D364" s="2948">
        <v>2030</v>
      </c>
      <c r="E364" s="2948">
        <v>1990</v>
      </c>
      <c r="F364" s="2948">
        <v>550</v>
      </c>
      <c r="G364" s="2961">
        <v>1220</v>
      </c>
    </row>
    <row r="365" spans="1:7" s="2783" customFormat="1">
      <c r="A365" s="2948" t="s">
        <v>3169</v>
      </c>
      <c r="B365" s="2948" t="s">
        <v>200</v>
      </c>
      <c r="C365" s="2948">
        <v>2140</v>
      </c>
      <c r="D365" s="2948">
        <v>2100</v>
      </c>
      <c r="E365" s="2948">
        <v>2060</v>
      </c>
      <c r="F365" s="2948">
        <v>540</v>
      </c>
      <c r="G365" s="2961">
        <v>1270</v>
      </c>
    </row>
    <row r="366" spans="1:7" s="2783" customFormat="1">
      <c r="A366" s="2948" t="s">
        <v>3169</v>
      </c>
      <c r="B366" s="2948" t="s">
        <v>2901</v>
      </c>
      <c r="C366" s="2948">
        <v>2410</v>
      </c>
      <c r="D366" s="2948">
        <v>2370</v>
      </c>
      <c r="E366" s="2948">
        <v>2330</v>
      </c>
      <c r="F366" s="2948">
        <v>570</v>
      </c>
      <c r="G366" s="2961">
        <v>1440</v>
      </c>
    </row>
    <row r="367" spans="1:7" s="2783" customFormat="1">
      <c r="A367" s="2948" t="s">
        <v>3169</v>
      </c>
      <c r="B367" s="2948" t="s">
        <v>3175</v>
      </c>
      <c r="C367" s="2948">
        <v>2300</v>
      </c>
      <c r="D367" s="2948">
        <v>2260</v>
      </c>
      <c r="E367" s="2948">
        <v>2220</v>
      </c>
      <c r="F367" s="2948">
        <v>560</v>
      </c>
      <c r="G367" s="2961">
        <v>1370</v>
      </c>
    </row>
    <row r="368" spans="1:7" s="2783" customFormat="1">
      <c r="A368" s="2948" t="s">
        <v>3169</v>
      </c>
      <c r="B368" s="2948" t="s">
        <v>3176</v>
      </c>
      <c r="C368" s="2948">
        <v>2430</v>
      </c>
      <c r="D368" s="2948">
        <v>2390</v>
      </c>
      <c r="E368" s="2948">
        <v>2350</v>
      </c>
      <c r="F368" s="2948">
        <v>570</v>
      </c>
      <c r="G368" s="2961">
        <v>1450</v>
      </c>
    </row>
    <row r="369" spans="1:7" s="2783" customFormat="1">
      <c r="A369" s="2948" t="s">
        <v>3169</v>
      </c>
      <c r="B369" s="2948" t="s">
        <v>214</v>
      </c>
      <c r="C369" s="2948">
        <v>2320</v>
      </c>
      <c r="D369" s="2948">
        <v>2290</v>
      </c>
      <c r="E369" s="2948">
        <v>2250</v>
      </c>
      <c r="F369" s="2948">
        <v>550</v>
      </c>
      <c r="G369" s="2961">
        <v>1380</v>
      </c>
    </row>
    <row r="370" spans="1:7" s="2783" customFormat="1">
      <c r="A370" s="2948" t="s">
        <v>3169</v>
      </c>
      <c r="B370" s="2948" t="s">
        <v>221</v>
      </c>
      <c r="C370" s="2948">
        <v>2190</v>
      </c>
      <c r="D370" s="2948">
        <v>2170</v>
      </c>
      <c r="E370" s="2948">
        <v>2130</v>
      </c>
      <c r="F370" s="2948">
        <v>530</v>
      </c>
      <c r="G370" s="2961">
        <v>1310</v>
      </c>
    </row>
    <row r="371" spans="1:7" s="2783" customFormat="1">
      <c r="A371" s="2948" t="s">
        <v>3169</v>
      </c>
      <c r="B371" s="2948" t="s">
        <v>229</v>
      </c>
      <c r="C371" s="2948">
        <v>2460</v>
      </c>
      <c r="D371" s="2948">
        <v>2420</v>
      </c>
      <c r="E371" s="2948">
        <v>2370</v>
      </c>
      <c r="F371" s="2948">
        <v>560</v>
      </c>
      <c r="G371" s="2961">
        <v>1470</v>
      </c>
    </row>
    <row r="372" spans="1:7" s="2783" customFormat="1">
      <c r="A372" s="2948" t="s">
        <v>3169</v>
      </c>
      <c r="B372" s="2948" t="s">
        <v>3177</v>
      </c>
      <c r="C372" s="2948">
        <v>2250</v>
      </c>
      <c r="D372" s="2948">
        <v>2210</v>
      </c>
      <c r="E372" s="2948">
        <v>2180</v>
      </c>
      <c r="F372" s="2948">
        <v>550</v>
      </c>
      <c r="G372" s="2961">
        <v>1340</v>
      </c>
    </row>
    <row r="373" spans="1:7" s="2783" customFormat="1">
      <c r="A373" s="2948" t="s">
        <v>3169</v>
      </c>
      <c r="B373" s="2948" t="s">
        <v>258</v>
      </c>
      <c r="C373" s="2948">
        <v>2210</v>
      </c>
      <c r="D373" s="2948">
        <v>2190</v>
      </c>
      <c r="E373" s="2948">
        <v>2150</v>
      </c>
      <c r="F373" s="2948">
        <v>530</v>
      </c>
      <c r="G373" s="2961">
        <v>1320</v>
      </c>
    </row>
    <row r="374" spans="1:7" s="2783" customFormat="1">
      <c r="A374" s="2948" t="s">
        <v>3169</v>
      </c>
      <c r="B374" s="2948" t="s">
        <v>266</v>
      </c>
      <c r="C374" s="2948">
        <v>2320</v>
      </c>
      <c r="D374" s="2948">
        <v>2280</v>
      </c>
      <c r="E374" s="2948">
        <v>2230</v>
      </c>
      <c r="F374" s="2948">
        <v>580</v>
      </c>
      <c r="G374" s="2961">
        <v>1380</v>
      </c>
    </row>
    <row r="375" spans="1:7" s="2783" customFormat="1">
      <c r="A375" s="2948" t="s">
        <v>3169</v>
      </c>
      <c r="B375" s="2948" t="s">
        <v>3178</v>
      </c>
      <c r="C375" s="2948">
        <v>2090</v>
      </c>
      <c r="D375" s="2948">
        <v>2050</v>
      </c>
      <c r="E375" s="2948">
        <v>2020</v>
      </c>
      <c r="F375" s="2948">
        <v>520</v>
      </c>
      <c r="G375" s="2961">
        <v>1240</v>
      </c>
    </row>
    <row r="376" spans="1:7" s="2783" customFormat="1">
      <c r="A376" s="2948" t="s">
        <v>3169</v>
      </c>
      <c r="B376" s="2948" t="s">
        <v>277</v>
      </c>
      <c r="C376" s="2948">
        <v>2010</v>
      </c>
      <c r="D376" s="2948">
        <v>1980</v>
      </c>
      <c r="E376" s="2948">
        <v>1940</v>
      </c>
      <c r="F376" s="2948">
        <v>540</v>
      </c>
      <c r="G376" s="2961">
        <v>1190</v>
      </c>
    </row>
    <row r="377" spans="1:7" s="2783" customFormat="1" ht="12" thickBot="1">
      <c r="A377" s="2956" t="s">
        <v>3169</v>
      </c>
      <c r="B377" s="2959" t="s">
        <v>2931</v>
      </c>
      <c r="C377" s="2959">
        <v>1930</v>
      </c>
      <c r="D377" s="2959">
        <v>1890</v>
      </c>
      <c r="E377" s="2959">
        <v>1860</v>
      </c>
      <c r="F377" s="2959">
        <v>530</v>
      </c>
      <c r="G377" s="2964">
        <v>1150</v>
      </c>
    </row>
    <row r="378" spans="1:7" s="2783" customFormat="1">
      <c r="A378" s="2965" t="s">
        <v>3179</v>
      </c>
      <c r="B378" s="2944" t="s">
        <v>3180</v>
      </c>
      <c r="C378" s="2944">
        <v>1520</v>
      </c>
      <c r="D378" s="2944">
        <v>1490</v>
      </c>
      <c r="E378" s="2944">
        <v>1460</v>
      </c>
      <c r="F378" s="2944">
        <v>460</v>
      </c>
      <c r="G378" s="2960">
        <v>940</v>
      </c>
    </row>
    <row r="379" spans="1:7" s="2783" customFormat="1">
      <c r="A379" s="2966" t="s">
        <v>3179</v>
      </c>
      <c r="B379" s="2948" t="s">
        <v>3181</v>
      </c>
      <c r="C379" s="2948">
        <v>1500</v>
      </c>
      <c r="D379" s="2948">
        <v>1470</v>
      </c>
      <c r="E379" s="2948">
        <v>1430</v>
      </c>
      <c r="F379" s="2948">
        <v>460</v>
      </c>
      <c r="G379" s="2961">
        <v>920</v>
      </c>
    </row>
    <row r="380" spans="1:7" s="2783" customFormat="1">
      <c r="A380" s="2966" t="s">
        <v>3179</v>
      </c>
      <c r="B380" s="2948" t="s">
        <v>3182</v>
      </c>
      <c r="C380" s="2948">
        <v>1620</v>
      </c>
      <c r="D380" s="2948">
        <v>1590</v>
      </c>
      <c r="E380" s="2948">
        <v>1560</v>
      </c>
      <c r="F380" s="2948">
        <v>480</v>
      </c>
      <c r="G380" s="2961">
        <v>1000</v>
      </c>
    </row>
    <row r="381" spans="1:7" s="2783" customFormat="1">
      <c r="A381" s="2966" t="s">
        <v>3179</v>
      </c>
      <c r="B381" s="2948" t="s">
        <v>3183</v>
      </c>
      <c r="C381" s="2948">
        <v>1460</v>
      </c>
      <c r="D381" s="2948">
        <v>1430</v>
      </c>
      <c r="E381" s="2948">
        <v>1390</v>
      </c>
      <c r="F381" s="2948">
        <v>450</v>
      </c>
      <c r="G381" s="2961">
        <v>900</v>
      </c>
    </row>
    <row r="382" spans="1:7" s="2783" customFormat="1">
      <c r="A382" s="2966" t="s">
        <v>3179</v>
      </c>
      <c r="B382" s="2948" t="s">
        <v>3184</v>
      </c>
      <c r="C382" s="2948">
        <v>1310</v>
      </c>
      <c r="D382" s="2948">
        <v>1280</v>
      </c>
      <c r="E382" s="2948">
        <v>1250</v>
      </c>
      <c r="F382" s="2948">
        <v>440</v>
      </c>
      <c r="G382" s="2961">
        <v>800</v>
      </c>
    </row>
    <row r="383" spans="1:7" s="2783" customFormat="1">
      <c r="A383" s="2966" t="s">
        <v>3179</v>
      </c>
      <c r="B383" s="2948" t="s">
        <v>3185</v>
      </c>
      <c r="C383" s="2948">
        <v>1260</v>
      </c>
      <c r="D383" s="2948">
        <v>1230</v>
      </c>
      <c r="E383" s="2948">
        <v>1200</v>
      </c>
      <c r="F383" s="2948">
        <v>420</v>
      </c>
      <c r="G383" s="2961">
        <v>770</v>
      </c>
    </row>
    <row r="384" spans="1:7" s="2783" customFormat="1" ht="12" thickBot="1">
      <c r="A384" s="2967" t="s">
        <v>3179</v>
      </c>
      <c r="B384" s="2955" t="s">
        <v>3186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4" t="s">
        <v>3187</v>
      </c>
      <c r="B1" s="3484"/>
    </row>
    <row r="2" spans="1:7" ht="14.25" thickBot="1">
      <c r="A2" s="2969"/>
      <c r="B2" s="2969"/>
    </row>
    <row r="3" spans="1:7" ht="14.25" thickBot="1">
      <c r="A3" s="2969"/>
      <c r="B3" s="2969"/>
      <c r="C3" s="2970" t="s">
        <v>2815</v>
      </c>
      <c r="D3" s="2970" t="s">
        <v>2873</v>
      </c>
      <c r="E3" s="2970" t="s">
        <v>2817</v>
      </c>
      <c r="F3" s="2970" t="s">
        <v>2874</v>
      </c>
      <c r="G3" s="2970" t="s">
        <v>2635</v>
      </c>
    </row>
    <row r="4" spans="1:7" ht="14.25" thickBot="1">
      <c r="A4" s="2971" t="s">
        <v>2872</v>
      </c>
      <c r="B4" s="2972" t="s">
        <v>2878</v>
      </c>
      <c r="C4" s="2970"/>
      <c r="D4" s="2970"/>
      <c r="E4" s="2970"/>
      <c r="F4" s="2970"/>
      <c r="G4" s="2970"/>
    </row>
    <row r="5" spans="1:7">
      <c r="A5" s="2973" t="s">
        <v>2846</v>
      </c>
      <c r="B5" s="2974" t="s">
        <v>2860</v>
      </c>
      <c r="C5" s="2975">
        <v>9.8000000000000004E-2</v>
      </c>
      <c r="D5" s="2975">
        <v>8.6999999999999994E-2</v>
      </c>
      <c r="E5" s="2975">
        <v>8.6999999999999994E-2</v>
      </c>
      <c r="F5" s="2975">
        <v>9.8000000000000004E-2</v>
      </c>
      <c r="G5" s="2976">
        <v>9.5000000000000001E-2</v>
      </c>
    </row>
    <row r="6" spans="1:7">
      <c r="A6" s="2977" t="s">
        <v>144</v>
      </c>
      <c r="B6" s="2978" t="s">
        <v>2875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2929</v>
      </c>
      <c r="C29" s="2987"/>
      <c r="D29" s="2983">
        <v>5.1999999999999998E-2</v>
      </c>
      <c r="E29" s="2983">
        <v>7.0000000000000007E-2</v>
      </c>
      <c r="F29" s="2987"/>
      <c r="G29" s="2985">
        <v>7.0999999999999994E-2</v>
      </c>
    </row>
    <row r="30" spans="1:7">
      <c r="A30" s="2988" t="s">
        <v>296</v>
      </c>
      <c r="B30" s="2974" t="s">
        <v>2862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2932</v>
      </c>
      <c r="C50" s="2979">
        <v>9.8000000000000004E-2</v>
      </c>
      <c r="D50" s="2979">
        <v>7.2999999999999995E-2</v>
      </c>
      <c r="E50" s="2979">
        <v>7.0999999999999994E-2</v>
      </c>
      <c r="F50" s="2990"/>
      <c r="G50" s="2980">
        <v>7.2999999999999995E-2</v>
      </c>
    </row>
    <row r="51" spans="1:7">
      <c r="A51" s="2989" t="s">
        <v>296</v>
      </c>
      <c r="B51" s="2978" t="s">
        <v>2934</v>
      </c>
      <c r="C51" s="2979">
        <v>9.9000000000000005E-2</v>
      </c>
      <c r="D51" s="2979">
        <v>8.5000000000000006E-2</v>
      </c>
      <c r="E51" s="2979">
        <v>6.3E-2</v>
      </c>
      <c r="F51" s="2990"/>
      <c r="G51" s="2980">
        <v>9.6000000000000002E-2</v>
      </c>
    </row>
    <row r="52" spans="1:7">
      <c r="A52" s="2989" t="s">
        <v>296</v>
      </c>
      <c r="B52" s="2978" t="s">
        <v>2938</v>
      </c>
      <c r="C52" s="2979">
        <v>7.3999999999999996E-2</v>
      </c>
      <c r="D52" s="2979">
        <v>9.6000000000000002E-2</v>
      </c>
      <c r="E52" s="2979">
        <v>0.05</v>
      </c>
      <c r="F52" s="2990"/>
      <c r="G52" s="2980">
        <v>9.8000000000000004E-2</v>
      </c>
    </row>
    <row r="53" spans="1:7">
      <c r="A53" s="2989" t="s">
        <v>296</v>
      </c>
      <c r="B53" s="2978" t="s">
        <v>2943</v>
      </c>
      <c r="C53" s="2979">
        <v>8.5999999999999993E-2</v>
      </c>
      <c r="D53" s="2990"/>
      <c r="E53" s="2979">
        <v>9.1999999999999998E-2</v>
      </c>
      <c r="F53" s="2990"/>
      <c r="G53" s="2991"/>
    </row>
    <row r="54" spans="1:7" ht="14.25" thickBot="1">
      <c r="A54" s="2992" t="s">
        <v>296</v>
      </c>
      <c r="B54" s="2982" t="s">
        <v>2946</v>
      </c>
      <c r="C54" s="2983">
        <v>9.6000000000000002E-2</v>
      </c>
      <c r="D54" s="2984"/>
      <c r="E54" s="2993"/>
      <c r="F54" s="2984"/>
      <c r="G54" s="2994"/>
    </row>
    <row r="55" spans="1:7">
      <c r="A55" s="2988" t="s">
        <v>110</v>
      </c>
      <c r="B55" s="2974" t="s">
        <v>2863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2944</v>
      </c>
      <c r="C78" s="2979">
        <v>0.1</v>
      </c>
      <c r="D78" s="2979">
        <v>8.5000000000000006E-2</v>
      </c>
      <c r="E78" s="2979">
        <v>9.6000000000000002E-2</v>
      </c>
      <c r="F78" s="2990"/>
      <c r="G78" s="2980">
        <v>9.6000000000000002E-2</v>
      </c>
    </row>
    <row r="79" spans="1:7">
      <c r="A79" s="2989" t="s">
        <v>110</v>
      </c>
      <c r="B79" s="2978" t="s">
        <v>2947</v>
      </c>
      <c r="C79" s="2979">
        <v>0.05</v>
      </c>
      <c r="D79" s="2979">
        <v>9.6000000000000002E-2</v>
      </c>
      <c r="E79" s="2979">
        <v>9.5000000000000001E-2</v>
      </c>
      <c r="F79" s="2990"/>
      <c r="G79" s="2980">
        <v>9.8000000000000004E-2</v>
      </c>
    </row>
    <row r="80" spans="1:7">
      <c r="A80" s="2989" t="s">
        <v>110</v>
      </c>
      <c r="B80" s="2978" t="s">
        <v>2951</v>
      </c>
      <c r="C80" s="2979">
        <v>8.5999999999999993E-2</v>
      </c>
      <c r="D80" s="2995"/>
      <c r="E80" s="2979">
        <v>0.1</v>
      </c>
      <c r="F80" s="2990"/>
      <c r="G80" s="2991"/>
    </row>
    <row r="81" spans="1:7">
      <c r="A81" s="2989" t="s">
        <v>110</v>
      </c>
      <c r="B81" s="2978" t="s">
        <v>2956</v>
      </c>
      <c r="C81" s="2979">
        <v>9.6000000000000002E-2</v>
      </c>
      <c r="D81" s="2990"/>
      <c r="E81" s="2979">
        <v>9.8000000000000004E-2</v>
      </c>
      <c r="F81" s="2990"/>
      <c r="G81" s="2991"/>
    </row>
    <row r="82" spans="1:7">
      <c r="A82" s="2989" t="s">
        <v>110</v>
      </c>
      <c r="B82" s="2978" t="s">
        <v>2963</v>
      </c>
      <c r="C82" s="2995"/>
      <c r="D82" s="2990"/>
      <c r="E82" s="2979">
        <v>7.6999999999999999E-2</v>
      </c>
      <c r="F82" s="2990"/>
      <c r="G82" s="2991"/>
    </row>
    <row r="83" spans="1:7">
      <c r="A83" s="2989" t="s">
        <v>110</v>
      </c>
      <c r="B83" s="2978" t="s">
        <v>2969</v>
      </c>
      <c r="C83" s="2990"/>
      <c r="D83" s="2990"/>
      <c r="E83" s="2990"/>
      <c r="F83" s="2979">
        <v>0.1</v>
      </c>
      <c r="G83" s="2996"/>
    </row>
    <row r="84" spans="1:7">
      <c r="A84" s="2989" t="s">
        <v>110</v>
      </c>
      <c r="B84" s="2978" t="s">
        <v>2976</v>
      </c>
      <c r="C84" s="2990"/>
      <c r="D84" s="2990"/>
      <c r="E84" s="2990"/>
      <c r="F84" s="2979">
        <v>0.1</v>
      </c>
      <c r="G84" s="2996"/>
    </row>
    <row r="85" spans="1:7">
      <c r="A85" s="2989" t="s">
        <v>110</v>
      </c>
      <c r="B85" s="2978" t="s">
        <v>2983</v>
      </c>
      <c r="C85" s="2990"/>
      <c r="D85" s="2990"/>
      <c r="E85" s="2990"/>
      <c r="F85" s="2979">
        <v>0.1</v>
      </c>
      <c r="G85" s="2996"/>
    </row>
    <row r="86" spans="1:7" ht="14.25" thickBot="1">
      <c r="A86" s="2992" t="s">
        <v>110</v>
      </c>
      <c r="B86" s="2982" t="s">
        <v>2988</v>
      </c>
      <c r="C86" s="2983">
        <v>9.8000000000000004E-2</v>
      </c>
      <c r="D86" s="2983">
        <v>9.8000000000000004E-2</v>
      </c>
      <c r="E86" s="2983">
        <v>9.6000000000000002E-2</v>
      </c>
      <c r="F86" s="2993"/>
      <c r="G86" s="2985">
        <v>0.1</v>
      </c>
    </row>
    <row r="87" spans="1:7">
      <c r="A87" s="2988" t="s">
        <v>303</v>
      </c>
      <c r="B87" s="2974" t="s">
        <v>2864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2957</v>
      </c>
      <c r="C113" s="2979">
        <v>0.1</v>
      </c>
      <c r="D113" s="2979">
        <v>0.1</v>
      </c>
      <c r="E113" s="2990"/>
      <c r="F113" s="2990"/>
      <c r="G113" s="2980">
        <v>0.1</v>
      </c>
    </row>
    <row r="114" spans="1:7">
      <c r="A114" s="2989" t="s">
        <v>303</v>
      </c>
      <c r="B114" s="2978" t="s">
        <v>2964</v>
      </c>
      <c r="C114" s="2979">
        <v>9.7000000000000003E-2</v>
      </c>
      <c r="D114" s="2979">
        <v>9.7000000000000003E-2</v>
      </c>
      <c r="E114" s="2990"/>
      <c r="F114" s="2990"/>
      <c r="G114" s="2980">
        <v>9.9000000000000005E-2</v>
      </c>
    </row>
    <row r="115" spans="1:7">
      <c r="A115" s="2989" t="s">
        <v>303</v>
      </c>
      <c r="B115" s="2978" t="s">
        <v>2970</v>
      </c>
      <c r="C115" s="2979">
        <v>0.1</v>
      </c>
      <c r="D115" s="2979">
        <v>0.1</v>
      </c>
      <c r="E115" s="2990"/>
      <c r="F115" s="2990"/>
      <c r="G115" s="2980">
        <v>0.1</v>
      </c>
    </row>
    <row r="116" spans="1:7">
      <c r="A116" s="2989" t="s">
        <v>303</v>
      </c>
      <c r="B116" s="2978" t="s">
        <v>2977</v>
      </c>
      <c r="C116" s="2979">
        <v>0.1</v>
      </c>
      <c r="D116" s="2979">
        <v>0.1</v>
      </c>
      <c r="E116" s="2990"/>
      <c r="F116" s="2990"/>
      <c r="G116" s="2980">
        <v>0.1</v>
      </c>
    </row>
    <row r="117" spans="1:7">
      <c r="A117" s="2989" t="s">
        <v>303</v>
      </c>
      <c r="B117" s="2978" t="s">
        <v>2984</v>
      </c>
      <c r="C117" s="2979">
        <v>9.7000000000000003E-2</v>
      </c>
      <c r="D117" s="2979">
        <v>9.7000000000000003E-2</v>
      </c>
      <c r="E117" s="2990"/>
      <c r="F117" s="2990"/>
      <c r="G117" s="2980">
        <v>9.7000000000000003E-2</v>
      </c>
    </row>
    <row r="118" spans="1:7">
      <c r="A118" s="2989" t="s">
        <v>303</v>
      </c>
      <c r="B118" s="2978" t="s">
        <v>2989</v>
      </c>
      <c r="C118" s="2979">
        <v>0.1</v>
      </c>
      <c r="D118" s="2979">
        <v>0.1</v>
      </c>
      <c r="E118" s="2990"/>
      <c r="F118" s="2990"/>
      <c r="G118" s="2980">
        <v>0.1</v>
      </c>
    </row>
    <row r="119" spans="1:7">
      <c r="A119" s="2989" t="s">
        <v>303</v>
      </c>
      <c r="B119" s="2978" t="s">
        <v>2993</v>
      </c>
      <c r="C119" s="2979">
        <v>5.0999999999999997E-2</v>
      </c>
      <c r="D119" s="2979">
        <v>5.1999999999999998E-2</v>
      </c>
      <c r="E119" s="2990"/>
      <c r="F119" s="2995"/>
      <c r="G119" s="2980">
        <v>0.06</v>
      </c>
    </row>
    <row r="120" spans="1:7">
      <c r="A120" s="2989" t="s">
        <v>303</v>
      </c>
      <c r="B120" s="2978" t="s">
        <v>2997</v>
      </c>
      <c r="C120" s="2990"/>
      <c r="D120" s="2990"/>
      <c r="E120" s="2990"/>
      <c r="F120" s="2979">
        <v>0.1</v>
      </c>
      <c r="G120" s="2996"/>
    </row>
    <row r="121" spans="1:7">
      <c r="A121" s="2989" t="s">
        <v>303</v>
      </c>
      <c r="B121" s="2978" t="s">
        <v>3002</v>
      </c>
      <c r="C121" s="2990"/>
      <c r="D121" s="2990"/>
      <c r="E121" s="2990"/>
      <c r="F121" s="2979">
        <v>0.1</v>
      </c>
      <c r="G121" s="2996"/>
    </row>
    <row r="122" spans="1:7">
      <c r="A122" s="2989" t="s">
        <v>303</v>
      </c>
      <c r="B122" s="2978" t="s">
        <v>3007</v>
      </c>
      <c r="C122" s="2979">
        <v>0.1</v>
      </c>
      <c r="D122" s="2979">
        <v>0.1</v>
      </c>
      <c r="E122" s="2979">
        <v>9.8000000000000004E-2</v>
      </c>
      <c r="F122" s="2979">
        <v>0.1</v>
      </c>
      <c r="G122" s="2980">
        <v>0.1</v>
      </c>
    </row>
    <row r="123" spans="1:7">
      <c r="A123" s="2989" t="s">
        <v>303</v>
      </c>
      <c r="B123" s="2978" t="s">
        <v>3012</v>
      </c>
      <c r="C123" s="2979">
        <v>0.1</v>
      </c>
      <c r="D123" s="2979">
        <v>0.1</v>
      </c>
      <c r="E123" s="2979">
        <v>9.8000000000000004E-2</v>
      </c>
      <c r="F123" s="2979">
        <v>0.1</v>
      </c>
      <c r="G123" s="2980">
        <v>0.1</v>
      </c>
    </row>
    <row r="124" spans="1:7">
      <c r="A124" s="2989" t="s">
        <v>303</v>
      </c>
      <c r="B124" s="2978" t="s">
        <v>3017</v>
      </c>
      <c r="C124" s="2979">
        <v>0.1</v>
      </c>
      <c r="D124" s="2979">
        <v>0.1</v>
      </c>
      <c r="E124" s="2979">
        <v>9.8000000000000004E-2</v>
      </c>
      <c r="F124" s="2995"/>
      <c r="G124" s="2980">
        <v>0.1</v>
      </c>
    </row>
    <row r="125" spans="1:7">
      <c r="A125" s="2989" t="s">
        <v>303</v>
      </c>
      <c r="B125" s="2978" t="s">
        <v>3022</v>
      </c>
      <c r="C125" s="2979">
        <v>9.8000000000000004E-2</v>
      </c>
      <c r="D125" s="2979">
        <v>9.8000000000000004E-2</v>
      </c>
      <c r="E125" s="2979">
        <v>9.6000000000000002E-2</v>
      </c>
      <c r="F125" s="2995"/>
      <c r="G125" s="2980">
        <v>0.1</v>
      </c>
    </row>
    <row r="126" spans="1:7" ht="14.25" thickBot="1">
      <c r="A126" s="2992" t="s">
        <v>303</v>
      </c>
      <c r="B126" s="2982" t="s">
        <v>3188</v>
      </c>
      <c r="C126" s="2983">
        <v>0.1</v>
      </c>
      <c r="D126" s="2983">
        <v>0.1</v>
      </c>
      <c r="E126" s="2983">
        <v>9.8000000000000004E-2</v>
      </c>
      <c r="F126" s="2983">
        <v>0.1</v>
      </c>
      <c r="G126" s="2985">
        <v>0.1</v>
      </c>
    </row>
    <row r="127" spans="1:7">
      <c r="A127" s="2988" t="s">
        <v>29</v>
      </c>
      <c r="B127" s="2974" t="s">
        <v>2865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2935</v>
      </c>
      <c r="C148" s="2979">
        <v>0.13</v>
      </c>
      <c r="D148" s="2979">
        <v>0.13</v>
      </c>
      <c r="E148" s="2979">
        <v>0.13</v>
      </c>
      <c r="F148" s="2990"/>
      <c r="G148" s="2980">
        <v>0.13</v>
      </c>
    </row>
    <row r="149" spans="1:7">
      <c r="A149" s="2989" t="s">
        <v>29</v>
      </c>
      <c r="B149" s="2978" t="s">
        <v>2939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2958</v>
      </c>
      <c r="C153" s="2979">
        <v>0.13</v>
      </c>
      <c r="D153" s="2979">
        <v>0.13</v>
      </c>
      <c r="E153" s="2979">
        <v>0.13</v>
      </c>
      <c r="F153" s="2979">
        <v>0.13</v>
      </c>
      <c r="G153" s="2980">
        <v>0.13</v>
      </c>
    </row>
    <row r="154" spans="1:7">
      <c r="A154" s="2989" t="s">
        <v>29</v>
      </c>
      <c r="B154" s="2978" t="s">
        <v>2965</v>
      </c>
      <c r="C154" s="2979">
        <v>0.121</v>
      </c>
      <c r="D154" s="2979">
        <v>0.121</v>
      </c>
      <c r="E154" s="2979">
        <v>0.105</v>
      </c>
      <c r="F154" s="2979">
        <v>0.121</v>
      </c>
      <c r="G154" s="2980">
        <v>0.123</v>
      </c>
    </row>
    <row r="155" spans="1:7">
      <c r="A155" s="2989" t="s">
        <v>29</v>
      </c>
      <c r="B155" s="2978" t="s">
        <v>2971</v>
      </c>
      <c r="C155" s="2979">
        <v>0.1</v>
      </c>
      <c r="D155" s="2979">
        <v>0.1</v>
      </c>
      <c r="E155" s="2979">
        <v>0.1</v>
      </c>
      <c r="F155" s="2979">
        <v>0.1</v>
      </c>
      <c r="G155" s="2980">
        <v>0.1</v>
      </c>
    </row>
    <row r="156" spans="1:7">
      <c r="A156" s="2989" t="s">
        <v>29</v>
      </c>
      <c r="B156" s="2978" t="s">
        <v>2978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2998</v>
      </c>
      <c r="C160" s="2979">
        <v>0.13</v>
      </c>
      <c r="D160" s="2979">
        <v>0.13</v>
      </c>
      <c r="E160" s="2979">
        <v>0.124</v>
      </c>
      <c r="F160" s="2979">
        <v>0.126</v>
      </c>
      <c r="G160" s="2980">
        <v>0.13</v>
      </c>
    </row>
    <row r="161" spans="1:7">
      <c r="A161" s="2989" t="s">
        <v>29</v>
      </c>
      <c r="B161" s="2978" t="s">
        <v>3003</v>
      </c>
      <c r="C161" s="2979">
        <v>0.13</v>
      </c>
      <c r="D161" s="2979">
        <v>0.13</v>
      </c>
      <c r="E161" s="2979">
        <v>0.124</v>
      </c>
      <c r="F161" s="2979">
        <v>0.127</v>
      </c>
      <c r="G161" s="2980">
        <v>0.13</v>
      </c>
    </row>
    <row r="162" spans="1:7">
      <c r="A162" s="2989" t="s">
        <v>29</v>
      </c>
      <c r="B162" s="2978" t="s">
        <v>3008</v>
      </c>
      <c r="C162" s="2979">
        <v>0.1</v>
      </c>
      <c r="D162" s="2979">
        <v>0.1</v>
      </c>
      <c r="E162" s="2979">
        <v>0.1</v>
      </c>
      <c r="F162" s="2979">
        <v>0.121</v>
      </c>
      <c r="G162" s="2980">
        <v>0.105</v>
      </c>
    </row>
    <row r="163" spans="1:7">
      <c r="A163" s="2989" t="s">
        <v>29</v>
      </c>
      <c r="B163" s="2978" t="s">
        <v>3013</v>
      </c>
      <c r="C163" s="2979">
        <v>0.1</v>
      </c>
      <c r="D163" s="2979">
        <v>0.1</v>
      </c>
      <c r="E163" s="2979">
        <v>0.1</v>
      </c>
      <c r="F163" s="2979">
        <v>0.1</v>
      </c>
      <c r="G163" s="2980">
        <v>0.1</v>
      </c>
    </row>
    <row r="164" spans="1:7">
      <c r="A164" s="2989" t="s">
        <v>29</v>
      </c>
      <c r="B164" s="2978" t="s">
        <v>3018</v>
      </c>
      <c r="C164" s="2995"/>
      <c r="D164" s="2995"/>
      <c r="E164" s="2995"/>
      <c r="F164" s="2979">
        <v>0.1</v>
      </c>
      <c r="G164" s="2991"/>
    </row>
    <row r="165" spans="1:7">
      <c r="A165" s="2989" t="s">
        <v>29</v>
      </c>
      <c r="B165" s="2978" t="s">
        <v>3189</v>
      </c>
      <c r="C165" s="2979">
        <v>0.126</v>
      </c>
      <c r="D165" s="2979">
        <v>0.126</v>
      </c>
      <c r="E165" s="2979">
        <v>0.11899999999999999</v>
      </c>
      <c r="F165" s="2979">
        <v>0.13</v>
      </c>
      <c r="G165" s="2980">
        <v>0.128</v>
      </c>
    </row>
    <row r="166" spans="1:7">
      <c r="A166" s="2989" t="s">
        <v>29</v>
      </c>
      <c r="B166" s="2978" t="s">
        <v>3028</v>
      </c>
      <c r="C166" s="2979">
        <v>0.129</v>
      </c>
      <c r="D166" s="2979">
        <v>0.129</v>
      </c>
      <c r="E166" s="2979">
        <v>0.123</v>
      </c>
      <c r="F166" s="2979">
        <v>0.128</v>
      </c>
      <c r="G166" s="2980">
        <v>0.13</v>
      </c>
    </row>
    <row r="167" spans="1:7">
      <c r="A167" s="2989" t="s">
        <v>29</v>
      </c>
      <c r="B167" s="2978" t="s">
        <v>3032</v>
      </c>
      <c r="C167" s="2979">
        <v>0.125</v>
      </c>
      <c r="D167" s="2979">
        <v>0.125</v>
      </c>
      <c r="E167" s="2979">
        <v>0.11700000000000001</v>
      </c>
      <c r="F167" s="2979">
        <v>0.13</v>
      </c>
      <c r="G167" s="2980">
        <v>0.126</v>
      </c>
    </row>
    <row r="168" spans="1:7">
      <c r="A168" s="2989" t="s">
        <v>29</v>
      </c>
      <c r="B168" s="2978" t="s">
        <v>3037</v>
      </c>
      <c r="C168" s="2979">
        <v>0.128</v>
      </c>
      <c r="D168" s="2979">
        <v>0.128</v>
      </c>
      <c r="E168" s="2979">
        <v>0.123</v>
      </c>
      <c r="F168" s="2990"/>
      <c r="G168" s="2980">
        <v>0.13</v>
      </c>
    </row>
    <row r="169" spans="1:7">
      <c r="A169" s="2989" t="s">
        <v>29</v>
      </c>
      <c r="B169" s="2978" t="s">
        <v>3190</v>
      </c>
      <c r="C169" s="2995"/>
      <c r="D169" s="2995"/>
      <c r="E169" s="2995"/>
      <c r="F169" s="2979">
        <v>0.05</v>
      </c>
      <c r="G169" s="2991"/>
    </row>
    <row r="170" spans="1:7">
      <c r="A170" s="2989" t="s">
        <v>29</v>
      </c>
      <c r="B170" s="2978" t="s">
        <v>3191</v>
      </c>
      <c r="C170" s="2995"/>
      <c r="D170" s="2995"/>
      <c r="E170" s="2995"/>
      <c r="F170" s="2979">
        <v>0.05</v>
      </c>
      <c r="G170" s="2991"/>
    </row>
    <row r="171" spans="1:7">
      <c r="A171" s="2989" t="s">
        <v>29</v>
      </c>
      <c r="B171" s="2978" t="s">
        <v>3192</v>
      </c>
      <c r="C171" s="2995"/>
      <c r="D171" s="2995"/>
      <c r="E171" s="2995"/>
      <c r="F171" s="2979">
        <v>0.05</v>
      </c>
      <c r="G171" s="2996"/>
    </row>
    <row r="172" spans="1:7">
      <c r="A172" s="2989" t="s">
        <v>29</v>
      </c>
      <c r="B172" s="2978" t="s">
        <v>3193</v>
      </c>
      <c r="C172" s="2995"/>
      <c r="D172" s="2995"/>
      <c r="E172" s="2995"/>
      <c r="F172" s="2979">
        <v>0.05</v>
      </c>
      <c r="G172" s="2996"/>
    </row>
    <row r="173" spans="1:7">
      <c r="A173" s="2989" t="s">
        <v>29</v>
      </c>
      <c r="B173" s="2978" t="s">
        <v>3194</v>
      </c>
      <c r="C173" s="2995"/>
      <c r="D173" s="2995"/>
      <c r="E173" s="2995"/>
      <c r="F173" s="2979">
        <v>0.05</v>
      </c>
      <c r="G173" s="2991"/>
    </row>
    <row r="174" spans="1:7">
      <c r="A174" s="2989" t="s">
        <v>29</v>
      </c>
      <c r="B174" s="2978" t="s">
        <v>3195</v>
      </c>
      <c r="C174" s="2995"/>
      <c r="D174" s="2995"/>
      <c r="E174" s="2995"/>
      <c r="F174" s="2979">
        <v>0.05</v>
      </c>
      <c r="G174" s="2991"/>
    </row>
    <row r="175" spans="1:7">
      <c r="A175" s="2989" t="s">
        <v>29</v>
      </c>
      <c r="B175" s="2978" t="s">
        <v>3196</v>
      </c>
      <c r="C175" s="2995"/>
      <c r="D175" s="2995"/>
      <c r="E175" s="2995"/>
      <c r="F175" s="2979">
        <v>0.05</v>
      </c>
      <c r="G175" s="2991"/>
    </row>
    <row r="176" spans="1:7">
      <c r="A176" s="2989" t="s">
        <v>29</v>
      </c>
      <c r="B176" s="2978" t="s">
        <v>3197</v>
      </c>
      <c r="C176" s="2995"/>
      <c r="D176" s="2995"/>
      <c r="E176" s="2995"/>
      <c r="F176" s="2979">
        <v>0.05</v>
      </c>
      <c r="G176" s="2991"/>
    </row>
    <row r="177" spans="1:7">
      <c r="A177" s="2989" t="s">
        <v>29</v>
      </c>
      <c r="B177" s="2978" t="s">
        <v>3198</v>
      </c>
      <c r="C177" s="2990"/>
      <c r="D177" s="2990"/>
      <c r="E177" s="2990"/>
      <c r="F177" s="2979">
        <v>0.05</v>
      </c>
      <c r="G177" s="2996"/>
    </row>
    <row r="178" spans="1:7">
      <c r="A178" s="2989" t="s">
        <v>29</v>
      </c>
      <c r="B178" s="2978" t="s">
        <v>3199</v>
      </c>
      <c r="C178" s="2990"/>
      <c r="D178" s="2990"/>
      <c r="E178" s="2990"/>
      <c r="F178" s="2979">
        <v>0.05</v>
      </c>
      <c r="G178" s="2996"/>
    </row>
    <row r="179" spans="1:7">
      <c r="A179" s="2989" t="s">
        <v>29</v>
      </c>
      <c r="B179" s="2978" t="s">
        <v>3200</v>
      </c>
      <c r="C179" s="2990"/>
      <c r="D179" s="2990"/>
      <c r="E179" s="2990"/>
      <c r="F179" s="2979">
        <v>0.05</v>
      </c>
      <c r="G179" s="2996"/>
    </row>
    <row r="180" spans="1:7">
      <c r="A180" s="2989" t="s">
        <v>29</v>
      </c>
      <c r="B180" s="2978" t="s">
        <v>3201</v>
      </c>
      <c r="C180" s="2990"/>
      <c r="D180" s="2990"/>
      <c r="E180" s="2990"/>
      <c r="F180" s="2979">
        <v>0.05</v>
      </c>
      <c r="G180" s="2996"/>
    </row>
    <row r="181" spans="1:7">
      <c r="A181" s="2989" t="s">
        <v>29</v>
      </c>
      <c r="B181" s="2978" t="s">
        <v>3202</v>
      </c>
      <c r="C181" s="2990"/>
      <c r="D181" s="2990"/>
      <c r="E181" s="2990"/>
      <c r="F181" s="2979">
        <v>0.05</v>
      </c>
      <c r="G181" s="2996"/>
    </row>
    <row r="182" spans="1:7">
      <c r="A182" s="2989" t="s">
        <v>29</v>
      </c>
      <c r="B182" s="2978" t="s">
        <v>3203</v>
      </c>
      <c r="C182" s="2990"/>
      <c r="D182" s="2990"/>
      <c r="E182" s="2990"/>
      <c r="F182" s="2979">
        <v>0.05</v>
      </c>
      <c r="G182" s="2996"/>
    </row>
    <row r="183" spans="1:7">
      <c r="A183" s="2989" t="s">
        <v>29</v>
      </c>
      <c r="B183" s="2978" t="s">
        <v>3204</v>
      </c>
      <c r="C183" s="2990"/>
      <c r="D183" s="2990"/>
      <c r="E183" s="2990"/>
      <c r="F183" s="2979">
        <v>0.05</v>
      </c>
      <c r="G183" s="2996"/>
    </row>
    <row r="184" spans="1:7">
      <c r="A184" s="2989" t="s">
        <v>29</v>
      </c>
      <c r="B184" s="2978" t="s">
        <v>3205</v>
      </c>
      <c r="C184" s="2990"/>
      <c r="D184" s="2990"/>
      <c r="E184" s="2990"/>
      <c r="F184" s="2979">
        <v>0.05</v>
      </c>
      <c r="G184" s="2996"/>
    </row>
    <row r="185" spans="1:7">
      <c r="A185" s="2989" t="s">
        <v>29</v>
      </c>
      <c r="B185" s="2978" t="s">
        <v>3206</v>
      </c>
      <c r="C185" s="2990"/>
      <c r="D185" s="2990"/>
      <c r="E185" s="2990"/>
      <c r="F185" s="2979">
        <v>0.05</v>
      </c>
      <c r="G185" s="2996"/>
    </row>
    <row r="186" spans="1:7">
      <c r="A186" s="2989" t="s">
        <v>29</v>
      </c>
      <c r="B186" s="2978" t="s">
        <v>3207</v>
      </c>
      <c r="C186" s="2990"/>
      <c r="D186" s="2990"/>
      <c r="E186" s="2990"/>
      <c r="F186" s="2979">
        <v>0.05</v>
      </c>
      <c r="G186" s="2996"/>
    </row>
    <row r="187" spans="1:7">
      <c r="A187" s="2989" t="s">
        <v>29</v>
      </c>
      <c r="B187" s="2978" t="s">
        <v>3208</v>
      </c>
      <c r="C187" s="2990"/>
      <c r="D187" s="2990"/>
      <c r="E187" s="2990"/>
      <c r="F187" s="2979">
        <v>0.05</v>
      </c>
      <c r="G187" s="2996"/>
    </row>
    <row r="188" spans="1:7">
      <c r="A188" s="2989" t="s">
        <v>29</v>
      </c>
      <c r="B188" s="2978" t="s">
        <v>3209</v>
      </c>
      <c r="C188" s="2990"/>
      <c r="D188" s="2990"/>
      <c r="E188" s="2990"/>
      <c r="F188" s="2979">
        <v>0.05</v>
      </c>
      <c r="G188" s="2996"/>
    </row>
    <row r="189" spans="1:7" ht="14.25" thickBot="1">
      <c r="A189" s="2992" t="s">
        <v>29</v>
      </c>
      <c r="B189" s="2982" t="s">
        <v>3210</v>
      </c>
      <c r="C189" s="2984"/>
      <c r="D189" s="2984"/>
      <c r="E189" s="2984"/>
      <c r="F189" s="2983">
        <v>0.05</v>
      </c>
      <c r="G189" s="2997"/>
    </row>
    <row r="190" spans="1:7">
      <c r="A190" s="2988" t="s">
        <v>304</v>
      </c>
      <c r="B190" s="2974" t="s">
        <v>2866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2902</v>
      </c>
      <c r="C199" s="2979">
        <v>0.13</v>
      </c>
      <c r="D199" s="2979">
        <v>0.13</v>
      </c>
      <c r="E199" s="2979">
        <v>0.13</v>
      </c>
      <c r="F199" s="2979">
        <v>0.13</v>
      </c>
      <c r="G199" s="2980">
        <v>0.13</v>
      </c>
    </row>
    <row r="200" spans="1:7">
      <c r="A200" s="2989" t="s">
        <v>304</v>
      </c>
      <c r="B200" s="2978" t="s">
        <v>2905</v>
      </c>
      <c r="C200" s="2995"/>
      <c r="D200" s="2995"/>
      <c r="E200" s="2995"/>
      <c r="F200" s="2979">
        <v>0.13</v>
      </c>
      <c r="G200" s="2991"/>
    </row>
    <row r="201" spans="1:7">
      <c r="A201" s="2989" t="s">
        <v>304</v>
      </c>
      <c r="B201" s="2978" t="s">
        <v>2910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2913</v>
      </c>
      <c r="C203" s="2979">
        <v>0.129</v>
      </c>
      <c r="D203" s="2979">
        <v>0.129</v>
      </c>
      <c r="E203" s="2979">
        <v>0.13</v>
      </c>
      <c r="F203" s="2979">
        <v>0.13</v>
      </c>
      <c r="G203" s="2980">
        <v>0.13</v>
      </c>
    </row>
    <row r="204" spans="1:7">
      <c r="A204" s="2989" t="s">
        <v>304</v>
      </c>
      <c r="B204" s="2978" t="s">
        <v>2916</v>
      </c>
      <c r="C204" s="2979">
        <v>0.129</v>
      </c>
      <c r="D204" s="2979">
        <v>0.129</v>
      </c>
      <c r="E204" s="2979">
        <v>0.123</v>
      </c>
      <c r="F204" s="2979">
        <v>0.13</v>
      </c>
      <c r="G204" s="2980">
        <v>0.13</v>
      </c>
    </row>
    <row r="205" spans="1:7">
      <c r="A205" s="2989" t="s">
        <v>304</v>
      </c>
      <c r="B205" s="2978" t="s">
        <v>2918</v>
      </c>
      <c r="C205" s="2979">
        <v>0.13</v>
      </c>
      <c r="D205" s="2979">
        <v>0.13</v>
      </c>
      <c r="E205" s="2979">
        <v>0.13</v>
      </c>
      <c r="F205" s="2979">
        <v>0.13</v>
      </c>
      <c r="G205" s="2980">
        <v>0.13</v>
      </c>
    </row>
    <row r="206" spans="1:7">
      <c r="A206" s="2989" t="s">
        <v>304</v>
      </c>
      <c r="B206" s="2978" t="s">
        <v>2921</v>
      </c>
      <c r="C206" s="2979">
        <v>0.13</v>
      </c>
      <c r="D206" s="2979">
        <v>0.13</v>
      </c>
      <c r="E206" s="2979">
        <v>0.13</v>
      </c>
      <c r="F206" s="2979">
        <v>0.128</v>
      </c>
      <c r="G206" s="2980">
        <v>0.13</v>
      </c>
    </row>
    <row r="207" spans="1:7">
      <c r="A207" s="2989" t="s">
        <v>304</v>
      </c>
      <c r="B207" s="2978" t="s">
        <v>2923</v>
      </c>
      <c r="C207" s="2979">
        <v>0.13</v>
      </c>
      <c r="D207" s="2979">
        <v>0.13</v>
      </c>
      <c r="E207" s="2979">
        <v>0.13</v>
      </c>
      <c r="F207" s="2979">
        <v>0.13</v>
      </c>
      <c r="G207" s="2980">
        <v>0.13</v>
      </c>
    </row>
    <row r="208" spans="1:7">
      <c r="A208" s="2989" t="s">
        <v>304</v>
      </c>
      <c r="B208" s="2978" t="s">
        <v>2926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2933</v>
      </c>
      <c r="C210" s="2979">
        <v>0.121</v>
      </c>
      <c r="D210" s="2979">
        <v>0.121</v>
      </c>
      <c r="E210" s="2979">
        <v>0.125</v>
      </c>
      <c r="F210" s="2979">
        <v>0.13</v>
      </c>
      <c r="G210" s="2980">
        <v>0.123</v>
      </c>
    </row>
    <row r="211" spans="1:7">
      <c r="A211" s="2989" t="s">
        <v>304</v>
      </c>
      <c r="B211" s="2978" t="s">
        <v>2936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2948</v>
      </c>
      <c r="C214" s="2979">
        <v>0.128</v>
      </c>
      <c r="D214" s="2979">
        <v>0.128</v>
      </c>
      <c r="E214" s="2979">
        <v>0.13</v>
      </c>
      <c r="F214" s="2979">
        <v>0.13</v>
      </c>
      <c r="G214" s="2980">
        <v>0.13</v>
      </c>
    </row>
    <row r="215" spans="1:7">
      <c r="A215" s="2989" t="s">
        <v>304</v>
      </c>
      <c r="B215" s="2978" t="s">
        <v>2952</v>
      </c>
      <c r="C215" s="2979">
        <v>0.13</v>
      </c>
      <c r="D215" s="2979">
        <v>0.13</v>
      </c>
      <c r="E215" s="2979">
        <v>0.13</v>
      </c>
      <c r="F215" s="2979">
        <v>0.129</v>
      </c>
      <c r="G215" s="2980">
        <v>0.13</v>
      </c>
    </row>
    <row r="216" spans="1:7">
      <c r="A216" s="2989" t="s">
        <v>304</v>
      </c>
      <c r="B216" s="2978" t="s">
        <v>2959</v>
      </c>
      <c r="C216" s="2979">
        <v>0.13</v>
      </c>
      <c r="D216" s="2979">
        <v>0.13</v>
      </c>
      <c r="E216" s="2979">
        <v>0.13</v>
      </c>
      <c r="F216" s="2979">
        <v>0.13</v>
      </c>
      <c r="G216" s="2980">
        <v>0.13</v>
      </c>
    </row>
    <row r="217" spans="1:7">
      <c r="A217" s="2989" t="s">
        <v>304</v>
      </c>
      <c r="B217" s="2978" t="s">
        <v>2966</v>
      </c>
      <c r="C217" s="2979">
        <v>0.129</v>
      </c>
      <c r="D217" s="2979">
        <v>0.129</v>
      </c>
      <c r="E217" s="2979">
        <v>0.13</v>
      </c>
      <c r="F217" s="2979">
        <v>0.13</v>
      </c>
      <c r="G217" s="2980">
        <v>0.13</v>
      </c>
    </row>
    <row r="218" spans="1:7">
      <c r="A218" s="2989" t="s">
        <v>304</v>
      </c>
      <c r="B218" s="2978" t="s">
        <v>2972</v>
      </c>
      <c r="C218" s="2990"/>
      <c r="D218" s="2990"/>
      <c r="E218" s="2990"/>
      <c r="F218" s="2979">
        <v>0.05</v>
      </c>
      <c r="G218" s="2996"/>
    </row>
    <row r="219" spans="1:7">
      <c r="A219" s="2989" t="s">
        <v>304</v>
      </c>
      <c r="B219" s="2978" t="s">
        <v>2979</v>
      </c>
      <c r="C219" s="2990"/>
      <c r="D219" s="2990"/>
      <c r="E219" s="2990"/>
      <c r="F219" s="2979">
        <v>0.05</v>
      </c>
      <c r="G219" s="2996"/>
    </row>
    <row r="220" spans="1:7">
      <c r="A220" s="2989" t="s">
        <v>304</v>
      </c>
      <c r="B220" s="2978" t="s">
        <v>2985</v>
      </c>
      <c r="C220" s="2990"/>
      <c r="D220" s="2990"/>
      <c r="E220" s="2990"/>
      <c r="F220" s="2979">
        <v>0.05</v>
      </c>
      <c r="G220" s="2996"/>
    </row>
    <row r="221" spans="1:7">
      <c r="A221" s="2989" t="s">
        <v>304</v>
      </c>
      <c r="B221" s="2978" t="s">
        <v>2990</v>
      </c>
      <c r="C221" s="2990"/>
      <c r="D221" s="2990"/>
      <c r="E221" s="2990"/>
      <c r="F221" s="2979">
        <v>0.05</v>
      </c>
      <c r="G221" s="2996"/>
    </row>
    <row r="222" spans="1:7">
      <c r="A222" s="2989" t="s">
        <v>304</v>
      </c>
      <c r="B222" s="2978" t="s">
        <v>2994</v>
      </c>
      <c r="C222" s="2990"/>
      <c r="D222" s="2990"/>
      <c r="E222" s="2990"/>
      <c r="F222" s="2979">
        <v>0.05</v>
      </c>
      <c r="G222" s="2996"/>
    </row>
    <row r="223" spans="1:7">
      <c r="A223" s="2989" t="s">
        <v>304</v>
      </c>
      <c r="B223" s="2978" t="s">
        <v>2999</v>
      </c>
      <c r="C223" s="2990"/>
      <c r="D223" s="2990"/>
      <c r="E223" s="2990"/>
      <c r="F223" s="2979">
        <v>0.05</v>
      </c>
      <c r="G223" s="2996"/>
    </row>
    <row r="224" spans="1:7">
      <c r="A224" s="2989" t="s">
        <v>304</v>
      </c>
      <c r="B224" s="2978" t="s">
        <v>3004</v>
      </c>
      <c r="C224" s="2990"/>
      <c r="D224" s="2990"/>
      <c r="E224" s="2990"/>
      <c r="F224" s="2979">
        <v>0.05</v>
      </c>
      <c r="G224" s="2996"/>
    </row>
    <row r="225" spans="1:7">
      <c r="A225" s="2989" t="s">
        <v>304</v>
      </c>
      <c r="B225" s="2978" t="s">
        <v>3009</v>
      </c>
      <c r="C225" s="2990"/>
      <c r="D225" s="2990"/>
      <c r="E225" s="2990"/>
      <c r="F225" s="2979">
        <v>0.05</v>
      </c>
      <c r="G225" s="2996"/>
    </row>
    <row r="226" spans="1:7">
      <c r="A226" s="2989" t="s">
        <v>304</v>
      </c>
      <c r="B226" s="2978" t="s">
        <v>3211</v>
      </c>
      <c r="C226" s="2990"/>
      <c r="D226" s="2990"/>
      <c r="E226" s="2990"/>
      <c r="F226" s="2979">
        <v>0.05</v>
      </c>
      <c r="G226" s="2996"/>
    </row>
    <row r="227" spans="1:7">
      <c r="A227" s="2989" t="s">
        <v>304</v>
      </c>
      <c r="B227" s="2978" t="s">
        <v>3212</v>
      </c>
      <c r="C227" s="2990"/>
      <c r="D227" s="2990"/>
      <c r="E227" s="2990"/>
      <c r="F227" s="2979">
        <v>0.05</v>
      </c>
      <c r="G227" s="2996"/>
    </row>
    <row r="228" spans="1:7">
      <c r="A228" s="2989" t="s">
        <v>304</v>
      </c>
      <c r="B228" s="2978" t="s">
        <v>3213</v>
      </c>
      <c r="C228" s="2990"/>
      <c r="D228" s="2990"/>
      <c r="E228" s="2990"/>
      <c r="F228" s="2979">
        <v>0.05</v>
      </c>
      <c r="G228" s="2996"/>
    </row>
    <row r="229" spans="1:7">
      <c r="A229" s="2989" t="s">
        <v>304</v>
      </c>
      <c r="B229" s="2978" t="s">
        <v>3214</v>
      </c>
      <c r="C229" s="2990"/>
      <c r="D229" s="2990"/>
      <c r="E229" s="2990"/>
      <c r="F229" s="2979">
        <v>0.05</v>
      </c>
      <c r="G229" s="2996"/>
    </row>
    <row r="230" spans="1:7">
      <c r="A230" s="2989" t="s">
        <v>304</v>
      </c>
      <c r="B230" s="2978" t="s">
        <v>3215</v>
      </c>
      <c r="C230" s="2990"/>
      <c r="D230" s="2990"/>
      <c r="E230" s="2990"/>
      <c r="F230" s="2979">
        <v>0.05</v>
      </c>
      <c r="G230" s="2996"/>
    </row>
    <row r="231" spans="1:7">
      <c r="A231" s="2989" t="s">
        <v>304</v>
      </c>
      <c r="B231" s="2978" t="s">
        <v>3216</v>
      </c>
      <c r="C231" s="2990"/>
      <c r="D231" s="2990"/>
      <c r="E231" s="2990"/>
      <c r="F231" s="2979">
        <v>0.05</v>
      </c>
      <c r="G231" s="2996"/>
    </row>
    <row r="232" spans="1:7">
      <c r="A232" s="2989" t="s">
        <v>304</v>
      </c>
      <c r="B232" s="2978" t="s">
        <v>3217</v>
      </c>
      <c r="C232" s="2990"/>
      <c r="D232" s="2990"/>
      <c r="E232" s="2990"/>
      <c r="F232" s="2979">
        <v>0.05</v>
      </c>
      <c r="G232" s="2996"/>
    </row>
    <row r="233" spans="1:7" ht="14.25" thickBot="1">
      <c r="A233" s="2992" t="s">
        <v>304</v>
      </c>
      <c r="B233" s="2982" t="s">
        <v>3218</v>
      </c>
      <c r="C233" s="2984"/>
      <c r="D233" s="2984"/>
      <c r="E233" s="2984"/>
      <c r="F233" s="2983">
        <v>0.05</v>
      </c>
      <c r="G233" s="2997"/>
    </row>
    <row r="234" spans="1:7">
      <c r="A234" s="2988" t="s">
        <v>305</v>
      </c>
      <c r="B234" s="2974" t="s">
        <v>2867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2887</v>
      </c>
      <c r="C238" s="2979">
        <v>0.14899999999999999</v>
      </c>
      <c r="D238" s="2979">
        <v>0.14899999999999999</v>
      </c>
      <c r="E238" s="2979">
        <v>0.15</v>
      </c>
      <c r="F238" s="2979">
        <v>0.15</v>
      </c>
      <c r="G238" s="2980">
        <v>0.15</v>
      </c>
    </row>
    <row r="239" spans="1:7">
      <c r="A239" s="2989" t="s">
        <v>305</v>
      </c>
      <c r="B239" s="2978" t="s">
        <v>2891</v>
      </c>
      <c r="C239" s="2979">
        <v>0.15</v>
      </c>
      <c r="D239" s="2979">
        <v>0.15</v>
      </c>
      <c r="E239" s="2979">
        <v>0.15</v>
      </c>
      <c r="F239" s="2979">
        <v>0.15</v>
      </c>
      <c r="G239" s="2980">
        <v>0.15</v>
      </c>
    </row>
    <row r="240" spans="1:7">
      <c r="A240" s="2989" t="s">
        <v>305</v>
      </c>
      <c r="B240" s="2978" t="s">
        <v>2896</v>
      </c>
      <c r="C240" s="2979">
        <v>0.15</v>
      </c>
      <c r="D240" s="2979">
        <v>0.15</v>
      </c>
      <c r="E240" s="2979">
        <v>0.15</v>
      </c>
      <c r="F240" s="2979">
        <v>0.15</v>
      </c>
      <c r="G240" s="2980">
        <v>0.15</v>
      </c>
    </row>
    <row r="241" spans="1:7">
      <c r="A241" s="2989" t="s">
        <v>305</v>
      </c>
      <c r="B241" s="2978" t="s">
        <v>2900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2949</v>
      </c>
      <c r="C258" s="2979">
        <v>0.14299999999999999</v>
      </c>
      <c r="D258" s="2979">
        <v>0.14299999999999999</v>
      </c>
      <c r="E258" s="2979">
        <v>0.15</v>
      </c>
      <c r="F258" s="2979">
        <v>0.14799999999999999</v>
      </c>
      <c r="G258" s="2980">
        <v>0.14599999999999999</v>
      </c>
    </row>
    <row r="259" spans="1:7">
      <c r="A259" s="2989" t="s">
        <v>305</v>
      </c>
      <c r="B259" s="2978" t="s">
        <v>2953</v>
      </c>
      <c r="C259" s="2979">
        <v>0.14399999999999999</v>
      </c>
      <c r="D259" s="2979">
        <v>0.14399999999999999</v>
      </c>
      <c r="E259" s="2979">
        <v>0.14899999999999999</v>
      </c>
      <c r="F259" s="2979">
        <v>0.14699999999999999</v>
      </c>
      <c r="G259" s="2980">
        <v>0.14599999999999999</v>
      </c>
    </row>
    <row r="260" spans="1:7">
      <c r="A260" s="2989" t="s">
        <v>305</v>
      </c>
      <c r="B260" s="2978" t="s">
        <v>2960</v>
      </c>
      <c r="C260" s="2979">
        <v>0.109</v>
      </c>
      <c r="D260" s="2979">
        <v>0.111</v>
      </c>
      <c r="E260" s="2979">
        <v>0.13100000000000001</v>
      </c>
      <c r="F260" s="2979">
        <v>0.126</v>
      </c>
      <c r="G260" s="2980">
        <v>0.11899999999999999</v>
      </c>
    </row>
    <row r="261" spans="1:7">
      <c r="A261" s="2989" t="s">
        <v>305</v>
      </c>
      <c r="B261" s="2978" t="s">
        <v>2967</v>
      </c>
      <c r="C261" s="2979">
        <v>0.1</v>
      </c>
      <c r="D261" s="2979">
        <v>0.1</v>
      </c>
      <c r="E261" s="2979">
        <v>0.11799999999999999</v>
      </c>
      <c r="F261" s="2979">
        <v>0.108</v>
      </c>
      <c r="G261" s="2980">
        <v>0.107</v>
      </c>
    </row>
    <row r="262" spans="1:7">
      <c r="A262" s="2989" t="s">
        <v>305</v>
      </c>
      <c r="B262" s="2978" t="s">
        <v>2973</v>
      </c>
      <c r="C262" s="2979">
        <v>0.1</v>
      </c>
      <c r="D262" s="2979">
        <v>0.1</v>
      </c>
      <c r="E262" s="2979">
        <v>0.1</v>
      </c>
      <c r="F262" s="2979">
        <v>0.14099999999999999</v>
      </c>
      <c r="G262" s="2980">
        <v>0.1</v>
      </c>
    </row>
    <row r="263" spans="1:7">
      <c r="A263" s="2989" t="s">
        <v>305</v>
      </c>
      <c r="B263" s="2978" t="s">
        <v>2980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2991</v>
      </c>
      <c r="C265" s="2990"/>
      <c r="D265" s="2990"/>
      <c r="E265" s="2990"/>
      <c r="F265" s="2979">
        <v>0.05</v>
      </c>
      <c r="G265" s="2996"/>
    </row>
    <row r="266" spans="1:7">
      <c r="A266" s="2989" t="s">
        <v>305</v>
      </c>
      <c r="B266" s="2978" t="s">
        <v>2995</v>
      </c>
      <c r="C266" s="2990"/>
      <c r="D266" s="2990"/>
      <c r="E266" s="2990"/>
      <c r="F266" s="2979">
        <v>0.05</v>
      </c>
      <c r="G266" s="2996"/>
    </row>
    <row r="267" spans="1:7">
      <c r="A267" s="2989" t="s">
        <v>305</v>
      </c>
      <c r="B267" s="2978" t="s">
        <v>3000</v>
      </c>
      <c r="C267" s="2990"/>
      <c r="D267" s="2990"/>
      <c r="E267" s="2990"/>
      <c r="F267" s="2979">
        <v>0.05</v>
      </c>
      <c r="G267" s="2996"/>
    </row>
    <row r="268" spans="1:7">
      <c r="A268" s="2989" t="s">
        <v>305</v>
      </c>
      <c r="B268" s="2978" t="s">
        <v>3005</v>
      </c>
      <c r="C268" s="2990"/>
      <c r="D268" s="2990"/>
      <c r="E268" s="2990"/>
      <c r="F268" s="2979">
        <v>0.05</v>
      </c>
      <c r="G268" s="2996"/>
    </row>
    <row r="269" spans="1:7">
      <c r="A269" s="2989" t="s">
        <v>305</v>
      </c>
      <c r="B269" s="2978" t="s">
        <v>3010</v>
      </c>
      <c r="C269" s="2990"/>
      <c r="D269" s="2990"/>
      <c r="E269" s="2990"/>
      <c r="F269" s="2979">
        <v>0.05</v>
      </c>
      <c r="G269" s="2996"/>
    </row>
    <row r="270" spans="1:7">
      <c r="A270" s="2989" t="s">
        <v>305</v>
      </c>
      <c r="B270" s="2978" t="s">
        <v>3015</v>
      </c>
      <c r="C270" s="2990"/>
      <c r="D270" s="2990"/>
      <c r="E270" s="2990"/>
      <c r="F270" s="2979">
        <v>0.05</v>
      </c>
      <c r="G270" s="2996"/>
    </row>
    <row r="271" spans="1:7">
      <c r="A271" s="2989" t="s">
        <v>305</v>
      </c>
      <c r="B271" s="2978" t="s">
        <v>3219</v>
      </c>
      <c r="C271" s="2990"/>
      <c r="D271" s="2990"/>
      <c r="E271" s="2990"/>
      <c r="F271" s="2979">
        <v>0.05</v>
      </c>
      <c r="G271" s="2996"/>
    </row>
    <row r="272" spans="1:7">
      <c r="A272" s="2989" t="s">
        <v>305</v>
      </c>
      <c r="B272" s="2978" t="s">
        <v>3220</v>
      </c>
      <c r="C272" s="2990"/>
      <c r="D272" s="2990"/>
      <c r="E272" s="2990"/>
      <c r="F272" s="2979">
        <v>0.05</v>
      </c>
      <c r="G272" s="2996"/>
    </row>
    <row r="273" spans="1:7">
      <c r="A273" s="2989" t="s">
        <v>305</v>
      </c>
      <c r="B273" s="2978" t="s">
        <v>3221</v>
      </c>
      <c r="C273" s="2990"/>
      <c r="D273" s="2990"/>
      <c r="E273" s="2990"/>
      <c r="F273" s="2979">
        <v>0.05</v>
      </c>
      <c r="G273" s="2996"/>
    </row>
    <row r="274" spans="1:7">
      <c r="A274" s="2989" t="s">
        <v>305</v>
      </c>
      <c r="B274" s="2978" t="s">
        <v>3222</v>
      </c>
      <c r="C274" s="2990"/>
      <c r="D274" s="2990"/>
      <c r="E274" s="2990"/>
      <c r="F274" s="2979">
        <v>0.05</v>
      </c>
      <c r="G274" s="2996"/>
    </row>
    <row r="275" spans="1:7">
      <c r="A275" s="2989" t="s">
        <v>305</v>
      </c>
      <c r="B275" s="2978" t="s">
        <v>3223</v>
      </c>
      <c r="C275" s="2990"/>
      <c r="D275" s="2990"/>
      <c r="E275" s="2990"/>
      <c r="F275" s="2979">
        <v>0.05</v>
      </c>
      <c r="G275" s="2996"/>
    </row>
    <row r="276" spans="1:7" ht="14.25" thickBot="1">
      <c r="A276" s="2992" t="s">
        <v>305</v>
      </c>
      <c r="B276" s="2982" t="s">
        <v>3224</v>
      </c>
      <c r="C276" s="2984"/>
      <c r="D276" s="2984"/>
      <c r="E276" s="2984"/>
      <c r="F276" s="2983">
        <v>0.05</v>
      </c>
      <c r="G276" s="2997"/>
    </row>
    <row r="277" spans="1:7">
      <c r="A277" s="2988" t="s">
        <v>306</v>
      </c>
      <c r="B277" s="2974" t="s">
        <v>2868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2880</v>
      </c>
      <c r="C279" s="2979">
        <v>0.15</v>
      </c>
      <c r="D279" s="2979">
        <v>0.15</v>
      </c>
      <c r="E279" s="2979">
        <v>0.15</v>
      </c>
      <c r="F279" s="2979">
        <v>0.15</v>
      </c>
      <c r="G279" s="2980">
        <v>0.15</v>
      </c>
    </row>
    <row r="280" spans="1:7">
      <c r="A280" s="2989" t="s">
        <v>306</v>
      </c>
      <c r="B280" s="2978" t="s">
        <v>2884</v>
      </c>
      <c r="C280" s="2979">
        <v>0.15</v>
      </c>
      <c r="D280" s="2979">
        <v>0.15</v>
      </c>
      <c r="E280" s="2979">
        <v>0.15</v>
      </c>
      <c r="F280" s="2979">
        <v>0.15</v>
      </c>
      <c r="G280" s="2980">
        <v>0.15</v>
      </c>
    </row>
    <row r="281" spans="1:7">
      <c r="A281" s="2989" t="s">
        <v>306</v>
      </c>
      <c r="B281" s="2978" t="s">
        <v>2888</v>
      </c>
      <c r="C281" s="2979">
        <v>0.15</v>
      </c>
      <c r="D281" s="2979">
        <v>0.15</v>
      </c>
      <c r="E281" s="2979">
        <v>0.15</v>
      </c>
      <c r="F281" s="2979">
        <v>0.15</v>
      </c>
      <c r="G281" s="2980">
        <v>0.15</v>
      </c>
    </row>
    <row r="282" spans="1:7">
      <c r="A282" s="2989" t="s">
        <v>306</v>
      </c>
      <c r="B282" s="2978" t="s">
        <v>2892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2922</v>
      </c>
      <c r="C293" s="2979">
        <v>0.15</v>
      </c>
      <c r="D293" s="2979">
        <v>0.15</v>
      </c>
      <c r="E293" s="2979">
        <v>0.15</v>
      </c>
      <c r="F293" s="2979">
        <v>0.14499999999999999</v>
      </c>
      <c r="G293" s="2980">
        <v>0.15</v>
      </c>
    </row>
    <row r="294" spans="1:7">
      <c r="A294" s="2989" t="s">
        <v>306</v>
      </c>
      <c r="B294" s="2978" t="s">
        <v>2924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2954</v>
      </c>
      <c r="C302" s="2979">
        <v>0.15</v>
      </c>
      <c r="D302" s="2979">
        <v>0.15</v>
      </c>
      <c r="E302" s="2979">
        <v>0.15</v>
      </c>
      <c r="F302" s="2979">
        <v>0.14699999999999999</v>
      </c>
      <c r="G302" s="2980">
        <v>0.15</v>
      </c>
    </row>
    <row r="303" spans="1:7">
      <c r="A303" s="2989" t="s">
        <v>306</v>
      </c>
      <c r="B303" s="2978" t="s">
        <v>2961</v>
      </c>
      <c r="C303" s="2979">
        <v>0.15</v>
      </c>
      <c r="D303" s="2979">
        <v>0.15</v>
      </c>
      <c r="E303" s="2979">
        <v>0.15</v>
      </c>
      <c r="F303" s="2979">
        <v>0.14199999999999999</v>
      </c>
      <c r="G303" s="2980">
        <v>0.15</v>
      </c>
    </row>
    <row r="304" spans="1:7">
      <c r="A304" s="2989" t="s">
        <v>306</v>
      </c>
      <c r="B304" s="2978" t="s">
        <v>2968</v>
      </c>
      <c r="C304" s="2979">
        <v>0.15</v>
      </c>
      <c r="D304" s="2979">
        <v>0.15</v>
      </c>
      <c r="E304" s="2979">
        <v>0.15</v>
      </c>
      <c r="F304" s="2979">
        <v>0.14499999999999999</v>
      </c>
      <c r="G304" s="2980">
        <v>0.15</v>
      </c>
    </row>
    <row r="305" spans="1:7">
      <c r="A305" s="2989" t="s">
        <v>306</v>
      </c>
      <c r="B305" s="2978" t="s">
        <v>2974</v>
      </c>
      <c r="C305" s="2979">
        <v>0.15</v>
      </c>
      <c r="D305" s="2979">
        <v>0.15</v>
      </c>
      <c r="E305" s="2979">
        <v>0.15</v>
      </c>
      <c r="F305" s="2979">
        <v>0.111</v>
      </c>
      <c r="G305" s="2980">
        <v>0.15</v>
      </c>
    </row>
    <row r="306" spans="1:7">
      <c r="A306" s="2989" t="s">
        <v>306</v>
      </c>
      <c r="B306" s="2978" t="s">
        <v>2981</v>
      </c>
      <c r="C306" s="2979">
        <v>0.15</v>
      </c>
      <c r="D306" s="2979">
        <v>0.15</v>
      </c>
      <c r="E306" s="2979">
        <v>0.15</v>
      </c>
      <c r="F306" s="2979">
        <v>0.126</v>
      </c>
      <c r="G306" s="2980">
        <v>0.15</v>
      </c>
    </row>
    <row r="307" spans="1:7">
      <c r="A307" s="2989" t="s">
        <v>306</v>
      </c>
      <c r="B307" s="2978" t="s">
        <v>2986</v>
      </c>
      <c r="C307" s="2979">
        <v>0.15</v>
      </c>
      <c r="D307" s="2979">
        <v>0.15</v>
      </c>
      <c r="E307" s="2979">
        <v>0.15</v>
      </c>
      <c r="F307" s="2979">
        <v>0.12</v>
      </c>
      <c r="G307" s="2980">
        <v>0.15</v>
      </c>
    </row>
    <row r="308" spans="1:7">
      <c r="A308" s="2989" t="s">
        <v>306</v>
      </c>
      <c r="B308" s="2978" t="s">
        <v>2992</v>
      </c>
      <c r="C308" s="2979">
        <v>0.15</v>
      </c>
      <c r="D308" s="2979">
        <v>0.15</v>
      </c>
      <c r="E308" s="2979">
        <v>0.15</v>
      </c>
      <c r="F308" s="2979">
        <v>0.13</v>
      </c>
      <c r="G308" s="2980">
        <v>0.15</v>
      </c>
    </row>
    <row r="309" spans="1:7">
      <c r="A309" s="2989" t="s">
        <v>306</v>
      </c>
      <c r="B309" s="2978" t="s">
        <v>2996</v>
      </c>
      <c r="C309" s="2979">
        <v>0.15</v>
      </c>
      <c r="D309" s="2979">
        <v>0.15</v>
      </c>
      <c r="E309" s="2979">
        <v>0.15</v>
      </c>
      <c r="F309" s="2979">
        <v>0.14099999999999999</v>
      </c>
      <c r="G309" s="2980">
        <v>0.15</v>
      </c>
    </row>
    <row r="310" spans="1:7">
      <c r="A310" s="2989" t="s">
        <v>306</v>
      </c>
      <c r="B310" s="2978" t="s">
        <v>3001</v>
      </c>
      <c r="C310" s="2979">
        <v>0.15</v>
      </c>
      <c r="D310" s="2979">
        <v>0.15</v>
      </c>
      <c r="E310" s="2979">
        <v>0.15</v>
      </c>
      <c r="F310" s="2979">
        <v>0.15</v>
      </c>
      <c r="G310" s="2980">
        <v>0.15</v>
      </c>
    </row>
    <row r="311" spans="1:7">
      <c r="A311" s="2989" t="s">
        <v>306</v>
      </c>
      <c r="B311" s="2978" t="s">
        <v>3006</v>
      </c>
      <c r="C311" s="2979">
        <v>0.13200000000000001</v>
      </c>
      <c r="D311" s="2979">
        <v>0.13300000000000001</v>
      </c>
      <c r="E311" s="2979">
        <v>0.14499999999999999</v>
      </c>
      <c r="F311" s="2979">
        <v>0.14199999999999999</v>
      </c>
      <c r="G311" s="2980">
        <v>0.14000000000000001</v>
      </c>
    </row>
    <row r="312" spans="1:7">
      <c r="A312" s="2989" t="s">
        <v>306</v>
      </c>
      <c r="B312" s="2978" t="s">
        <v>3011</v>
      </c>
      <c r="C312" s="2979">
        <v>0.13800000000000001</v>
      </c>
      <c r="D312" s="2979">
        <v>0.14000000000000001</v>
      </c>
      <c r="E312" s="2979">
        <v>0.14599999999999999</v>
      </c>
      <c r="F312" s="2979">
        <v>0.14899999999999999</v>
      </c>
      <c r="G312" s="2980">
        <v>0.14199999999999999</v>
      </c>
    </row>
    <row r="313" spans="1:7">
      <c r="A313" s="2989" t="s">
        <v>306</v>
      </c>
      <c r="B313" s="2978" t="s">
        <v>3016</v>
      </c>
      <c r="C313" s="2979">
        <v>0.125</v>
      </c>
      <c r="D313" s="2979">
        <v>0.127</v>
      </c>
      <c r="E313" s="2979">
        <v>0.14399999999999999</v>
      </c>
      <c r="F313" s="2979">
        <v>0.115</v>
      </c>
      <c r="G313" s="2980">
        <v>0.13600000000000001</v>
      </c>
    </row>
    <row r="314" spans="1:7">
      <c r="A314" s="2989" t="s">
        <v>306</v>
      </c>
      <c r="B314" s="2978" t="s">
        <v>3225</v>
      </c>
      <c r="C314" s="2995"/>
      <c r="D314" s="2995"/>
      <c r="E314" s="2995"/>
      <c r="F314" s="2979">
        <v>0.05</v>
      </c>
      <c r="G314" s="2996"/>
    </row>
    <row r="315" spans="1:7">
      <c r="A315" s="2989" t="s">
        <v>306</v>
      </c>
      <c r="B315" s="2978" t="s">
        <v>3226</v>
      </c>
      <c r="C315" s="2995"/>
      <c r="D315" s="2995"/>
      <c r="E315" s="2995"/>
      <c r="F315" s="2979">
        <v>0.05</v>
      </c>
      <c r="G315" s="2996"/>
    </row>
    <row r="316" spans="1:7">
      <c r="A316" s="2989" t="s">
        <v>306</v>
      </c>
      <c r="B316" s="2978" t="s">
        <v>3227</v>
      </c>
      <c r="C316" s="2990"/>
      <c r="D316" s="2990"/>
      <c r="E316" s="2990"/>
      <c r="F316" s="2979">
        <v>0.05</v>
      </c>
      <c r="G316" s="2996"/>
    </row>
    <row r="317" spans="1:7">
      <c r="A317" s="2989" t="s">
        <v>306</v>
      </c>
      <c r="B317" s="2978" t="s">
        <v>3228</v>
      </c>
      <c r="C317" s="2990"/>
      <c r="D317" s="2990"/>
      <c r="E317" s="2990"/>
      <c r="F317" s="2979">
        <v>0.05</v>
      </c>
      <c r="G317" s="2996"/>
    </row>
    <row r="318" spans="1:7">
      <c r="A318" s="2989" t="s">
        <v>306</v>
      </c>
      <c r="B318" s="2978" t="s">
        <v>3229</v>
      </c>
      <c r="C318" s="2990"/>
      <c r="D318" s="2990"/>
      <c r="E318" s="2990"/>
      <c r="F318" s="2979">
        <v>0.05</v>
      </c>
      <c r="G318" s="2996"/>
    </row>
    <row r="319" spans="1:7">
      <c r="A319" s="2989" t="s">
        <v>306</v>
      </c>
      <c r="B319" s="2978" t="s">
        <v>3230</v>
      </c>
      <c r="C319" s="2990"/>
      <c r="D319" s="2990"/>
      <c r="E319" s="2990"/>
      <c r="F319" s="2979">
        <v>0.05</v>
      </c>
      <c r="G319" s="2996"/>
    </row>
    <row r="320" spans="1:7">
      <c r="A320" s="2989" t="s">
        <v>306</v>
      </c>
      <c r="B320" s="2978" t="s">
        <v>3231</v>
      </c>
      <c r="C320" s="2990"/>
      <c r="D320" s="2990"/>
      <c r="E320" s="2990"/>
      <c r="F320" s="2979">
        <v>0.05</v>
      </c>
      <c r="G320" s="2996"/>
    </row>
    <row r="321" spans="1:7">
      <c r="A321" s="2989" t="s">
        <v>306</v>
      </c>
      <c r="B321" s="2978" t="s">
        <v>3232</v>
      </c>
      <c r="C321" s="2990"/>
      <c r="D321" s="2990"/>
      <c r="E321" s="2990"/>
      <c r="F321" s="2979">
        <v>0.05</v>
      </c>
      <c r="G321" s="2996"/>
    </row>
    <row r="322" spans="1:7">
      <c r="A322" s="2989" t="s">
        <v>306</v>
      </c>
      <c r="B322" s="2978" t="s">
        <v>3233</v>
      </c>
      <c r="C322" s="2990"/>
      <c r="D322" s="2990"/>
      <c r="E322" s="2990"/>
      <c r="F322" s="2979">
        <v>0.05</v>
      </c>
      <c r="G322" s="2996"/>
    </row>
    <row r="323" spans="1:7">
      <c r="A323" s="2989" t="s">
        <v>306</v>
      </c>
      <c r="B323" s="2978" t="s">
        <v>3234</v>
      </c>
      <c r="C323" s="2990"/>
      <c r="D323" s="2990"/>
      <c r="E323" s="2990"/>
      <c r="F323" s="2979">
        <v>0.05</v>
      </c>
      <c r="G323" s="2996"/>
    </row>
    <row r="324" spans="1:7">
      <c r="A324" s="2989" t="s">
        <v>306</v>
      </c>
      <c r="B324" s="2978" t="s">
        <v>3235</v>
      </c>
      <c r="C324" s="2990"/>
      <c r="D324" s="2990"/>
      <c r="E324" s="2990"/>
      <c r="F324" s="2979">
        <v>0.05</v>
      </c>
      <c r="G324" s="2996"/>
    </row>
    <row r="325" spans="1:7">
      <c r="A325" s="2989" t="s">
        <v>306</v>
      </c>
      <c r="B325" s="2978" t="s">
        <v>3236</v>
      </c>
      <c r="C325" s="2990"/>
      <c r="D325" s="2990"/>
      <c r="E325" s="2990"/>
      <c r="F325" s="2979">
        <v>0.05</v>
      </c>
      <c r="G325" s="2996"/>
    </row>
    <row r="326" spans="1:7" ht="14.25" thickBot="1">
      <c r="A326" s="2992" t="s">
        <v>306</v>
      </c>
      <c r="B326" s="2982" t="s">
        <v>3237</v>
      </c>
      <c r="C326" s="2984"/>
      <c r="D326" s="2984"/>
      <c r="E326" s="2984"/>
      <c r="F326" s="2983">
        <v>0.05</v>
      </c>
      <c r="G326" s="2997"/>
    </row>
    <row r="327" spans="1:7">
      <c r="A327" s="2988" t="s">
        <v>307</v>
      </c>
      <c r="B327" s="2974" t="s">
        <v>2869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2881</v>
      </c>
      <c r="C329" s="2979">
        <v>0.15</v>
      </c>
      <c r="D329" s="2979">
        <v>0.15</v>
      </c>
      <c r="E329" s="2979">
        <v>0.15</v>
      </c>
      <c r="F329" s="2979">
        <v>0.15</v>
      </c>
      <c r="G329" s="2980">
        <v>0.15</v>
      </c>
    </row>
    <row r="330" spans="1:7">
      <c r="A330" s="2989" t="s">
        <v>307</v>
      </c>
      <c r="B330" s="2978" t="s">
        <v>2885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2893</v>
      </c>
      <c r="C332" s="2979">
        <v>0.15</v>
      </c>
      <c r="D332" s="2979">
        <v>0.15</v>
      </c>
      <c r="E332" s="2979">
        <v>0.15</v>
      </c>
      <c r="F332" s="2979">
        <v>0.15</v>
      </c>
      <c r="G332" s="2980">
        <v>0.15</v>
      </c>
    </row>
    <row r="333" spans="1:7">
      <c r="A333" s="2989" t="s">
        <v>307</v>
      </c>
      <c r="B333" s="2978" t="s">
        <v>2897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2903</v>
      </c>
      <c r="C336" s="2979">
        <v>0.15</v>
      </c>
      <c r="D336" s="2979">
        <v>0.15</v>
      </c>
      <c r="E336" s="2979">
        <v>0.15</v>
      </c>
      <c r="F336" s="2979">
        <v>0.14199999999999999</v>
      </c>
      <c r="G336" s="2980">
        <v>0.15</v>
      </c>
    </row>
    <row r="337" spans="1:7">
      <c r="A337" s="2989" t="s">
        <v>307</v>
      </c>
      <c r="B337" s="2978" t="s">
        <v>2908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2928</v>
      </c>
      <c r="C345" s="2979">
        <v>0.15</v>
      </c>
      <c r="D345" s="2979">
        <v>0.15</v>
      </c>
      <c r="E345" s="2979">
        <v>0.15</v>
      </c>
      <c r="F345" s="2979">
        <v>0.13800000000000001</v>
      </c>
      <c r="G345" s="2980">
        <v>0.15</v>
      </c>
    </row>
    <row r="346" spans="1:7">
      <c r="A346" s="2989" t="s">
        <v>307</v>
      </c>
      <c r="B346" s="2978" t="s">
        <v>2930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2937</v>
      </c>
      <c r="C348" s="2979">
        <v>0.15</v>
      </c>
      <c r="D348" s="2979">
        <v>0.15</v>
      </c>
      <c r="E348" s="2979">
        <v>0.15</v>
      </c>
      <c r="F348" s="2979">
        <v>0.14399999999999999</v>
      </c>
      <c r="G348" s="2980">
        <v>0.15</v>
      </c>
    </row>
    <row r="349" spans="1:7">
      <c r="A349" s="2989" t="s">
        <v>307</v>
      </c>
      <c r="B349" s="2978" t="s">
        <v>2942</v>
      </c>
      <c r="C349" s="2979">
        <v>0.15</v>
      </c>
      <c r="D349" s="2979">
        <v>0.15</v>
      </c>
      <c r="E349" s="2979">
        <v>0.15</v>
      </c>
      <c r="F349" s="2979">
        <v>0.15</v>
      </c>
      <c r="G349" s="2980">
        <v>0.15</v>
      </c>
    </row>
    <row r="350" spans="1:7">
      <c r="A350" s="2989" t="s">
        <v>307</v>
      </c>
      <c r="B350" s="2978" t="s">
        <v>2945</v>
      </c>
      <c r="C350" s="2979">
        <v>0.15</v>
      </c>
      <c r="D350" s="2979">
        <v>0.15</v>
      </c>
      <c r="E350" s="2979">
        <v>0.15</v>
      </c>
      <c r="F350" s="2979">
        <v>0.14699999999999999</v>
      </c>
      <c r="G350" s="2980">
        <v>0.15</v>
      </c>
    </row>
    <row r="351" spans="1:7">
      <c r="A351" s="2989" t="s">
        <v>307</v>
      </c>
      <c r="B351" s="2978" t="s">
        <v>2950</v>
      </c>
      <c r="C351" s="2979">
        <v>0.15</v>
      </c>
      <c r="D351" s="2979">
        <v>0.15</v>
      </c>
      <c r="E351" s="2979">
        <v>0.15</v>
      </c>
      <c r="F351" s="2979">
        <v>0.13</v>
      </c>
      <c r="G351" s="2980">
        <v>0.15</v>
      </c>
    </row>
    <row r="352" spans="1:7">
      <c r="A352" s="2989" t="s">
        <v>307</v>
      </c>
      <c r="B352" s="2978" t="s">
        <v>2955</v>
      </c>
      <c r="C352" s="2979">
        <v>0.15</v>
      </c>
      <c r="D352" s="2979">
        <v>0.15</v>
      </c>
      <c r="E352" s="2979">
        <v>0.15</v>
      </c>
      <c r="F352" s="2979">
        <v>0.14599999999999999</v>
      </c>
      <c r="G352" s="2980">
        <v>0.15</v>
      </c>
    </row>
    <row r="353" spans="1:7">
      <c r="A353" s="2989" t="s">
        <v>307</v>
      </c>
      <c r="B353" s="2978" t="s">
        <v>2962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2975</v>
      </c>
      <c r="C355" s="2979">
        <v>0.15</v>
      </c>
      <c r="D355" s="2979">
        <v>0.15</v>
      </c>
      <c r="E355" s="2979">
        <v>0.15</v>
      </c>
      <c r="F355" s="2979">
        <v>0.15</v>
      </c>
      <c r="G355" s="2980">
        <v>0.15</v>
      </c>
    </row>
    <row r="356" spans="1:7">
      <c r="A356" s="2989" t="s">
        <v>307</v>
      </c>
      <c r="B356" s="2978" t="s">
        <v>2982</v>
      </c>
      <c r="C356" s="2979">
        <v>0.15</v>
      </c>
      <c r="D356" s="2979">
        <v>0.15</v>
      </c>
      <c r="E356" s="2979">
        <v>0.15</v>
      </c>
      <c r="F356" s="2979">
        <v>0.15</v>
      </c>
      <c r="G356" s="2980">
        <v>0.15</v>
      </c>
    </row>
    <row r="357" spans="1:7" ht="14.25" thickBot="1">
      <c r="A357" s="2992" t="s">
        <v>307</v>
      </c>
      <c r="B357" s="2982" t="s">
        <v>2987</v>
      </c>
      <c r="C357" s="2983">
        <v>0.126</v>
      </c>
      <c r="D357" s="2983">
        <v>0.127</v>
      </c>
      <c r="E357" s="2983">
        <v>0.14299999999999999</v>
      </c>
      <c r="F357" s="2983">
        <v>0.125</v>
      </c>
      <c r="G357" s="2985">
        <v>0.129</v>
      </c>
    </row>
    <row r="358" spans="1:7">
      <c r="A358" s="2988" t="s">
        <v>2856</v>
      </c>
      <c r="B358" s="2974" t="s">
        <v>2870</v>
      </c>
      <c r="C358" s="2975">
        <v>0.15</v>
      </c>
      <c r="D358" s="2975">
        <v>0.15</v>
      </c>
      <c r="E358" s="2975">
        <v>0.15</v>
      </c>
      <c r="F358" s="2975">
        <v>0.15</v>
      </c>
      <c r="G358" s="2976">
        <v>0.15</v>
      </c>
    </row>
    <row r="359" spans="1:7">
      <c r="A359" s="2989" t="s">
        <v>2856</v>
      </c>
      <c r="B359" s="2978" t="s">
        <v>2876</v>
      </c>
      <c r="C359" s="2979">
        <v>0.1</v>
      </c>
      <c r="D359" s="2979">
        <v>0.1</v>
      </c>
      <c r="E359" s="2979">
        <v>0.1</v>
      </c>
      <c r="F359" s="2979">
        <v>0.1</v>
      </c>
      <c r="G359" s="2980">
        <v>0.1</v>
      </c>
    </row>
    <row r="360" spans="1:7">
      <c r="A360" s="2989" t="s">
        <v>2856</v>
      </c>
      <c r="B360" s="2978" t="s">
        <v>2882</v>
      </c>
      <c r="C360" s="2979">
        <v>0.15</v>
      </c>
      <c r="D360" s="2979">
        <v>0.15</v>
      </c>
      <c r="E360" s="2979">
        <v>0.15</v>
      </c>
      <c r="F360" s="2979">
        <v>0.14899999999999999</v>
      </c>
      <c r="G360" s="2980">
        <v>0.15</v>
      </c>
    </row>
    <row r="361" spans="1:7">
      <c r="A361" s="2989" t="s">
        <v>2856</v>
      </c>
      <c r="B361" s="2978" t="s">
        <v>153</v>
      </c>
      <c r="C361" s="2979">
        <v>0.15</v>
      </c>
      <c r="D361" s="2979">
        <v>0.15</v>
      </c>
      <c r="E361" s="2979">
        <v>0.15</v>
      </c>
      <c r="F361" s="2979">
        <v>0.115</v>
      </c>
      <c r="G361" s="2980">
        <v>0.15</v>
      </c>
    </row>
    <row r="362" spans="1:7">
      <c r="A362" s="2989" t="s">
        <v>2856</v>
      </c>
      <c r="B362" s="2978" t="s">
        <v>2889</v>
      </c>
      <c r="C362" s="2979">
        <v>0.15</v>
      </c>
      <c r="D362" s="2979">
        <v>0.15</v>
      </c>
      <c r="E362" s="2979">
        <v>0.15</v>
      </c>
      <c r="F362" s="2979">
        <v>0.106</v>
      </c>
      <c r="G362" s="2980">
        <v>0.15</v>
      </c>
    </row>
    <row r="363" spans="1:7">
      <c r="A363" s="2989" t="s">
        <v>2856</v>
      </c>
      <c r="B363" s="2978" t="s">
        <v>2894</v>
      </c>
      <c r="C363" s="2979">
        <v>0.15</v>
      </c>
      <c r="D363" s="2979">
        <v>0.15</v>
      </c>
      <c r="E363" s="2979">
        <v>0.15</v>
      </c>
      <c r="F363" s="2979">
        <v>0.14699999999999999</v>
      </c>
      <c r="G363" s="2980">
        <v>0.15</v>
      </c>
    </row>
    <row r="364" spans="1:7">
      <c r="A364" s="2989" t="s">
        <v>2856</v>
      </c>
      <c r="B364" s="2978" t="s">
        <v>2898</v>
      </c>
      <c r="C364" s="2979">
        <v>0.15</v>
      </c>
      <c r="D364" s="2979">
        <v>0.15</v>
      </c>
      <c r="E364" s="2979">
        <v>0.15</v>
      </c>
      <c r="F364" s="2979">
        <v>0.14799999999999999</v>
      </c>
      <c r="G364" s="2980">
        <v>0.15</v>
      </c>
    </row>
    <row r="365" spans="1:7">
      <c r="A365" s="2989" t="s">
        <v>2856</v>
      </c>
      <c r="B365" s="2978" t="s">
        <v>200</v>
      </c>
      <c r="C365" s="2979">
        <v>0.15</v>
      </c>
      <c r="D365" s="2979">
        <v>0.15</v>
      </c>
      <c r="E365" s="2979">
        <v>0.15</v>
      </c>
      <c r="F365" s="2979">
        <v>0.15</v>
      </c>
      <c r="G365" s="2980">
        <v>0.15</v>
      </c>
    </row>
    <row r="366" spans="1:7">
      <c r="A366" s="2989" t="s">
        <v>2856</v>
      </c>
      <c r="B366" s="2978" t="s">
        <v>2901</v>
      </c>
      <c r="C366" s="2979">
        <v>0.15</v>
      </c>
      <c r="D366" s="2979">
        <v>0.15</v>
      </c>
      <c r="E366" s="2979">
        <v>0.15</v>
      </c>
      <c r="F366" s="2979">
        <v>0.15</v>
      </c>
      <c r="G366" s="2980">
        <v>0.15</v>
      </c>
    </row>
    <row r="367" spans="1:7">
      <c r="A367" s="2989" t="s">
        <v>2856</v>
      </c>
      <c r="B367" s="2978" t="s">
        <v>2904</v>
      </c>
      <c r="C367" s="2979">
        <v>0.15</v>
      </c>
      <c r="D367" s="2979">
        <v>0.15</v>
      </c>
      <c r="E367" s="2979">
        <v>0.15</v>
      </c>
      <c r="F367" s="2979">
        <v>0.14699999999999999</v>
      </c>
      <c r="G367" s="2980">
        <v>0.15</v>
      </c>
    </row>
    <row r="368" spans="1:7">
      <c r="A368" s="2989" t="s">
        <v>2856</v>
      </c>
      <c r="B368" s="2978" t="s">
        <v>2909</v>
      </c>
      <c r="C368" s="2979">
        <v>0.15</v>
      </c>
      <c r="D368" s="2979">
        <v>0.15</v>
      </c>
      <c r="E368" s="2979">
        <v>0.15</v>
      </c>
      <c r="F368" s="2979">
        <v>0.13600000000000001</v>
      </c>
      <c r="G368" s="2980">
        <v>0.15</v>
      </c>
    </row>
    <row r="369" spans="1:7">
      <c r="A369" s="2989" t="s">
        <v>2856</v>
      </c>
      <c r="B369" s="2978" t="s">
        <v>214</v>
      </c>
      <c r="C369" s="2979">
        <v>0.15</v>
      </c>
      <c r="D369" s="2979">
        <v>0.15</v>
      </c>
      <c r="E369" s="2979">
        <v>0.15</v>
      </c>
      <c r="F369" s="2979">
        <v>0.14399999999999999</v>
      </c>
      <c r="G369" s="2980">
        <v>0.15</v>
      </c>
    </row>
    <row r="370" spans="1:7">
      <c r="A370" s="2989" t="s">
        <v>2856</v>
      </c>
      <c r="B370" s="2978" t="s">
        <v>221</v>
      </c>
      <c r="C370" s="2979">
        <v>0.15</v>
      </c>
      <c r="D370" s="2979">
        <v>0.15</v>
      </c>
      <c r="E370" s="2979">
        <v>0.15</v>
      </c>
      <c r="F370" s="2979">
        <v>0.14599999999999999</v>
      </c>
      <c r="G370" s="2980">
        <v>0.15</v>
      </c>
    </row>
    <row r="371" spans="1:7">
      <c r="A371" s="2989" t="s">
        <v>2856</v>
      </c>
      <c r="B371" s="2978" t="s">
        <v>229</v>
      </c>
      <c r="C371" s="2979">
        <v>0.15</v>
      </c>
      <c r="D371" s="2979">
        <v>0.15</v>
      </c>
      <c r="E371" s="2979">
        <v>0.15</v>
      </c>
      <c r="F371" s="2979">
        <v>0.12</v>
      </c>
      <c r="G371" s="2980">
        <v>0.15</v>
      </c>
    </row>
    <row r="372" spans="1:7">
      <c r="A372" s="2989" t="s">
        <v>2856</v>
      </c>
      <c r="B372" s="2978" t="s">
        <v>2917</v>
      </c>
      <c r="C372" s="2979">
        <v>0.15</v>
      </c>
      <c r="D372" s="2979">
        <v>0.15</v>
      </c>
      <c r="E372" s="2979">
        <v>0.15</v>
      </c>
      <c r="F372" s="2979">
        <v>0.14299999999999999</v>
      </c>
      <c r="G372" s="2980">
        <v>0.15</v>
      </c>
    </row>
    <row r="373" spans="1:7">
      <c r="A373" s="2989" t="s">
        <v>2856</v>
      </c>
      <c r="B373" s="2978" t="s">
        <v>258</v>
      </c>
      <c r="C373" s="2979">
        <v>0.15</v>
      </c>
      <c r="D373" s="2979">
        <v>0.15</v>
      </c>
      <c r="E373" s="2979">
        <v>0.15</v>
      </c>
      <c r="F373" s="2979">
        <v>0.14599999999999999</v>
      </c>
      <c r="G373" s="2980">
        <v>0.15</v>
      </c>
    </row>
    <row r="374" spans="1:7">
      <c r="A374" s="2989" t="s">
        <v>2856</v>
      </c>
      <c r="B374" s="2978" t="s">
        <v>266</v>
      </c>
      <c r="C374" s="2979">
        <v>0.15</v>
      </c>
      <c r="D374" s="2979">
        <v>0.15</v>
      </c>
      <c r="E374" s="2979">
        <v>0.15</v>
      </c>
      <c r="F374" s="2979">
        <v>0.14399999999999999</v>
      </c>
      <c r="G374" s="2980">
        <v>0.15</v>
      </c>
    </row>
    <row r="375" spans="1:7">
      <c r="A375" s="2989" t="s">
        <v>2856</v>
      </c>
      <c r="B375" s="2978" t="s">
        <v>2925</v>
      </c>
      <c r="C375" s="2979">
        <v>0.15</v>
      </c>
      <c r="D375" s="2979">
        <v>0.15</v>
      </c>
      <c r="E375" s="2979">
        <v>0.15</v>
      </c>
      <c r="F375" s="2979">
        <v>0.13</v>
      </c>
      <c r="G375" s="2980">
        <v>0.15</v>
      </c>
    </row>
    <row r="376" spans="1:7">
      <c r="A376" s="2989" t="s">
        <v>2856</v>
      </c>
      <c r="B376" s="2978" t="s">
        <v>277</v>
      </c>
      <c r="C376" s="2979">
        <v>0.15</v>
      </c>
      <c r="D376" s="2979">
        <v>0.15</v>
      </c>
      <c r="E376" s="2979">
        <v>0.15</v>
      </c>
      <c r="F376" s="2979">
        <v>0.14199999999999999</v>
      </c>
      <c r="G376" s="2980">
        <v>0.15</v>
      </c>
    </row>
    <row r="377" spans="1:7" ht="14.25" thickBot="1">
      <c r="A377" s="2992" t="s">
        <v>2856</v>
      </c>
      <c r="B377" s="2982" t="s">
        <v>2931</v>
      </c>
      <c r="C377" s="2983">
        <v>0.15</v>
      </c>
      <c r="D377" s="2983">
        <v>0.15</v>
      </c>
      <c r="E377" s="2983">
        <v>0.15</v>
      </c>
      <c r="F377" s="2983">
        <v>0.14000000000000001</v>
      </c>
      <c r="G377" s="2985">
        <v>0.15</v>
      </c>
    </row>
    <row r="378" spans="1:7">
      <c r="A378" s="2988" t="s">
        <v>2857</v>
      </c>
      <c r="B378" s="2974" t="s">
        <v>2871</v>
      </c>
      <c r="C378" s="2975">
        <v>0.15</v>
      </c>
      <c r="D378" s="2975">
        <v>0.15</v>
      </c>
      <c r="E378" s="2975">
        <v>0.15</v>
      </c>
      <c r="F378" s="2975">
        <v>0.107</v>
      </c>
      <c r="G378" s="2976">
        <v>0.15</v>
      </c>
    </row>
    <row r="379" spans="1:7">
      <c r="A379" s="2989" t="s">
        <v>2857</v>
      </c>
      <c r="B379" s="2978" t="s">
        <v>2877</v>
      </c>
      <c r="C379" s="2979">
        <v>0.15</v>
      </c>
      <c r="D379" s="2979">
        <v>0.15</v>
      </c>
      <c r="E379" s="2979">
        <v>0.15</v>
      </c>
      <c r="F379" s="2979">
        <v>0.115</v>
      </c>
      <c r="G379" s="2980">
        <v>0.14899999999999999</v>
      </c>
    </row>
    <row r="380" spans="1:7">
      <c r="A380" s="2989" t="s">
        <v>2857</v>
      </c>
      <c r="B380" s="2978" t="s">
        <v>2883</v>
      </c>
      <c r="C380" s="2979">
        <v>0.15</v>
      </c>
      <c r="D380" s="2979">
        <v>0.15</v>
      </c>
      <c r="E380" s="2979">
        <v>0.15</v>
      </c>
      <c r="F380" s="2979">
        <v>0.1</v>
      </c>
      <c r="G380" s="2980">
        <v>0.14799999999999999</v>
      </c>
    </row>
    <row r="381" spans="1:7">
      <c r="A381" s="2989" t="s">
        <v>2857</v>
      </c>
      <c r="B381" s="2978" t="s">
        <v>2886</v>
      </c>
      <c r="C381" s="2979">
        <v>0.15</v>
      </c>
      <c r="D381" s="2979">
        <v>0.15</v>
      </c>
      <c r="E381" s="2979">
        <v>0.15</v>
      </c>
      <c r="F381" s="2979">
        <v>0.126</v>
      </c>
      <c r="G381" s="2980">
        <v>0.15</v>
      </c>
    </row>
    <row r="382" spans="1:7">
      <c r="A382" s="2989" t="s">
        <v>2857</v>
      </c>
      <c r="B382" s="2978" t="s">
        <v>2890</v>
      </c>
      <c r="C382" s="2979">
        <v>0.15</v>
      </c>
      <c r="D382" s="2979">
        <v>0.15</v>
      </c>
      <c r="E382" s="2979">
        <v>0.15</v>
      </c>
      <c r="F382" s="2979">
        <v>0.15</v>
      </c>
      <c r="G382" s="2980">
        <v>0.15</v>
      </c>
    </row>
    <row r="383" spans="1:7">
      <c r="A383" s="2989" t="s">
        <v>2857</v>
      </c>
      <c r="B383" s="2978" t="s">
        <v>2895</v>
      </c>
      <c r="C383" s="2979">
        <v>0.15</v>
      </c>
      <c r="D383" s="2979">
        <v>0.15</v>
      </c>
      <c r="E383" s="2979">
        <v>0.15</v>
      </c>
      <c r="F383" s="2979">
        <v>0.14699999999999999</v>
      </c>
      <c r="G383" s="2980">
        <v>0.15</v>
      </c>
    </row>
    <row r="384" spans="1:7" ht="14.25" thickBot="1">
      <c r="A384" s="2999" t="s">
        <v>2857</v>
      </c>
      <c r="B384" s="3000" t="s">
        <v>2899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5" t="s">
        <v>3238</v>
      </c>
      <c r="B1" s="3485"/>
      <c r="C1" s="3485"/>
      <c r="D1" s="3485"/>
      <c r="E1" s="3485"/>
      <c r="F1" s="3486"/>
    </row>
    <row r="2" spans="1:6" ht="14.25">
      <c r="A2" s="3003" t="s">
        <v>3239</v>
      </c>
    </row>
    <row r="3" spans="1:6" ht="14.25">
      <c r="A3" s="3003" t="s">
        <v>3240</v>
      </c>
      <c r="F3" s="3004" t="s">
        <v>3241</v>
      </c>
    </row>
    <row r="4" spans="1:6">
      <c r="A4" s="3005" t="s">
        <v>672</v>
      </c>
      <c r="B4" s="3005" t="s">
        <v>673</v>
      </c>
      <c r="C4" s="3005" t="s">
        <v>21</v>
      </c>
      <c r="D4" s="3005" t="s">
        <v>674</v>
      </c>
      <c r="E4" s="3005" t="s">
        <v>3</v>
      </c>
      <c r="F4" s="3005" t="s">
        <v>3242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6"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2938">
        <f>基准地价修正!G23</f>
        <v>45624</v>
      </c>
      <c r="B1" s="2930" t="s">
        <v>2844</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3374</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3375</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3379</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3378</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3376</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3370</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3361</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2824</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2825</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2826</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2827</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2828</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3372</v>
      </c>
    </row>
    <row r="19" spans="1:30">
      <c r="I19" s="1405" t="s">
        <v>2829</v>
      </c>
    </row>
    <row r="21" spans="1:30" s="2009" customFormat="1" ht="12.75">
      <c r="B21" s="2930" t="s">
        <v>2830</v>
      </c>
      <c r="C21" s="2931"/>
      <c r="D21" s="2931"/>
      <c r="E21" s="2931"/>
      <c r="F21" s="2931"/>
      <c r="G21" s="2931"/>
      <c r="H21" s="2931"/>
      <c r="I21" s="2931"/>
      <c r="J21" s="2897"/>
      <c r="K21" s="2931" t="s">
        <v>2831</v>
      </c>
      <c r="L21" s="2931"/>
      <c r="M21" s="2931"/>
      <c r="N21" s="2931"/>
      <c r="O21" s="2931"/>
      <c r="P21" s="2931"/>
      <c r="Q21" s="2897"/>
      <c r="R21" s="3487" t="s">
        <v>2832</v>
      </c>
      <c r="S21" s="3488"/>
      <c r="T21" s="3488"/>
      <c r="U21" s="3488"/>
      <c r="V21" s="3488"/>
      <c r="W21" s="3488"/>
      <c r="X21" s="2897"/>
      <c r="Y21" s="3487" t="s">
        <v>2833</v>
      </c>
      <c r="Z21" s="3488"/>
      <c r="AA21" s="3488"/>
      <c r="AB21" s="3488"/>
      <c r="AC21" s="3488"/>
      <c r="AD21" s="3488"/>
    </row>
    <row r="22" spans="1:30" s="2010" customFormat="1" ht="14.25" thickBot="1">
      <c r="B22" s="2882"/>
      <c r="C22" s="2883"/>
      <c r="D22" s="2011" t="s">
        <v>2834</v>
      </c>
      <c r="E22" s="2012" t="s">
        <v>2835</v>
      </c>
      <c r="F22" s="2012" t="s">
        <v>2836</v>
      </c>
      <c r="G22" s="2012" t="s">
        <v>2837</v>
      </c>
      <c r="H22" s="2012"/>
      <c r="I22" s="2012" t="s">
        <v>2838</v>
      </c>
      <c r="J22" s="2884"/>
      <c r="K22" s="2011" t="s">
        <v>2834</v>
      </c>
      <c r="L22" s="2012" t="s">
        <v>2835</v>
      </c>
      <c r="M22" s="2012" t="s">
        <v>2836</v>
      </c>
      <c r="N22" s="2012" t="s">
        <v>2837</v>
      </c>
      <c r="O22" s="2012"/>
      <c r="P22" s="2012" t="s">
        <v>2838</v>
      </c>
      <c r="Q22" s="2884"/>
      <c r="R22" s="2011" t="s">
        <v>2834</v>
      </c>
      <c r="S22" s="2012" t="s">
        <v>2835</v>
      </c>
      <c r="T22" s="2012" t="s">
        <v>2836</v>
      </c>
      <c r="U22" s="2012" t="s">
        <v>2837</v>
      </c>
      <c r="V22" s="2012"/>
      <c r="W22" s="2012" t="s">
        <v>2838</v>
      </c>
      <c r="X22" s="2884"/>
      <c r="Y22" s="2011" t="s">
        <v>2834</v>
      </c>
      <c r="Z22" s="2012" t="s">
        <v>2835</v>
      </c>
      <c r="AA22" s="2012" t="s">
        <v>2836</v>
      </c>
      <c r="AB22" s="2012" t="s">
        <v>2837</v>
      </c>
      <c r="AC22" s="2012"/>
      <c r="AD22" s="2012" t="s">
        <v>2838</v>
      </c>
    </row>
    <row r="23" spans="1:30" s="2887" customFormat="1" ht="12.75">
      <c r="A23" s="2885" t="s">
        <v>2839</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3374</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1.0396000000000001</v>
      </c>
      <c r="T25" s="2027">
        <f>ROUND(IF([2]项目基本情况!$B$8="出让",SUMPRODUCT(PRODUCT(1+M25:M$36)),SUMPRODUCT(PRODUCT(1+M25:M$35))),4)</f>
        <v>1.0269999999999999</v>
      </c>
      <c r="U25" s="2027">
        <f>ROUND(IF([2]项目基本情况!$B$8="出让",SUMPRODUCT(PRODUCT(1+N25:N$36)),SUMPRODUCT(PRODUCT(1+N25:N$35))),4)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3375</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1.0396000000000001</v>
      </c>
      <c r="T26" s="2027">
        <f>ROUND(IF([2]项目基本情况!$B$8="出让",SUMPRODUCT(PRODUCT(1+M26:M$36)),SUMPRODUCT(PRODUCT(1+M26:M$35))),4)</f>
        <v>1.0269999999999999</v>
      </c>
      <c r="U26" s="2027">
        <f>ROUND(IF([2]项目基本情况!$B$8="出让",SUMPRODUCT(PRODUCT(1+N26:N$36)),SUMPRODUCT(PRODUCT(1+N26:N$35))),4)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3377</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ROUND(IF([2]项目基本情况!$B$8="出让",SUMPRODUCT(PRODUCT(1+L27:L$36)),SUMPRODUCT(PRODUCT(1+L27:L$35))),4)</f>
        <v>1.0396000000000001</v>
      </c>
      <c r="T27" s="2914">
        <f>ROUND(IF([2]项目基本情况!$B$8="出让",SUMPRODUCT(PRODUCT(1+M27:M$36)),SUMPRODUCT(PRODUCT(1+M27:M$35))),4)</f>
        <v>1.0269999999999999</v>
      </c>
      <c r="U27" s="2914">
        <f>ROUND(IF([2]项目基本情况!$B$8="出让",SUMPRODUCT(PRODUCT(1+N27:N$36)),SUMPRODUCT(PRODUCT(1+N27:N$35))),4)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3378</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ROUND(IF([2]项目基本情况!$B$8="出让",SUMPRODUCT(PRODUCT(1+L28:L$36)),SUMPRODUCT(PRODUCT(1+L28:L$35))),4)</f>
        <v>1.0344</v>
      </c>
      <c r="T28" s="2027">
        <f>ROUND(IF([2]项目基本情况!$B$8="出让",SUMPRODUCT(PRODUCT(1+M28:M$36)),SUMPRODUCT(PRODUCT(1+M28:M$35))),4)</f>
        <v>1.0224</v>
      </c>
      <c r="U28" s="2027">
        <f>ROUND(IF([2]项目基本情况!$B$8="出让",SUMPRODUCT(PRODUCT(1+N28:N$36)),SUMPRODUCT(PRODUCT(1+N28:N$35))),4)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3376</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3371</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3361</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2840</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2841</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2842</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2843</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2828</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4" t="s">
        <v>927</v>
      </c>
      <c r="B5" s="3174"/>
      <c r="C5" s="3174"/>
      <c r="D5" s="3174" t="e">
        <f ca="1">结果表!D119</f>
        <v>#REF!</v>
      </c>
      <c r="E5" s="3174"/>
      <c r="F5" s="3174" t="e">
        <f ca="1">结果表!F119</f>
        <v>#REF!</v>
      </c>
      <c r="G5" s="3174"/>
      <c r="H5" s="3174" t="e">
        <f ca="1">结果表!H119</f>
        <v>#REF!</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t="e">
        <f ca="1">结果表!D122</f>
        <v>#REF!</v>
      </c>
      <c r="E8" s="3175"/>
      <c r="F8" s="3175"/>
      <c r="G8" s="3175"/>
      <c r="H8" s="3175"/>
      <c r="I8" s="3175"/>
    </row>
    <row r="9" spans="1:9" ht="15">
      <c r="A9" s="3174" t="s">
        <v>927</v>
      </c>
      <c r="B9" s="3174"/>
      <c r="C9" s="3174"/>
      <c r="D9" s="3174" t="e">
        <f ca="1">结果表!D123</f>
        <v>#REF!</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45624</v>
      </c>
      <c r="D1" s="1217" t="s">
        <v>603</v>
      </c>
      <c r="E1" s="1212">
        <f>'数据-取费表'!B22</f>
        <v>0</v>
      </c>
      <c r="F1" s="1217" t="s">
        <v>604</v>
      </c>
      <c r="G1" s="1213" t="e">
        <f ca="1">INDIRECT("d"&amp;$K$1)/100</f>
        <v>#VALUE!</v>
      </c>
      <c r="H1" s="1217" t="s">
        <v>634</v>
      </c>
      <c r="I1" s="1213">
        <f ca="1">F4/100</f>
        <v>1.4999999999999999E-2</v>
      </c>
      <c r="J1" s="1218">
        <f>IF(C1&gt;C13,0,MATCH(C1,C$13:C$110,-1))+IF(SUMIF(C13:C110,C1,D13:D110)=0,13,12)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2313</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4" t="str">
        <f>IF(项目基本情况!B8="抵押","3.抵押双方在办理抵押登记手续时，应使用本公司出具的正式《房地产评估报告》，特提醒报告使用者注意。","——")</f>
        <v>——</v>
      </c>
      <c r="B13" s="3185"/>
      <c r="C13" s="3185"/>
      <c r="D13" s="3185"/>
    </row>
    <row r="14" spans="1:4" ht="15.75" customHeight="1">
      <c r="A14" s="3184" t="str">
        <f>IF(项目基本情况!B8="抵押","4.本次评估估价师所知悉的法定优先受偿款情况说明如下：","——")</f>
        <v>——</v>
      </c>
      <c r="B14" s="3185"/>
      <c r="C14" s="3185"/>
      <c r="D14" s="3185"/>
    </row>
    <row r="15" spans="1:4" ht="42" customHeight="1">
      <c r="A15" s="3184" t="str">
        <f>IF(项目基本情况!B8="抵押","（1）"&amp;CONCATENATE(项目基本情况!L20,项目基本情况!L21,项目基本情况!L22),"——")</f>
        <v>——</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45624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比较法-公寓</vt:lpstr>
      <vt:lpstr>比较法-商业</vt:lpstr>
      <vt:lpstr>住宅</vt:lpstr>
      <vt:lpstr>比较法-办公</vt:lpstr>
      <vt:lpstr>比较法-工业</vt:lpstr>
      <vt:lpstr>比较法-车位</vt:lpstr>
      <vt:lpstr>车库</vt:lpstr>
      <vt:lpstr>商业</vt:lpstr>
      <vt:lpstr>公租房</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2024-11-28T14:06:50Z</dcterms:modified>
</cp:coreProperties>
</file>