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抵押物清单" sheetId="77" r:id="rId46"/>
    <sheet name="Sheet3" sheetId="79" r:id="rId47"/>
    <sheet name="房号清单（全部）" sheetId="80" r:id="rId48"/>
    <sheet name="Sheet2" sheetId="81"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5" hidden="1">抵押物清单!$A$1:$F$233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74" l="1"/>
  <c r="G16" i="74"/>
  <c r="C16" i="74"/>
  <c r="B16" i="74"/>
  <c r="F233" i="77"/>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S22" i="31"/>
  <c r="B20" i="31"/>
  <c r="D15" i="74"/>
  <c r="G15" i="74"/>
  <c r="B15" i="74"/>
  <c r="I47" i="33"/>
  <c r="G47" i="33"/>
  <c r="E47" i="33"/>
  <c r="B28" i="1"/>
  <c r="R47" i="33"/>
  <c r="D101" i="33"/>
  <c r="E101" i="33"/>
  <c r="F32" i="33"/>
  <c r="AA32" i="33"/>
  <c r="D111" i="33"/>
  <c r="E111" i="33"/>
  <c r="F111" i="33"/>
  <c r="G111" i="33"/>
  <c r="F36" i="33"/>
  <c r="AA36" i="33"/>
  <c r="F38" i="33"/>
  <c r="AA38" i="33"/>
  <c r="F17" i="33"/>
  <c r="AA17" i="33"/>
  <c r="F26" i="33"/>
  <c r="AA26" i="33"/>
  <c r="D87" i="33"/>
  <c r="E87" i="33"/>
  <c r="F25" i="33"/>
  <c r="AA25" i="33"/>
  <c r="R48" i="33"/>
  <c r="F101" i="33"/>
  <c r="G101" i="33"/>
  <c r="H32" i="33"/>
  <c r="AB32" i="33"/>
  <c r="H36" i="33"/>
  <c r="AB36" i="33"/>
  <c r="D115" i="33"/>
  <c r="H38" i="33"/>
  <c r="AB38" i="33"/>
  <c r="H17" i="33"/>
  <c r="AB17" i="33"/>
  <c r="H26" i="33"/>
  <c r="AB26" i="33"/>
  <c r="H25" i="33"/>
  <c r="AB25" i="33"/>
  <c r="T48" i="33"/>
  <c r="J32" i="33"/>
  <c r="AC32" i="33"/>
  <c r="J36" i="33"/>
  <c r="AC36" i="33"/>
  <c r="J38" i="33"/>
  <c r="AC38" i="33"/>
  <c r="J17" i="33"/>
  <c r="AC17" i="33"/>
  <c r="J26" i="33"/>
  <c r="AC26" i="33"/>
  <c r="J25" i="33"/>
  <c r="AC25" i="33"/>
  <c r="V48" i="33"/>
  <c r="R49" i="33"/>
  <c r="C49" i="33"/>
  <c r="B2" i="33"/>
  <c r="AY6" i="3"/>
  <c r="D3" i="6"/>
  <c r="D19" i="6"/>
  <c r="H19" i="6"/>
  <c r="R19" i="6"/>
  <c r="B22" i="1"/>
  <c r="E1" i="73"/>
  <c r="K1" i="73"/>
  <c r="F23" i="67"/>
  <c r="Q55" i="31"/>
  <c r="G55" i="31"/>
  <c r="I55" i="31"/>
  <c r="K55" i="31"/>
  <c r="M55" i="31"/>
  <c r="O55" i="31"/>
  <c r="Q56" i="31"/>
  <c r="G56" i="31"/>
  <c r="I56" i="31"/>
  <c r="K56" i="31"/>
  <c r="M56" i="31"/>
  <c r="O56" i="31"/>
  <c r="Q57" i="31"/>
  <c r="G57" i="31"/>
  <c r="I57" i="31"/>
  <c r="K57" i="31"/>
  <c r="M57" i="31"/>
  <c r="O57" i="31"/>
  <c r="H5" i="78"/>
  <c r="Q117" i="31"/>
  <c r="G117" i="31"/>
  <c r="I117" i="31"/>
  <c r="K117" i="31"/>
  <c r="M117" i="31"/>
  <c r="O117" i="31"/>
  <c r="Q118" i="31"/>
  <c r="G118" i="31"/>
  <c r="I118" i="31"/>
  <c r="K118" i="31"/>
  <c r="M118" i="31"/>
  <c r="O118" i="31"/>
  <c r="Q119" i="31"/>
  <c r="G119" i="31"/>
  <c r="I119" i="31"/>
  <c r="K119" i="31"/>
  <c r="M119" i="31"/>
  <c r="O119" i="31"/>
  <c r="Q120" i="31"/>
  <c r="G120" i="31"/>
  <c r="I120" i="31"/>
  <c r="K120" i="31"/>
  <c r="M120" i="31"/>
  <c r="O120" i="31"/>
  <c r="Q121" i="31"/>
  <c r="G121" i="31"/>
  <c r="I121" i="31"/>
  <c r="K121" i="31"/>
  <c r="M121" i="31"/>
  <c r="O121" i="31"/>
  <c r="Q122" i="31"/>
  <c r="G122" i="31"/>
  <c r="I122" i="31"/>
  <c r="K122" i="31"/>
  <c r="M122" i="31"/>
  <c r="O122" i="31"/>
  <c r="Q123" i="31"/>
  <c r="G123" i="31"/>
  <c r="I123" i="31"/>
  <c r="K123" i="31"/>
  <c r="M123" i="31"/>
  <c r="O123" i="31"/>
  <c r="Q124" i="31"/>
  <c r="G124" i="31"/>
  <c r="I124" i="31"/>
  <c r="K124" i="31"/>
  <c r="M124" i="31"/>
  <c r="O124" i="31"/>
  <c r="Q125" i="31"/>
  <c r="G125" i="31"/>
  <c r="I125" i="31"/>
  <c r="K125" i="31"/>
  <c r="M125" i="31"/>
  <c r="O125" i="31"/>
  <c r="Q126" i="31"/>
  <c r="G126" i="31"/>
  <c r="I126" i="31"/>
  <c r="K126" i="31"/>
  <c r="M126" i="31"/>
  <c r="O126" i="31"/>
  <c r="Q127" i="31"/>
  <c r="G127" i="31"/>
  <c r="I127" i="31"/>
  <c r="K127" i="31"/>
  <c r="M127" i="31"/>
  <c r="O127" i="31"/>
  <c r="Q128" i="31"/>
  <c r="G128" i="31"/>
  <c r="I128" i="31"/>
  <c r="K128" i="31"/>
  <c r="M128" i="31"/>
  <c r="O128" i="31"/>
  <c r="Q129" i="31"/>
  <c r="G129" i="31"/>
  <c r="I129" i="31"/>
  <c r="K129" i="31"/>
  <c r="M129" i="31"/>
  <c r="O129" i="31"/>
  <c r="Q130" i="31"/>
  <c r="G130" i="31"/>
  <c r="I130" i="31"/>
  <c r="K130" i="31"/>
  <c r="M130" i="31"/>
  <c r="O130" i="31"/>
  <c r="Q131" i="31"/>
  <c r="G131" i="31"/>
  <c r="I131" i="31"/>
  <c r="K131" i="31"/>
  <c r="M131" i="31"/>
  <c r="O131" i="31"/>
  <c r="Q132" i="31"/>
  <c r="G132" i="31"/>
  <c r="I132" i="31"/>
  <c r="K132" i="31"/>
  <c r="M132" i="31"/>
  <c r="O132" i="31"/>
  <c r="Q133" i="31"/>
  <c r="G133" i="31"/>
  <c r="I133" i="31"/>
  <c r="K133" i="31"/>
  <c r="M133" i="31"/>
  <c r="O133" i="31"/>
  <c r="Q134" i="31"/>
  <c r="G134" i="31"/>
  <c r="I134" i="31"/>
  <c r="K134" i="31"/>
  <c r="M134" i="31"/>
  <c r="O134" i="31"/>
  <c r="Q135" i="31"/>
  <c r="G135" i="31"/>
  <c r="I135" i="31"/>
  <c r="K135" i="31"/>
  <c r="M135" i="31"/>
  <c r="O135" i="31"/>
  <c r="Q136" i="31"/>
  <c r="G136" i="31"/>
  <c r="I136" i="31"/>
  <c r="K136" i="31"/>
  <c r="M136" i="31"/>
  <c r="O136" i="31"/>
  <c r="Q137" i="31"/>
  <c r="G137" i="31"/>
  <c r="I137" i="31"/>
  <c r="K137" i="31"/>
  <c r="M137" i="31"/>
  <c r="O137" i="31"/>
  <c r="I5" i="78"/>
  <c r="Q214" i="31"/>
  <c r="G214" i="31"/>
  <c r="I214" i="31"/>
  <c r="K214" i="31"/>
  <c r="M214" i="31"/>
  <c r="O214" i="31"/>
  <c r="Q215" i="31"/>
  <c r="G215" i="31"/>
  <c r="I215" i="31"/>
  <c r="K215" i="31"/>
  <c r="M215" i="31"/>
  <c r="O215" i="31"/>
  <c r="Q216" i="31"/>
  <c r="G216" i="31"/>
  <c r="I216" i="31"/>
  <c r="K216" i="31"/>
  <c r="M216" i="31"/>
  <c r="O216" i="31"/>
  <c r="Q217" i="31"/>
  <c r="G217" i="31"/>
  <c r="I217" i="31"/>
  <c r="K217" i="31"/>
  <c r="M217" i="31"/>
  <c r="O217" i="31"/>
  <c r="Q218" i="31"/>
  <c r="G218" i="31"/>
  <c r="I218" i="31"/>
  <c r="K218" i="31"/>
  <c r="M218" i="31"/>
  <c r="O218" i="31"/>
  <c r="Q219" i="31"/>
  <c r="G219" i="31"/>
  <c r="I219" i="31"/>
  <c r="K219" i="31"/>
  <c r="M219" i="31"/>
  <c r="O219" i="31"/>
  <c r="Q220" i="31"/>
  <c r="G220" i="31"/>
  <c r="I220" i="31"/>
  <c r="K220" i="31"/>
  <c r="M220" i="31"/>
  <c r="O220" i="31"/>
  <c r="Q221" i="31"/>
  <c r="G221" i="31"/>
  <c r="I221" i="31"/>
  <c r="K221" i="31"/>
  <c r="M221" i="31"/>
  <c r="O221" i="31"/>
  <c r="Q222" i="31"/>
  <c r="G222" i="31"/>
  <c r="I222" i="31"/>
  <c r="K222" i="31"/>
  <c r="M222" i="31"/>
  <c r="O222" i="31"/>
  <c r="Q223" i="31"/>
  <c r="G223" i="31"/>
  <c r="I223" i="31"/>
  <c r="K223" i="31"/>
  <c r="M223" i="31"/>
  <c r="O223" i="31"/>
  <c r="Q224" i="31"/>
  <c r="G224" i="31"/>
  <c r="I224" i="31"/>
  <c r="K224" i="31"/>
  <c r="M224" i="31"/>
  <c r="O224" i="31"/>
  <c r="Q225" i="31"/>
  <c r="G225" i="31"/>
  <c r="I225" i="31"/>
  <c r="K225" i="31"/>
  <c r="M225" i="31"/>
  <c r="O225" i="31"/>
  <c r="Q226" i="31"/>
  <c r="G226" i="31"/>
  <c r="I226" i="31"/>
  <c r="K226" i="31"/>
  <c r="M226" i="31"/>
  <c r="O226" i="31"/>
  <c r="Q227" i="31"/>
  <c r="G227" i="31"/>
  <c r="I227" i="31"/>
  <c r="K227" i="31"/>
  <c r="M227" i="31"/>
  <c r="O227" i="31"/>
  <c r="Q228" i="31"/>
  <c r="G228" i="31"/>
  <c r="I228" i="31"/>
  <c r="K228" i="31"/>
  <c r="M228" i="31"/>
  <c r="O228" i="31"/>
  <c r="Q229" i="31"/>
  <c r="G229" i="31"/>
  <c r="I229" i="31"/>
  <c r="K229" i="31"/>
  <c r="M229" i="31"/>
  <c r="O229" i="31"/>
  <c r="Q230" i="31"/>
  <c r="G230" i="31"/>
  <c r="I230" i="31"/>
  <c r="K230" i="31"/>
  <c r="M230" i="31"/>
  <c r="O230" i="31"/>
  <c r="Q231" i="31"/>
  <c r="G231" i="31"/>
  <c r="I231" i="31"/>
  <c r="K231" i="31"/>
  <c r="M231" i="31"/>
  <c r="O231" i="31"/>
  <c r="Q232" i="31"/>
  <c r="G232" i="31"/>
  <c r="I232" i="31"/>
  <c r="K232" i="31"/>
  <c r="M232" i="31"/>
  <c r="O232" i="31"/>
  <c r="Q233" i="31"/>
  <c r="G233" i="31"/>
  <c r="I233" i="31"/>
  <c r="K233" i="31"/>
  <c r="M233" i="31"/>
  <c r="O233" i="31"/>
  <c r="Q234" i="31"/>
  <c r="G234" i="31"/>
  <c r="I234" i="31"/>
  <c r="K234" i="31"/>
  <c r="M234" i="31"/>
  <c r="O234" i="31"/>
  <c r="Q235" i="31"/>
  <c r="G235" i="31"/>
  <c r="I235" i="31"/>
  <c r="K235" i="31"/>
  <c r="M235" i="31"/>
  <c r="O235" i="31"/>
  <c r="Q236" i="31"/>
  <c r="G236" i="31"/>
  <c r="I236" i="31"/>
  <c r="K236" i="31"/>
  <c r="M236" i="31"/>
  <c r="O236" i="31"/>
  <c r="Q237" i="31"/>
  <c r="G237" i="31"/>
  <c r="I237" i="31"/>
  <c r="K237" i="31"/>
  <c r="M237" i="31"/>
  <c r="O237" i="31"/>
  <c r="Q238" i="31"/>
  <c r="G238" i="31"/>
  <c r="I238" i="31"/>
  <c r="K238" i="31"/>
  <c r="M238" i="31"/>
  <c r="O238" i="31"/>
  <c r="Q239" i="31"/>
  <c r="G239" i="31"/>
  <c r="I239" i="31"/>
  <c r="K239" i="31"/>
  <c r="M239" i="31"/>
  <c r="O239" i="31"/>
  <c r="Q240" i="31"/>
  <c r="G240" i="31"/>
  <c r="I240" i="31"/>
  <c r="K240" i="31"/>
  <c r="M240" i="31"/>
  <c r="O240" i="31"/>
  <c r="Q241" i="31"/>
  <c r="G241" i="31"/>
  <c r="I241" i="31"/>
  <c r="K241" i="31"/>
  <c r="M241" i="31"/>
  <c r="O241" i="31"/>
  <c r="Q242" i="31"/>
  <c r="G242" i="31"/>
  <c r="I242" i="31"/>
  <c r="K242" i="31"/>
  <c r="M242" i="31"/>
  <c r="O242" i="31"/>
  <c r="Q243" i="31"/>
  <c r="G243" i="31"/>
  <c r="I243" i="31"/>
  <c r="K243" i="31"/>
  <c r="M243" i="31"/>
  <c r="O243" i="31"/>
  <c r="Q244" i="31"/>
  <c r="G244" i="31"/>
  <c r="I244" i="31"/>
  <c r="K244" i="31"/>
  <c r="M244" i="31"/>
  <c r="O244" i="31"/>
  <c r="Q245" i="31"/>
  <c r="G245" i="31"/>
  <c r="I245" i="31"/>
  <c r="K245" i="31"/>
  <c r="M245" i="31"/>
  <c r="O245" i="31"/>
  <c r="Q246" i="31"/>
  <c r="G246" i="31"/>
  <c r="I246" i="31"/>
  <c r="K246" i="31"/>
  <c r="M246" i="31"/>
  <c r="O246" i="31"/>
  <c r="Q247" i="31"/>
  <c r="G247" i="31"/>
  <c r="I247" i="31"/>
  <c r="K247" i="31"/>
  <c r="M247" i="31"/>
  <c r="O247" i="31"/>
  <c r="Q248" i="31"/>
  <c r="G248" i="31"/>
  <c r="I248" i="31"/>
  <c r="K248" i="31"/>
  <c r="M248" i="31"/>
  <c r="O248" i="31"/>
  <c r="Q249" i="31"/>
  <c r="G249" i="31"/>
  <c r="I249" i="31"/>
  <c r="K249" i="31"/>
  <c r="M249" i="31"/>
  <c r="O249" i="31"/>
  <c r="Q250" i="31"/>
  <c r="G250" i="31"/>
  <c r="I250" i="31"/>
  <c r="K250" i="31"/>
  <c r="M250" i="31"/>
  <c r="O250" i="31"/>
  <c r="Q251" i="31"/>
  <c r="G251" i="31"/>
  <c r="I251" i="31"/>
  <c r="K251" i="31"/>
  <c r="M251" i="31"/>
  <c r="O251" i="31"/>
  <c r="Q252" i="31"/>
  <c r="G252" i="31"/>
  <c r="I252" i="31"/>
  <c r="K252" i="31"/>
  <c r="M252" i="31"/>
  <c r="O252" i="31"/>
  <c r="J5" i="78"/>
  <c r="K5" i="78"/>
  <c r="L5" i="78"/>
  <c r="Q25" i="31"/>
  <c r="G25" i="31"/>
  <c r="I25" i="31"/>
  <c r="K25" i="31"/>
  <c r="M25" i="31"/>
  <c r="O25" i="31"/>
  <c r="Q26" i="31"/>
  <c r="G26" i="31"/>
  <c r="I26" i="31"/>
  <c r="K26" i="31"/>
  <c r="M26" i="31"/>
  <c r="O26" i="31"/>
  <c r="Q27" i="31"/>
  <c r="G27" i="31"/>
  <c r="I27" i="31"/>
  <c r="K27" i="31"/>
  <c r="M27" i="31"/>
  <c r="O27" i="31"/>
  <c r="Q28" i="31"/>
  <c r="G28" i="31"/>
  <c r="I28" i="31"/>
  <c r="K28" i="31"/>
  <c r="M28" i="31"/>
  <c r="O28" i="31"/>
  <c r="Q29" i="31"/>
  <c r="G29" i="31"/>
  <c r="I29" i="31"/>
  <c r="K29" i="31"/>
  <c r="M29" i="31"/>
  <c r="O29" i="31"/>
  <c r="Q30" i="31"/>
  <c r="G30" i="31"/>
  <c r="I30" i="31"/>
  <c r="K30" i="31"/>
  <c r="M30" i="31"/>
  <c r="O30" i="31"/>
  <c r="Q31" i="31"/>
  <c r="G31" i="31"/>
  <c r="I31" i="31"/>
  <c r="K31" i="31"/>
  <c r="M31" i="31"/>
  <c r="O31" i="31"/>
  <c r="Q32" i="31"/>
  <c r="G32" i="31"/>
  <c r="I32" i="31"/>
  <c r="K32" i="31"/>
  <c r="M32" i="31"/>
  <c r="O32" i="31"/>
  <c r="Q33" i="31"/>
  <c r="G33" i="31"/>
  <c r="I33" i="31"/>
  <c r="K33" i="31"/>
  <c r="M33" i="31"/>
  <c r="O33" i="31"/>
  <c r="Q34" i="31"/>
  <c r="G34" i="31"/>
  <c r="I34" i="31"/>
  <c r="K34" i="31"/>
  <c r="M34" i="31"/>
  <c r="O34" i="31"/>
  <c r="Q35" i="31"/>
  <c r="G35" i="31"/>
  <c r="I35" i="31"/>
  <c r="K35" i="31"/>
  <c r="M35" i="31"/>
  <c r="O35" i="31"/>
  <c r="Q36" i="31"/>
  <c r="G36" i="31"/>
  <c r="I36" i="31"/>
  <c r="K36" i="31"/>
  <c r="M36" i="31"/>
  <c r="O36" i="31"/>
  <c r="Q37" i="31"/>
  <c r="G37" i="31"/>
  <c r="I37" i="31"/>
  <c r="K37" i="31"/>
  <c r="M37" i="31"/>
  <c r="O37" i="31"/>
  <c r="Q38" i="31"/>
  <c r="G38" i="31"/>
  <c r="I38" i="31"/>
  <c r="K38" i="31"/>
  <c r="M38" i="31"/>
  <c r="O38" i="31"/>
  <c r="Q39" i="31"/>
  <c r="G39" i="31"/>
  <c r="I39" i="31"/>
  <c r="K39" i="31"/>
  <c r="M39" i="31"/>
  <c r="O39" i="31"/>
  <c r="Q40" i="31"/>
  <c r="G40" i="31"/>
  <c r="I40" i="31"/>
  <c r="K40" i="31"/>
  <c r="M40" i="31"/>
  <c r="O40" i="31"/>
  <c r="Q41" i="31"/>
  <c r="G41" i="31"/>
  <c r="I41" i="31"/>
  <c r="K41" i="31"/>
  <c r="M41" i="31"/>
  <c r="O41" i="31"/>
  <c r="Q42" i="31"/>
  <c r="G42" i="31"/>
  <c r="I42" i="31"/>
  <c r="K42" i="31"/>
  <c r="M42" i="31"/>
  <c r="O42" i="31"/>
  <c r="Q43" i="31"/>
  <c r="G43" i="31"/>
  <c r="I43" i="31"/>
  <c r="K43" i="31"/>
  <c r="M43" i="31"/>
  <c r="O43" i="31"/>
  <c r="Q44" i="31"/>
  <c r="G44" i="31"/>
  <c r="I44" i="31"/>
  <c r="K44" i="31"/>
  <c r="M44" i="31"/>
  <c r="O44" i="31"/>
  <c r="Q45" i="31"/>
  <c r="G45" i="31"/>
  <c r="I45" i="31"/>
  <c r="K45" i="31"/>
  <c r="M45" i="31"/>
  <c r="O45" i="31"/>
  <c r="Q46" i="31"/>
  <c r="G46" i="31"/>
  <c r="I46" i="31"/>
  <c r="K46" i="31"/>
  <c r="M46" i="31"/>
  <c r="O46" i="31"/>
  <c r="Q47" i="31"/>
  <c r="G47" i="31"/>
  <c r="I47" i="31"/>
  <c r="K47" i="31"/>
  <c r="M47" i="31"/>
  <c r="O47" i="31"/>
  <c r="Q48" i="31"/>
  <c r="G48" i="31"/>
  <c r="I48" i="31"/>
  <c r="K48" i="31"/>
  <c r="M48" i="31"/>
  <c r="O48" i="31"/>
  <c r="H3" i="78"/>
  <c r="Q58" i="31"/>
  <c r="G58" i="31"/>
  <c r="I58" i="31"/>
  <c r="K58" i="31"/>
  <c r="M58" i="31"/>
  <c r="O58" i="31"/>
  <c r="Q59" i="31"/>
  <c r="G59" i="31"/>
  <c r="I59" i="31"/>
  <c r="K59" i="31"/>
  <c r="M59" i="31"/>
  <c r="O59" i="31"/>
  <c r="Q60" i="31"/>
  <c r="G60" i="31"/>
  <c r="I60" i="31"/>
  <c r="K60" i="31"/>
  <c r="M60" i="31"/>
  <c r="O60" i="31"/>
  <c r="Q61" i="31"/>
  <c r="G61" i="31"/>
  <c r="I61" i="31"/>
  <c r="K61" i="31"/>
  <c r="M61" i="31"/>
  <c r="O61" i="31"/>
  <c r="Q62" i="31"/>
  <c r="G62" i="31"/>
  <c r="I62" i="31"/>
  <c r="K62" i="31"/>
  <c r="M62" i="31"/>
  <c r="O62" i="31"/>
  <c r="Q63" i="31"/>
  <c r="G63" i="31"/>
  <c r="I63" i="31"/>
  <c r="K63" i="31"/>
  <c r="M63" i="31"/>
  <c r="O63" i="31"/>
  <c r="Q64" i="31"/>
  <c r="G64" i="31"/>
  <c r="I64" i="31"/>
  <c r="K64" i="31"/>
  <c r="M64" i="31"/>
  <c r="O64" i="31"/>
  <c r="Q65" i="31"/>
  <c r="G65" i="31"/>
  <c r="I65" i="31"/>
  <c r="K65" i="31"/>
  <c r="M65" i="31"/>
  <c r="O65" i="31"/>
  <c r="Q66" i="31"/>
  <c r="G66" i="31"/>
  <c r="I66" i="31"/>
  <c r="K66" i="31"/>
  <c r="M66" i="31"/>
  <c r="O66" i="31"/>
  <c r="Q67" i="31"/>
  <c r="G67" i="31"/>
  <c r="I67" i="31"/>
  <c r="K67" i="31"/>
  <c r="M67" i="31"/>
  <c r="O67" i="31"/>
  <c r="Q68" i="31"/>
  <c r="G68" i="31"/>
  <c r="I68" i="31"/>
  <c r="K68" i="31"/>
  <c r="M68" i="31"/>
  <c r="O68" i="31"/>
  <c r="Q69" i="31"/>
  <c r="G69" i="31"/>
  <c r="I69" i="31"/>
  <c r="K69" i="31"/>
  <c r="M69" i="31"/>
  <c r="O69" i="31"/>
  <c r="Q70" i="31"/>
  <c r="G70" i="31"/>
  <c r="I70" i="31"/>
  <c r="K70" i="31"/>
  <c r="M70" i="31"/>
  <c r="O70" i="31"/>
  <c r="Q71" i="31"/>
  <c r="G71" i="31"/>
  <c r="I71" i="31"/>
  <c r="K71" i="31"/>
  <c r="M71" i="31"/>
  <c r="O71" i="31"/>
  <c r="Q72" i="31"/>
  <c r="G72" i="31"/>
  <c r="I72" i="31"/>
  <c r="K72" i="31"/>
  <c r="M72" i="31"/>
  <c r="O72" i="31"/>
  <c r="I3" i="78"/>
  <c r="Q138" i="31"/>
  <c r="G138" i="31"/>
  <c r="I138" i="31"/>
  <c r="K138" i="31"/>
  <c r="M138" i="31"/>
  <c r="O138" i="31"/>
  <c r="Q139" i="31"/>
  <c r="G139" i="31"/>
  <c r="I139" i="31"/>
  <c r="K139" i="31"/>
  <c r="M139" i="31"/>
  <c r="O139" i="31"/>
  <c r="Q140" i="31"/>
  <c r="G140" i="31"/>
  <c r="I140" i="31"/>
  <c r="K140" i="31"/>
  <c r="M140" i="31"/>
  <c r="O140" i="31"/>
  <c r="Q141" i="31"/>
  <c r="G141" i="31"/>
  <c r="I141" i="31"/>
  <c r="K141" i="31"/>
  <c r="M141" i="31"/>
  <c r="O141" i="31"/>
  <c r="Q142" i="31"/>
  <c r="G142" i="31"/>
  <c r="I142" i="31"/>
  <c r="K142" i="31"/>
  <c r="M142" i="31"/>
  <c r="O142" i="31"/>
  <c r="Q143" i="31"/>
  <c r="G143" i="31"/>
  <c r="I143" i="31"/>
  <c r="K143" i="31"/>
  <c r="M143" i="31"/>
  <c r="O143" i="31"/>
  <c r="Q144" i="31"/>
  <c r="G144" i="31"/>
  <c r="I144" i="31"/>
  <c r="K144" i="31"/>
  <c r="M144" i="31"/>
  <c r="O144" i="31"/>
  <c r="Q145" i="31"/>
  <c r="G145" i="31"/>
  <c r="I145" i="31"/>
  <c r="K145" i="31"/>
  <c r="M145" i="31"/>
  <c r="O145" i="31"/>
  <c r="Q146" i="31"/>
  <c r="G146" i="31"/>
  <c r="I146" i="31"/>
  <c r="K146" i="31"/>
  <c r="M146" i="31"/>
  <c r="O146" i="31"/>
  <c r="Q147" i="31"/>
  <c r="G147" i="31"/>
  <c r="I147" i="31"/>
  <c r="K147" i="31"/>
  <c r="M147" i="31"/>
  <c r="O147" i="31"/>
  <c r="Q148" i="31"/>
  <c r="G148" i="31"/>
  <c r="I148" i="31"/>
  <c r="K148" i="31"/>
  <c r="M148" i="31"/>
  <c r="O148" i="31"/>
  <c r="Q149" i="31"/>
  <c r="G149" i="31"/>
  <c r="I149" i="31"/>
  <c r="K149" i="31"/>
  <c r="M149" i="31"/>
  <c r="O149" i="31"/>
  <c r="Q150" i="31"/>
  <c r="G150" i="31"/>
  <c r="I150" i="31"/>
  <c r="K150" i="31"/>
  <c r="M150" i="31"/>
  <c r="O150" i="31"/>
  <c r="Q151" i="31"/>
  <c r="G151" i="31"/>
  <c r="I151" i="31"/>
  <c r="K151" i="31"/>
  <c r="M151" i="31"/>
  <c r="O151" i="31"/>
  <c r="J3" i="78"/>
  <c r="K3" i="78"/>
  <c r="L3" i="78"/>
  <c r="M5" i="78"/>
  <c r="Q49" i="31"/>
  <c r="G49" i="31"/>
  <c r="I49" i="31"/>
  <c r="K49" i="31"/>
  <c r="M49" i="31"/>
  <c r="O49" i="31"/>
  <c r="Q50" i="31"/>
  <c r="G50" i="31"/>
  <c r="I50" i="31"/>
  <c r="K50" i="31"/>
  <c r="M50" i="31"/>
  <c r="O50" i="31"/>
  <c r="Q51" i="31"/>
  <c r="G51" i="31"/>
  <c r="I51" i="31"/>
  <c r="K51" i="31"/>
  <c r="M51" i="31"/>
  <c r="O51" i="31"/>
  <c r="Q52" i="31"/>
  <c r="G52" i="31"/>
  <c r="I52" i="31"/>
  <c r="K52" i="31"/>
  <c r="M52" i="31"/>
  <c r="O52" i="31"/>
  <c r="Q53" i="31"/>
  <c r="G53" i="31"/>
  <c r="I53" i="31"/>
  <c r="K53" i="31"/>
  <c r="M53" i="31"/>
  <c r="O53" i="31"/>
  <c r="Q54" i="31"/>
  <c r="G54" i="31"/>
  <c r="I54" i="31"/>
  <c r="K54" i="31"/>
  <c r="M54" i="31"/>
  <c r="O54" i="31"/>
  <c r="H4" i="78"/>
  <c r="Q73" i="31"/>
  <c r="G73" i="31"/>
  <c r="I73" i="31"/>
  <c r="K73" i="31"/>
  <c r="M73" i="31"/>
  <c r="O73" i="31"/>
  <c r="Q74" i="31"/>
  <c r="G74" i="31"/>
  <c r="I74" i="31"/>
  <c r="K74" i="31"/>
  <c r="M74" i="31"/>
  <c r="O74" i="31"/>
  <c r="Q75" i="31"/>
  <c r="G75" i="31"/>
  <c r="I75" i="31"/>
  <c r="K75" i="31"/>
  <c r="M75" i="31"/>
  <c r="O75" i="31"/>
  <c r="Q76" i="31"/>
  <c r="G76" i="31"/>
  <c r="I76" i="31"/>
  <c r="K76" i="31"/>
  <c r="M76" i="31"/>
  <c r="O76" i="31"/>
  <c r="Q77" i="31"/>
  <c r="G77" i="31"/>
  <c r="I77" i="31"/>
  <c r="K77" i="31"/>
  <c r="M77" i="31"/>
  <c r="O77" i="31"/>
  <c r="Q78" i="31"/>
  <c r="G78" i="31"/>
  <c r="I78" i="31"/>
  <c r="K78" i="31"/>
  <c r="M78" i="31"/>
  <c r="O78" i="31"/>
  <c r="Q79" i="31"/>
  <c r="G79" i="31"/>
  <c r="I79" i="31"/>
  <c r="K79" i="31"/>
  <c r="M79" i="31"/>
  <c r="O79" i="31"/>
  <c r="Q80" i="31"/>
  <c r="G80" i="31"/>
  <c r="I80" i="31"/>
  <c r="K80" i="31"/>
  <c r="M80" i="31"/>
  <c r="O80" i="31"/>
  <c r="Q81" i="31"/>
  <c r="G81" i="31"/>
  <c r="I81" i="31"/>
  <c r="K81" i="31"/>
  <c r="M81" i="31"/>
  <c r="O81" i="31"/>
  <c r="Q82" i="31"/>
  <c r="G82" i="31"/>
  <c r="I82" i="31"/>
  <c r="K82" i="31"/>
  <c r="M82" i="31"/>
  <c r="O82" i="31"/>
  <c r="Q83" i="31"/>
  <c r="G83" i="31"/>
  <c r="I83" i="31"/>
  <c r="K83" i="31"/>
  <c r="M83" i="31"/>
  <c r="O83" i="31"/>
  <c r="Q84" i="31"/>
  <c r="G84" i="31"/>
  <c r="I84" i="31"/>
  <c r="K84" i="31"/>
  <c r="M84" i="31"/>
  <c r="O84" i="31"/>
  <c r="Q85" i="31"/>
  <c r="G85" i="31"/>
  <c r="I85" i="31"/>
  <c r="K85" i="31"/>
  <c r="M85" i="31"/>
  <c r="O85" i="31"/>
  <c r="Q86" i="31"/>
  <c r="G86" i="31"/>
  <c r="I86" i="31"/>
  <c r="K86" i="31"/>
  <c r="M86" i="31"/>
  <c r="O86" i="31"/>
  <c r="Q87" i="31"/>
  <c r="G87" i="31"/>
  <c r="I87" i="31"/>
  <c r="K87" i="31"/>
  <c r="M87" i="31"/>
  <c r="O87" i="31"/>
  <c r="Q88" i="31"/>
  <c r="G88" i="31"/>
  <c r="I88" i="31"/>
  <c r="K88" i="31"/>
  <c r="M88" i="31"/>
  <c r="O88" i="31"/>
  <c r="Q89" i="31"/>
  <c r="G89" i="31"/>
  <c r="I89" i="31"/>
  <c r="K89" i="31"/>
  <c r="M89" i="31"/>
  <c r="O89" i="31"/>
  <c r="Q90" i="31"/>
  <c r="G90" i="31"/>
  <c r="I90" i="31"/>
  <c r="K90" i="31"/>
  <c r="M90" i="31"/>
  <c r="O90" i="31"/>
  <c r="Q91" i="31"/>
  <c r="G91" i="31"/>
  <c r="I91" i="31"/>
  <c r="K91" i="31"/>
  <c r="M91" i="31"/>
  <c r="O91" i="31"/>
  <c r="Q92" i="31"/>
  <c r="G92" i="31"/>
  <c r="I92" i="31"/>
  <c r="K92" i="31"/>
  <c r="M92" i="31"/>
  <c r="O92" i="31"/>
  <c r="Q93" i="31"/>
  <c r="G93" i="31"/>
  <c r="I93" i="31"/>
  <c r="K93" i="31"/>
  <c r="M93" i="31"/>
  <c r="O93" i="31"/>
  <c r="Q94" i="31"/>
  <c r="G94" i="31"/>
  <c r="I94" i="31"/>
  <c r="K94" i="31"/>
  <c r="M94" i="31"/>
  <c r="O94" i="31"/>
  <c r="Q95" i="31"/>
  <c r="G95" i="31"/>
  <c r="I95" i="31"/>
  <c r="K95" i="31"/>
  <c r="M95" i="31"/>
  <c r="O95" i="31"/>
  <c r="Q96" i="31"/>
  <c r="G96" i="31"/>
  <c r="I96" i="31"/>
  <c r="K96" i="31"/>
  <c r="M96" i="31"/>
  <c r="O96" i="31"/>
  <c r="Q97" i="31"/>
  <c r="G97" i="31"/>
  <c r="I97" i="31"/>
  <c r="K97" i="31"/>
  <c r="M97" i="31"/>
  <c r="O97" i="31"/>
  <c r="Q98" i="31"/>
  <c r="G98" i="31"/>
  <c r="I98" i="31"/>
  <c r="K98" i="31"/>
  <c r="M98" i="31"/>
  <c r="O98" i="31"/>
  <c r="Q99" i="31"/>
  <c r="G99" i="31"/>
  <c r="I99" i="31"/>
  <c r="K99" i="31"/>
  <c r="M99" i="31"/>
  <c r="O99" i="31"/>
  <c r="Q100" i="31"/>
  <c r="G100" i="31"/>
  <c r="I100" i="31"/>
  <c r="K100" i="31"/>
  <c r="M100" i="31"/>
  <c r="O100" i="31"/>
  <c r="Q101" i="31"/>
  <c r="G101" i="31"/>
  <c r="I101" i="31"/>
  <c r="K101" i="31"/>
  <c r="M101" i="31"/>
  <c r="O101" i="31"/>
  <c r="Q102" i="31"/>
  <c r="G102" i="31"/>
  <c r="I102" i="31"/>
  <c r="K102" i="31"/>
  <c r="M102" i="31"/>
  <c r="O102" i="31"/>
  <c r="Q103" i="31"/>
  <c r="G103" i="31"/>
  <c r="I103" i="31"/>
  <c r="K103" i="31"/>
  <c r="M103" i="31"/>
  <c r="O103" i="31"/>
  <c r="Q104" i="31"/>
  <c r="G104" i="31"/>
  <c r="I104" i="31"/>
  <c r="K104" i="31"/>
  <c r="M104" i="31"/>
  <c r="O104" i="31"/>
  <c r="Q105" i="31"/>
  <c r="G105" i="31"/>
  <c r="I105" i="31"/>
  <c r="K105" i="31"/>
  <c r="M105" i="31"/>
  <c r="O105" i="31"/>
  <c r="Q106" i="31"/>
  <c r="G106" i="31"/>
  <c r="I106" i="31"/>
  <c r="K106" i="31"/>
  <c r="M106" i="31"/>
  <c r="O106" i="31"/>
  <c r="Q107" i="31"/>
  <c r="G107" i="31"/>
  <c r="I107" i="31"/>
  <c r="K107" i="31"/>
  <c r="M107" i="31"/>
  <c r="O107" i="31"/>
  <c r="Q108" i="31"/>
  <c r="G108" i="31"/>
  <c r="I108" i="31"/>
  <c r="K108" i="31"/>
  <c r="M108" i="31"/>
  <c r="O108" i="31"/>
  <c r="Q109" i="31"/>
  <c r="G109" i="31"/>
  <c r="I109" i="31"/>
  <c r="K109" i="31"/>
  <c r="M109" i="31"/>
  <c r="O109" i="31"/>
  <c r="Q110" i="31"/>
  <c r="G110" i="31"/>
  <c r="I110" i="31"/>
  <c r="K110" i="31"/>
  <c r="M110" i="31"/>
  <c r="O110" i="31"/>
  <c r="Q111" i="31"/>
  <c r="G111" i="31"/>
  <c r="I111" i="31"/>
  <c r="K111" i="31"/>
  <c r="M111" i="31"/>
  <c r="O111" i="31"/>
  <c r="Q112" i="31"/>
  <c r="G112" i="31"/>
  <c r="I112" i="31"/>
  <c r="K112" i="31"/>
  <c r="M112" i="31"/>
  <c r="O112" i="31"/>
  <c r="Q113" i="31"/>
  <c r="G113" i="31"/>
  <c r="I113" i="31"/>
  <c r="K113" i="31"/>
  <c r="M113" i="31"/>
  <c r="O113" i="31"/>
  <c r="Q114" i="31"/>
  <c r="G114" i="31"/>
  <c r="I114" i="31"/>
  <c r="K114" i="31"/>
  <c r="M114" i="31"/>
  <c r="O114" i="31"/>
  <c r="Q115" i="31"/>
  <c r="G115" i="31"/>
  <c r="I115" i="31"/>
  <c r="K115" i="31"/>
  <c r="M115" i="31"/>
  <c r="O115" i="31"/>
  <c r="Q116" i="31"/>
  <c r="G116" i="31"/>
  <c r="I116" i="31"/>
  <c r="K116" i="31"/>
  <c r="M116" i="31"/>
  <c r="O116" i="31"/>
  <c r="I4" i="78"/>
  <c r="Q152" i="31"/>
  <c r="G152" i="31"/>
  <c r="I152" i="31"/>
  <c r="K152" i="31"/>
  <c r="M152" i="31"/>
  <c r="O152" i="31"/>
  <c r="Q153" i="31"/>
  <c r="G153" i="31"/>
  <c r="I153" i="31"/>
  <c r="K153" i="31"/>
  <c r="M153" i="31"/>
  <c r="O153" i="31"/>
  <c r="Q154" i="31"/>
  <c r="G154" i="31"/>
  <c r="I154" i="31"/>
  <c r="K154" i="31"/>
  <c r="M154" i="31"/>
  <c r="O154" i="31"/>
  <c r="Q155" i="31"/>
  <c r="G155" i="31"/>
  <c r="I155" i="31"/>
  <c r="K155" i="31"/>
  <c r="M155" i="31"/>
  <c r="O155" i="31"/>
  <c r="Q156" i="31"/>
  <c r="G156" i="31"/>
  <c r="I156" i="31"/>
  <c r="K156" i="31"/>
  <c r="M156" i="31"/>
  <c r="O156" i="31"/>
  <c r="Q157" i="31"/>
  <c r="G157" i="31"/>
  <c r="I157" i="31"/>
  <c r="K157" i="31"/>
  <c r="M157" i="31"/>
  <c r="O157" i="31"/>
  <c r="Q158" i="31"/>
  <c r="G158" i="31"/>
  <c r="I158" i="31"/>
  <c r="K158" i="31"/>
  <c r="M158" i="31"/>
  <c r="O158" i="31"/>
  <c r="Q159" i="31"/>
  <c r="G159" i="31"/>
  <c r="I159" i="31"/>
  <c r="K159" i="31"/>
  <c r="M159" i="31"/>
  <c r="O159" i="31"/>
  <c r="Q160" i="31"/>
  <c r="G160" i="31"/>
  <c r="I160" i="31"/>
  <c r="K160" i="31"/>
  <c r="M160" i="31"/>
  <c r="O160" i="31"/>
  <c r="Q161" i="31"/>
  <c r="G161" i="31"/>
  <c r="I161" i="31"/>
  <c r="K161" i="31"/>
  <c r="M161" i="31"/>
  <c r="O161" i="31"/>
  <c r="Q162" i="31"/>
  <c r="G162" i="31"/>
  <c r="I162" i="31"/>
  <c r="K162" i="31"/>
  <c r="M162" i="31"/>
  <c r="O162" i="31"/>
  <c r="Q163" i="31"/>
  <c r="G163" i="31"/>
  <c r="I163" i="31"/>
  <c r="K163" i="31"/>
  <c r="M163" i="31"/>
  <c r="O163" i="31"/>
  <c r="Q164" i="31"/>
  <c r="G164" i="31"/>
  <c r="I164" i="31"/>
  <c r="K164" i="31"/>
  <c r="M164" i="31"/>
  <c r="O164" i="31"/>
  <c r="Q165" i="31"/>
  <c r="G165" i="31"/>
  <c r="I165" i="31"/>
  <c r="K165" i="31"/>
  <c r="M165" i="31"/>
  <c r="O165" i="31"/>
  <c r="Q166" i="31"/>
  <c r="G166" i="31"/>
  <c r="I166" i="31"/>
  <c r="K166" i="31"/>
  <c r="M166" i="31"/>
  <c r="O166" i="31"/>
  <c r="Q167" i="31"/>
  <c r="G167" i="31"/>
  <c r="I167" i="31"/>
  <c r="K167" i="31"/>
  <c r="M167" i="31"/>
  <c r="O167" i="31"/>
  <c r="Q168" i="31"/>
  <c r="G168" i="31"/>
  <c r="I168" i="31"/>
  <c r="K168" i="31"/>
  <c r="M168" i="31"/>
  <c r="O168" i="31"/>
  <c r="Q169" i="31"/>
  <c r="G169" i="31"/>
  <c r="I169" i="31"/>
  <c r="K169" i="31"/>
  <c r="M169" i="31"/>
  <c r="O169" i="31"/>
  <c r="Q170" i="31"/>
  <c r="G170" i="31"/>
  <c r="I170" i="31"/>
  <c r="K170" i="31"/>
  <c r="M170" i="31"/>
  <c r="O170" i="31"/>
  <c r="Q171" i="31"/>
  <c r="G171" i="31"/>
  <c r="I171" i="31"/>
  <c r="K171" i="31"/>
  <c r="M171" i="31"/>
  <c r="O171" i="31"/>
  <c r="Q172" i="31"/>
  <c r="G172" i="31"/>
  <c r="I172" i="31"/>
  <c r="K172" i="31"/>
  <c r="M172" i="31"/>
  <c r="O172" i="31"/>
  <c r="Q173" i="31"/>
  <c r="G173" i="31"/>
  <c r="I173" i="31"/>
  <c r="K173" i="31"/>
  <c r="M173" i="31"/>
  <c r="O173" i="31"/>
  <c r="Q174" i="31"/>
  <c r="G174" i="31"/>
  <c r="I174" i="31"/>
  <c r="K174" i="31"/>
  <c r="M174" i="31"/>
  <c r="O174" i="31"/>
  <c r="Q175" i="31"/>
  <c r="G175" i="31"/>
  <c r="I175" i="31"/>
  <c r="K175" i="31"/>
  <c r="M175" i="31"/>
  <c r="O175" i="31"/>
  <c r="Q176" i="31"/>
  <c r="G176" i="31"/>
  <c r="I176" i="31"/>
  <c r="K176" i="31"/>
  <c r="M176" i="31"/>
  <c r="O176" i="31"/>
  <c r="Q177" i="31"/>
  <c r="G177" i="31"/>
  <c r="I177" i="31"/>
  <c r="K177" i="31"/>
  <c r="M177" i="31"/>
  <c r="O177" i="31"/>
  <c r="Q178" i="31"/>
  <c r="G178" i="31"/>
  <c r="I178" i="31"/>
  <c r="K178" i="31"/>
  <c r="M178" i="31"/>
  <c r="O178" i="31"/>
  <c r="Q179" i="31"/>
  <c r="G179" i="31"/>
  <c r="I179" i="31"/>
  <c r="K179" i="31"/>
  <c r="M179" i="31"/>
  <c r="O179" i="31"/>
  <c r="Q180" i="31"/>
  <c r="G180" i="31"/>
  <c r="I180" i="31"/>
  <c r="K180" i="31"/>
  <c r="M180" i="31"/>
  <c r="O180" i="31"/>
  <c r="Q181" i="31"/>
  <c r="G181" i="31"/>
  <c r="I181" i="31"/>
  <c r="K181" i="31"/>
  <c r="M181" i="31"/>
  <c r="O181" i="31"/>
  <c r="Q182" i="31"/>
  <c r="G182" i="31"/>
  <c r="I182" i="31"/>
  <c r="K182" i="31"/>
  <c r="M182" i="31"/>
  <c r="O182" i="31"/>
  <c r="Q183" i="31"/>
  <c r="G183" i="31"/>
  <c r="I183" i="31"/>
  <c r="K183" i="31"/>
  <c r="M183" i="31"/>
  <c r="O183" i="31"/>
  <c r="Q184" i="31"/>
  <c r="G184" i="31"/>
  <c r="I184" i="31"/>
  <c r="K184" i="31"/>
  <c r="M184" i="31"/>
  <c r="O184" i="31"/>
  <c r="Q185" i="31"/>
  <c r="G185" i="31"/>
  <c r="I185" i="31"/>
  <c r="K185" i="31"/>
  <c r="M185" i="31"/>
  <c r="O185" i="31"/>
  <c r="Q186" i="31"/>
  <c r="G186" i="31"/>
  <c r="I186" i="31"/>
  <c r="K186" i="31"/>
  <c r="M186" i="31"/>
  <c r="O186" i="31"/>
  <c r="Q187" i="31"/>
  <c r="G187" i="31"/>
  <c r="I187" i="31"/>
  <c r="K187" i="31"/>
  <c r="M187" i="31"/>
  <c r="O187" i="31"/>
  <c r="Q188" i="31"/>
  <c r="G188" i="31"/>
  <c r="I188" i="31"/>
  <c r="K188" i="31"/>
  <c r="M188" i="31"/>
  <c r="O188" i="31"/>
  <c r="Q189" i="31"/>
  <c r="G189" i="31"/>
  <c r="I189" i="31"/>
  <c r="K189" i="31"/>
  <c r="M189" i="31"/>
  <c r="O189" i="31"/>
  <c r="Q190" i="31"/>
  <c r="G190" i="31"/>
  <c r="I190" i="31"/>
  <c r="K190" i="31"/>
  <c r="M190" i="31"/>
  <c r="O190" i="31"/>
  <c r="Q191" i="31"/>
  <c r="G191" i="31"/>
  <c r="I191" i="31"/>
  <c r="K191" i="31"/>
  <c r="M191" i="31"/>
  <c r="O191" i="31"/>
  <c r="Q192" i="31"/>
  <c r="G192" i="31"/>
  <c r="I192" i="31"/>
  <c r="K192" i="31"/>
  <c r="M192" i="31"/>
  <c r="O192" i="31"/>
  <c r="Q193" i="31"/>
  <c r="G193" i="31"/>
  <c r="I193" i="31"/>
  <c r="K193" i="31"/>
  <c r="M193" i="31"/>
  <c r="O193" i="31"/>
  <c r="Q194" i="31"/>
  <c r="G194" i="31"/>
  <c r="I194" i="31"/>
  <c r="K194" i="31"/>
  <c r="M194" i="31"/>
  <c r="O194" i="31"/>
  <c r="Q195" i="31"/>
  <c r="G195" i="31"/>
  <c r="I195" i="31"/>
  <c r="K195" i="31"/>
  <c r="M195" i="31"/>
  <c r="O195" i="31"/>
  <c r="Q196" i="31"/>
  <c r="G196" i="31"/>
  <c r="I196" i="31"/>
  <c r="K196" i="31"/>
  <c r="M196" i="31"/>
  <c r="O196" i="31"/>
  <c r="Q197" i="31"/>
  <c r="G197" i="31"/>
  <c r="I197" i="31"/>
  <c r="K197" i="31"/>
  <c r="M197" i="31"/>
  <c r="O197" i="31"/>
  <c r="Q198" i="31"/>
  <c r="G198" i="31"/>
  <c r="I198" i="31"/>
  <c r="K198" i="31"/>
  <c r="M198" i="31"/>
  <c r="O198" i="31"/>
  <c r="Q199" i="31"/>
  <c r="G199" i="31"/>
  <c r="I199" i="31"/>
  <c r="K199" i="31"/>
  <c r="M199" i="31"/>
  <c r="O199" i="31"/>
  <c r="Q200" i="31"/>
  <c r="G200" i="31"/>
  <c r="I200" i="31"/>
  <c r="K200" i="31"/>
  <c r="M200" i="31"/>
  <c r="O200" i="31"/>
  <c r="Q201" i="31"/>
  <c r="G201" i="31"/>
  <c r="I201" i="31"/>
  <c r="K201" i="31"/>
  <c r="M201" i="31"/>
  <c r="O201" i="31"/>
  <c r="Q202" i="31"/>
  <c r="G202" i="31"/>
  <c r="I202" i="31"/>
  <c r="K202" i="31"/>
  <c r="M202" i="31"/>
  <c r="O202" i="31"/>
  <c r="Q203" i="31"/>
  <c r="G203" i="31"/>
  <c r="I203" i="31"/>
  <c r="K203" i="31"/>
  <c r="M203" i="31"/>
  <c r="O203" i="31"/>
  <c r="Q204" i="31"/>
  <c r="G204" i="31"/>
  <c r="I204" i="31"/>
  <c r="K204" i="31"/>
  <c r="M204" i="31"/>
  <c r="O204" i="31"/>
  <c r="Q205" i="31"/>
  <c r="G205" i="31"/>
  <c r="I205" i="31"/>
  <c r="K205" i="31"/>
  <c r="M205" i="31"/>
  <c r="O205" i="31"/>
  <c r="Q206" i="31"/>
  <c r="G206" i="31"/>
  <c r="I206" i="31"/>
  <c r="K206" i="31"/>
  <c r="M206" i="31"/>
  <c r="O206" i="31"/>
  <c r="Q207" i="31"/>
  <c r="G207" i="31"/>
  <c r="I207" i="31"/>
  <c r="K207" i="31"/>
  <c r="M207" i="31"/>
  <c r="O207" i="31"/>
  <c r="Q208" i="31"/>
  <c r="G208" i="31"/>
  <c r="I208" i="31"/>
  <c r="K208" i="31"/>
  <c r="M208" i="31"/>
  <c r="O208" i="31"/>
  <c r="Q209" i="31"/>
  <c r="G209" i="31"/>
  <c r="I209" i="31"/>
  <c r="K209" i="31"/>
  <c r="M209" i="31"/>
  <c r="O209" i="31"/>
  <c r="Q210" i="31"/>
  <c r="G210" i="31"/>
  <c r="I210" i="31"/>
  <c r="K210" i="31"/>
  <c r="M210" i="31"/>
  <c r="O210" i="31"/>
  <c r="Q211" i="31"/>
  <c r="G211" i="31"/>
  <c r="I211" i="31"/>
  <c r="K211" i="31"/>
  <c r="M211" i="31"/>
  <c r="O211" i="31"/>
  <c r="Q212" i="31"/>
  <c r="G212" i="31"/>
  <c r="I212" i="31"/>
  <c r="K212" i="31"/>
  <c r="M212" i="31"/>
  <c r="O212" i="31"/>
  <c r="Q213" i="31"/>
  <c r="G213" i="31"/>
  <c r="I213" i="31"/>
  <c r="K213" i="31"/>
  <c r="M213" i="31"/>
  <c r="O213" i="31"/>
  <c r="J4" i="78"/>
  <c r="K4" i="78"/>
  <c r="L4" i="78"/>
  <c r="M4" i="78"/>
  <c r="T47" i="33"/>
  <c r="V47" i="33"/>
  <c r="K6" i="78"/>
  <c r="F20" i="6"/>
  <c r="F19" i="6"/>
  <c r="C40" i="33"/>
  <c r="C6" i="33"/>
  <c r="B25" i="31"/>
  <c r="B26" i="31"/>
  <c r="B27" i="31"/>
  <c r="B28" i="31"/>
  <c r="B29" i="31"/>
  <c r="B30" i="31"/>
  <c r="B31" i="31"/>
  <c r="A25" i="31"/>
  <c r="A26" i="31"/>
  <c r="A27" i="31"/>
  <c r="A28" i="31"/>
  <c r="A29" i="31"/>
  <c r="A30" i="31"/>
  <c r="A31" i="31"/>
  <c r="B24" i="31"/>
  <c r="A24"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B138" i="31"/>
  <c r="A13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A136" i="31"/>
  <c r="A137" i="31"/>
  <c r="A131" i="31"/>
  <c r="A132" i="31"/>
  <c r="A133" i="31"/>
  <c r="A134" i="31"/>
  <c r="A135" i="31"/>
  <c r="A127" i="31"/>
  <c r="A128" i="31"/>
  <c r="A129" i="31"/>
  <c r="A130" i="31"/>
  <c r="A117" i="31"/>
  <c r="A118" i="31"/>
  <c r="A119" i="31"/>
  <c r="A120" i="31"/>
  <c r="A121" i="31"/>
  <c r="A122" i="31"/>
  <c r="A123" i="31"/>
  <c r="A124" i="31"/>
  <c r="A125" i="31"/>
  <c r="A126" i="31"/>
  <c r="A111" i="31"/>
  <c r="A112" i="31"/>
  <c r="A113" i="31"/>
  <c r="A114" i="31"/>
  <c r="A115" i="31"/>
  <c r="A116" i="31"/>
  <c r="A100" i="31"/>
  <c r="A101" i="31"/>
  <c r="A102" i="31"/>
  <c r="A103" i="31"/>
  <c r="A104" i="31"/>
  <c r="A105" i="31"/>
  <c r="A106" i="31"/>
  <c r="A107" i="31"/>
  <c r="A108" i="31"/>
  <c r="A109" i="31"/>
  <c r="A110"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B58" i="31"/>
  <c r="A58" i="31"/>
  <c r="C7" i="78"/>
  <c r="D7" i="78"/>
  <c r="E7" i="78"/>
  <c r="F7" i="78"/>
  <c r="G6" i="78"/>
  <c r="E462" i="80"/>
  <c r="E229" i="80"/>
  <c r="E36" i="80"/>
  <c r="C118" i="33"/>
  <c r="F40" i="33"/>
  <c r="AA40" i="33"/>
  <c r="H40" i="33"/>
  <c r="AB40" i="33"/>
  <c r="J40" i="33"/>
  <c r="AC40" i="33"/>
  <c r="E19" i="6"/>
  <c r="D3" i="33"/>
  <c r="A6" i="1"/>
  <c r="G1" i="67"/>
  <c r="K6" i="1"/>
  <c r="C3" i="78"/>
  <c r="C4" i="78"/>
  <c r="C5" i="78"/>
  <c r="C6" i="78"/>
  <c r="I13" i="3"/>
  <c r="BB13" i="3"/>
  <c r="BA13" i="3"/>
  <c r="AZ13" i="3"/>
  <c r="D3" i="78"/>
  <c r="D4" i="78"/>
  <c r="D5" i="78"/>
  <c r="D6" i="78"/>
  <c r="I14" i="3"/>
  <c r="BB14" i="3"/>
  <c r="BA14" i="3"/>
  <c r="AZ14" i="3"/>
  <c r="E3" i="78"/>
  <c r="E4" i="78"/>
  <c r="E5" i="78"/>
  <c r="E6" i="78"/>
  <c r="I15" i="3"/>
  <c r="BB15" i="3"/>
  <c r="BA15" i="3"/>
  <c r="AZ15" i="3"/>
  <c r="AZ5" i="3"/>
  <c r="H13" i="3"/>
  <c r="G13" i="3"/>
  <c r="H14" i="3"/>
  <c r="G14" i="3"/>
  <c r="H15" i="3"/>
  <c r="G15" i="3"/>
  <c r="G5" i="3"/>
  <c r="B3" i="3"/>
  <c r="E3" i="6"/>
  <c r="F3" i="78"/>
  <c r="F4" i="78"/>
  <c r="F5" i="78"/>
  <c r="F6" i="78"/>
  <c r="E20" i="6"/>
  <c r="BA5" i="3"/>
  <c r="F27" i="6"/>
  <c r="E27" i="6"/>
  <c r="K19" i="6"/>
  <c r="L19" i="6"/>
  <c r="M19" i="6"/>
  <c r="I19" i="6"/>
  <c r="S6" i="1"/>
  <c r="M47" i="67"/>
  <c r="M18" i="9"/>
  <c r="B118" i="9"/>
  <c r="Q7" i="1"/>
  <c r="I7" i="1"/>
  <c r="H7" i="1"/>
  <c r="L7" i="1"/>
  <c r="E7" i="33"/>
  <c r="Y6" i="1"/>
  <c r="N7" i="1"/>
  <c r="F118" i="33"/>
  <c r="I7" i="33"/>
  <c r="E118" i="33"/>
  <c r="D118" i="33"/>
  <c r="G7" i="33"/>
  <c r="C36" i="33"/>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N6" i="1"/>
  <c r="E233" i="77"/>
  <c r="E117" i="77"/>
  <c r="E36" i="77"/>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67"/>
  <c r="J51" i="67"/>
  <c r="M47" i="15"/>
  <c r="G1" i="15"/>
  <c r="L48" i="15"/>
  <c r="J50" i="15"/>
  <c r="J51"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C202" i="31"/>
  <c r="E202" i="31"/>
  <c r="C203" i="31"/>
  <c r="E203" i="31"/>
  <c r="C204" i="31"/>
  <c r="E204" i="31"/>
  <c r="C205" i="31"/>
  <c r="E205" i="31"/>
  <c r="C206" i="31"/>
  <c r="E206" i="31"/>
  <c r="C207" i="31"/>
  <c r="E207" i="31"/>
  <c r="C208" i="31"/>
  <c r="E208" i="31"/>
  <c r="C209" i="31"/>
  <c r="E209" i="31"/>
  <c r="C210" i="31"/>
  <c r="E210" i="31"/>
  <c r="C211" i="31"/>
  <c r="E211" i="31"/>
  <c r="C212" i="31"/>
  <c r="E212" i="31"/>
  <c r="C213" i="31"/>
  <c r="E213" i="31"/>
  <c r="C214" i="31"/>
  <c r="E214" i="31"/>
  <c r="C215" i="31"/>
  <c r="E215" i="31"/>
  <c r="C216" i="31"/>
  <c r="E216" i="31"/>
  <c r="C217" i="31"/>
  <c r="E217" i="31"/>
  <c r="C218" i="31"/>
  <c r="E218" i="31"/>
  <c r="C219" i="31"/>
  <c r="E219" i="31"/>
  <c r="C220" i="31"/>
  <c r="E220" i="31"/>
  <c r="C221" i="31"/>
  <c r="E221" i="31"/>
  <c r="C222" i="31"/>
  <c r="E222" i="31"/>
  <c r="C223" i="31"/>
  <c r="E223" i="31"/>
  <c r="C224" i="31"/>
  <c r="E224" i="31"/>
  <c r="C225" i="31"/>
  <c r="E225" i="31"/>
  <c r="C226" i="31"/>
  <c r="E226" i="31"/>
  <c r="C227" i="31"/>
  <c r="E227" i="31"/>
  <c r="C228" i="31"/>
  <c r="E228" i="31"/>
  <c r="C229" i="31"/>
  <c r="E229" i="31"/>
  <c r="C230" i="31"/>
  <c r="E230" i="31"/>
  <c r="C231" i="31"/>
  <c r="E231" i="31"/>
  <c r="C232" i="31"/>
  <c r="E232" i="31"/>
  <c r="C233" i="31"/>
  <c r="E233" i="31"/>
  <c r="C234" i="31"/>
  <c r="E234" i="31"/>
  <c r="C235" i="31"/>
  <c r="E235" i="31"/>
  <c r="C236" i="31"/>
  <c r="E236" i="31"/>
  <c r="C237" i="31"/>
  <c r="E237" i="31"/>
  <c r="C238" i="31"/>
  <c r="E238" i="31"/>
  <c r="C239" i="31"/>
  <c r="E239" i="31"/>
  <c r="C240" i="31"/>
  <c r="E240" i="31"/>
  <c r="C241" i="31"/>
  <c r="E241" i="31"/>
  <c r="C242" i="31"/>
  <c r="E242" i="31"/>
  <c r="C243" i="31"/>
  <c r="E243" i="31"/>
  <c r="C244" i="31"/>
  <c r="E244" i="31"/>
  <c r="C245" i="31"/>
  <c r="E245" i="31"/>
  <c r="C246" i="31"/>
  <c r="E246" i="31"/>
  <c r="C247" i="31"/>
  <c r="E247" i="31"/>
  <c r="C248" i="31"/>
  <c r="E248" i="31"/>
  <c r="C249" i="31"/>
  <c r="E249" i="31"/>
  <c r="C250" i="31"/>
  <c r="E250" i="31"/>
  <c r="C251" i="31"/>
  <c r="E251" i="31"/>
  <c r="C252" i="31"/>
  <c r="E252" i="31"/>
  <c r="C253" i="31"/>
  <c r="Q253" i="31"/>
  <c r="E253" i="31"/>
  <c r="R253" i="31"/>
  <c r="C254" i="31"/>
  <c r="Q254" i="31"/>
  <c r="E254" i="31"/>
  <c r="R254" i="31"/>
  <c r="C255" i="31"/>
  <c r="Q255" i="31"/>
  <c r="E255" i="31"/>
  <c r="R255" i="31"/>
  <c r="S255" i="31"/>
  <c r="C256" i="31"/>
  <c r="Q256" i="31"/>
  <c r="E256" i="31"/>
  <c r="R256" i="31"/>
  <c r="C257" i="31"/>
  <c r="Q257" i="31"/>
  <c r="E257" i="31"/>
  <c r="R257" i="31"/>
  <c r="S257" i="31"/>
  <c r="C258" i="31"/>
  <c r="Q258" i="31"/>
  <c r="E258" i="31"/>
  <c r="R258" i="31"/>
  <c r="C259" i="31"/>
  <c r="Q259" i="31"/>
  <c r="E259" i="31"/>
  <c r="R259" i="31"/>
  <c r="S259" i="31"/>
  <c r="C260" i="31"/>
  <c r="Q260" i="31"/>
  <c r="E260" i="31"/>
  <c r="R260" i="31"/>
  <c r="C261" i="31"/>
  <c r="Q261" i="31"/>
  <c r="E261" i="31"/>
  <c r="R261" i="31"/>
  <c r="S261" i="31"/>
  <c r="C262" i="31"/>
  <c r="Q262" i="31"/>
  <c r="E262" i="31"/>
  <c r="R262" i="31"/>
  <c r="C263" i="31"/>
  <c r="Q263" i="31"/>
  <c r="E263" i="31"/>
  <c r="R263" i="31"/>
  <c r="S263" i="31"/>
  <c r="C264" i="31"/>
  <c r="Q264" i="31"/>
  <c r="E264" i="31"/>
  <c r="R264" i="31"/>
  <c r="C265" i="31"/>
  <c r="Q265" i="31"/>
  <c r="E265" i="31"/>
  <c r="R265" i="31"/>
  <c r="S265" i="31"/>
  <c r="C266" i="31"/>
  <c r="Q266" i="31"/>
  <c r="E266" i="31"/>
  <c r="R266" i="31"/>
  <c r="C267" i="31"/>
  <c r="Q267" i="31"/>
  <c r="E267" i="31"/>
  <c r="R267" i="31"/>
  <c r="S267" i="31"/>
  <c r="C268" i="31"/>
  <c r="Q268" i="31"/>
  <c r="E268" i="31"/>
  <c r="R268" i="31"/>
  <c r="C269" i="31"/>
  <c r="Q269" i="31"/>
  <c r="E269" i="31"/>
  <c r="R269" i="31"/>
  <c r="S269" i="31"/>
  <c r="C270" i="31"/>
  <c r="Q270" i="31"/>
  <c r="E270" i="31"/>
  <c r="R270" i="31"/>
  <c r="C271" i="31"/>
  <c r="Q271" i="31"/>
  <c r="E271" i="31"/>
  <c r="R271" i="31"/>
  <c r="S271" i="31"/>
  <c r="C272" i="31"/>
  <c r="Q272" i="31"/>
  <c r="E272" i="31"/>
  <c r="R272" i="31"/>
  <c r="C273" i="31"/>
  <c r="Q273" i="31"/>
  <c r="E273" i="31"/>
  <c r="R273" i="31"/>
  <c r="S273" i="31"/>
  <c r="C274" i="31"/>
  <c r="Q274" i="31"/>
  <c r="E274" i="31"/>
  <c r="R274" i="31"/>
  <c r="C275" i="31"/>
  <c r="Q275" i="31"/>
  <c r="E275" i="31"/>
  <c r="R275" i="31"/>
  <c r="S275" i="31"/>
  <c r="C276" i="31"/>
  <c r="Q276" i="31"/>
  <c r="E276" i="31"/>
  <c r="R276" i="31"/>
  <c r="C277" i="31"/>
  <c r="Q277" i="31"/>
  <c r="E277" i="31"/>
  <c r="R277" i="31"/>
  <c r="S277" i="31"/>
  <c r="C278" i="31"/>
  <c r="Q278" i="31"/>
  <c r="E278" i="31"/>
  <c r="R278" i="31"/>
  <c r="C279" i="31"/>
  <c r="Q279" i="31"/>
  <c r="E279" i="31"/>
  <c r="R279" i="31"/>
  <c r="S279" i="31"/>
  <c r="C280" i="31"/>
  <c r="Q280" i="31"/>
  <c r="E280" i="31"/>
  <c r="R280" i="31"/>
  <c r="C281" i="31"/>
  <c r="Q281" i="31"/>
  <c r="E281" i="31"/>
  <c r="R281" i="31"/>
  <c r="S281" i="31"/>
  <c r="C282" i="31"/>
  <c r="Q282" i="31"/>
  <c r="E282" i="31"/>
  <c r="R282" i="31"/>
  <c r="C283" i="31"/>
  <c r="Q283" i="31"/>
  <c r="E283" i="31"/>
  <c r="R283" i="31"/>
  <c r="S283" i="31"/>
  <c r="C284" i="31"/>
  <c r="Q284" i="31"/>
  <c r="E284" i="31"/>
  <c r="R284" i="31"/>
  <c r="C285" i="31"/>
  <c r="Q285" i="31"/>
  <c r="E285" i="31"/>
  <c r="R285" i="31"/>
  <c r="S285" i="31"/>
  <c r="C286" i="31"/>
  <c r="Q286" i="31"/>
  <c r="E286" i="31"/>
  <c r="R286" i="31"/>
  <c r="C287" i="31"/>
  <c r="Q287" i="31"/>
  <c r="E287" i="31"/>
  <c r="R287" i="31"/>
  <c r="S287" i="31"/>
  <c r="C288" i="31"/>
  <c r="Q288" i="31"/>
  <c r="E288" i="31"/>
  <c r="R288" i="31"/>
  <c r="C289" i="31"/>
  <c r="Q289" i="31"/>
  <c r="E289" i="31"/>
  <c r="R289" i="31"/>
  <c r="S289" i="31"/>
  <c r="C290" i="31"/>
  <c r="Q290" i="31"/>
  <c r="E290" i="31"/>
  <c r="R290" i="31"/>
  <c r="C291" i="31"/>
  <c r="Q291" i="31"/>
  <c r="E291" i="31"/>
  <c r="R291" i="31"/>
  <c r="S291" i="31"/>
  <c r="C292" i="31"/>
  <c r="Q292" i="31"/>
  <c r="E292" i="31"/>
  <c r="R292" i="31"/>
  <c r="C293" i="31"/>
  <c r="Q293" i="31"/>
  <c r="E293" i="31"/>
  <c r="R293" i="31"/>
  <c r="S293" i="31"/>
  <c r="C294" i="31"/>
  <c r="Q294" i="31"/>
  <c r="E294" i="31"/>
  <c r="R294" i="31"/>
  <c r="C295" i="31"/>
  <c r="Q295" i="31"/>
  <c r="E295" i="31"/>
  <c r="R295" i="31"/>
  <c r="S295" i="31"/>
  <c r="C296" i="31"/>
  <c r="Q296" i="31"/>
  <c r="E296" i="31"/>
  <c r="R296" i="31"/>
  <c r="C297" i="31"/>
  <c r="Q297" i="31"/>
  <c r="E297" i="31"/>
  <c r="R297" i="31"/>
  <c r="S297" i="31"/>
  <c r="C298" i="31"/>
  <c r="Q298" i="31"/>
  <c r="E298" i="31"/>
  <c r="R298" i="31"/>
  <c r="C299" i="31"/>
  <c r="Q299" i="31"/>
  <c r="E299" i="31"/>
  <c r="R299" i="31"/>
  <c r="S299" i="31"/>
  <c r="C300" i="31"/>
  <c r="Q300" i="31"/>
  <c r="E300" i="31"/>
  <c r="R300" i="31"/>
  <c r="C301" i="31"/>
  <c r="Q301" i="31"/>
  <c r="E301" i="31"/>
  <c r="R301" i="31"/>
  <c r="S301" i="31"/>
  <c r="C302" i="31"/>
  <c r="Q302" i="31"/>
  <c r="E302" i="31"/>
  <c r="R302" i="31"/>
  <c r="C303" i="31"/>
  <c r="Q303" i="31"/>
  <c r="E303" i="31"/>
  <c r="R303" i="31"/>
  <c r="S303" i="31"/>
  <c r="C304" i="31"/>
  <c r="Q304" i="31"/>
  <c r="E304" i="31"/>
  <c r="R304" i="31"/>
  <c r="C305" i="31"/>
  <c r="Q305" i="31"/>
  <c r="E305" i="31"/>
  <c r="R305" i="31"/>
  <c r="S305" i="31"/>
  <c r="C306" i="31"/>
  <c r="Q306" i="31"/>
  <c r="E306" i="31"/>
  <c r="R306" i="31"/>
  <c r="C307" i="31"/>
  <c r="Q307" i="31"/>
  <c r="E307" i="31"/>
  <c r="R307" i="31"/>
  <c r="S307" i="31"/>
  <c r="C308" i="31"/>
  <c r="Q308" i="31"/>
  <c r="E308" i="31"/>
  <c r="R308" i="31"/>
  <c r="C309" i="31"/>
  <c r="Q309" i="31"/>
  <c r="E309" i="31"/>
  <c r="R309" i="31"/>
  <c r="S309" i="31"/>
  <c r="C310" i="31"/>
  <c r="Q310" i="31"/>
  <c r="E310" i="31"/>
  <c r="R310" i="31"/>
  <c r="C311" i="31"/>
  <c r="Q311" i="31"/>
  <c r="E311" i="31"/>
  <c r="R311" i="31"/>
  <c r="S311" i="31"/>
  <c r="C312" i="31"/>
  <c r="Q312" i="31"/>
  <c r="E312" i="31"/>
  <c r="R312" i="31"/>
  <c r="C313" i="31"/>
  <c r="Q313" i="31"/>
  <c r="E313" i="31"/>
  <c r="R313" i="31"/>
  <c r="S313" i="31"/>
  <c r="C314" i="31"/>
  <c r="Q314" i="31"/>
  <c r="E314" i="31"/>
  <c r="R314" i="31"/>
  <c r="C315" i="31"/>
  <c r="Q315" i="31"/>
  <c r="E315" i="31"/>
  <c r="R315" i="31"/>
  <c r="S315" i="31"/>
  <c r="C316" i="31"/>
  <c r="Q316" i="31"/>
  <c r="E316" i="31"/>
  <c r="R316" i="31"/>
  <c r="C317" i="31"/>
  <c r="Q317" i="31"/>
  <c r="E317" i="31"/>
  <c r="R317" i="31"/>
  <c r="S317" i="31"/>
  <c r="C318" i="31"/>
  <c r="Q318" i="31"/>
  <c r="E318" i="31"/>
  <c r="R318" i="31"/>
  <c r="C319" i="31"/>
  <c r="Q319" i="31"/>
  <c r="E319" i="31"/>
  <c r="R319" i="31"/>
  <c r="S319" i="31"/>
  <c r="C320" i="31"/>
  <c r="Q320" i="31"/>
  <c r="E320" i="31"/>
  <c r="R320" i="31"/>
  <c r="C321" i="31"/>
  <c r="Q321" i="31"/>
  <c r="E321" i="31"/>
  <c r="R321" i="31"/>
  <c r="S321" i="31"/>
  <c r="C322" i="31"/>
  <c r="Q322" i="31"/>
  <c r="E322" i="31"/>
  <c r="R322" i="31"/>
  <c r="C323" i="31"/>
  <c r="Q323" i="31"/>
  <c r="E323" i="31"/>
  <c r="R323" i="31"/>
  <c r="S323" i="31"/>
  <c r="C324" i="31"/>
  <c r="Q324" i="31"/>
  <c r="E324" i="31"/>
  <c r="R324" i="31"/>
  <c r="C325" i="31"/>
  <c r="Q325" i="31"/>
  <c r="E325" i="31"/>
  <c r="R325" i="31"/>
  <c r="S325" i="31"/>
  <c r="C326" i="31"/>
  <c r="Q326" i="31"/>
  <c r="E326" i="31"/>
  <c r="R326" i="31"/>
  <c r="C327" i="31"/>
  <c r="Q327" i="31"/>
  <c r="E327" i="31"/>
  <c r="R327" i="31"/>
  <c r="S327" i="31"/>
  <c r="C328" i="31"/>
  <c r="Q328" i="31"/>
  <c r="E328" i="31"/>
  <c r="R328" i="31"/>
  <c r="C329" i="31"/>
  <c r="Q329" i="31"/>
  <c r="E329" i="31"/>
  <c r="R329" i="31"/>
  <c r="S329" i="31"/>
  <c r="C330" i="31"/>
  <c r="Q330" i="31"/>
  <c r="E330" i="31"/>
  <c r="R330" i="31"/>
  <c r="C331" i="31"/>
  <c r="Q331" i="31"/>
  <c r="E331" i="31"/>
  <c r="R331" i="31"/>
  <c r="S331" i="31"/>
  <c r="C332" i="31"/>
  <c r="Q332" i="31"/>
  <c r="E332" i="31"/>
  <c r="R332" i="31"/>
  <c r="C333" i="31"/>
  <c r="Q333" i="31"/>
  <c r="E333" i="31"/>
  <c r="R333" i="31"/>
  <c r="S333" i="31"/>
  <c r="C334" i="31"/>
  <c r="Q334" i="31"/>
  <c r="E334" i="31"/>
  <c r="R334" i="31"/>
  <c r="C335" i="31"/>
  <c r="Q335" i="31"/>
  <c r="E335" i="31"/>
  <c r="R335" i="31"/>
  <c r="S335" i="31"/>
  <c r="C336" i="31"/>
  <c r="Q336" i="31"/>
  <c r="E336" i="31"/>
  <c r="R336" i="31"/>
  <c r="C337" i="31"/>
  <c r="Q337" i="31"/>
  <c r="E337" i="31"/>
  <c r="R337" i="31"/>
  <c r="S337" i="31"/>
  <c r="C338" i="31"/>
  <c r="Q338" i="31"/>
  <c r="E338" i="31"/>
  <c r="R338" i="31"/>
  <c r="C339" i="31"/>
  <c r="Q339" i="31"/>
  <c r="E339" i="31"/>
  <c r="R339" i="31"/>
  <c r="S339" i="31"/>
  <c r="C340" i="31"/>
  <c r="Q340" i="31"/>
  <c r="E340" i="31"/>
  <c r="R340" i="31"/>
  <c r="C341" i="31"/>
  <c r="Q341" i="31"/>
  <c r="E341" i="31"/>
  <c r="R341" i="31"/>
  <c r="S341" i="31"/>
  <c r="C342" i="31"/>
  <c r="Q342" i="31"/>
  <c r="E342" i="31"/>
  <c r="R342" i="31"/>
  <c r="C343" i="31"/>
  <c r="Q343" i="31"/>
  <c r="E343" i="31"/>
  <c r="R343" i="31"/>
  <c r="S343" i="31"/>
  <c r="C344" i="31"/>
  <c r="Q344" i="31"/>
  <c r="E344" i="31"/>
  <c r="R344" i="31"/>
  <c r="C345" i="31"/>
  <c r="Q345" i="31"/>
  <c r="E345" i="31"/>
  <c r="R345" i="31"/>
  <c r="S345" i="31"/>
  <c r="C346" i="31"/>
  <c r="Q346" i="31"/>
  <c r="E346" i="31"/>
  <c r="R346" i="31"/>
  <c r="C347" i="31"/>
  <c r="Q347" i="31"/>
  <c r="E347" i="31"/>
  <c r="R347" i="31"/>
  <c r="S347" i="31"/>
  <c r="C348" i="31"/>
  <c r="Q348" i="31"/>
  <c r="E348" i="31"/>
  <c r="R348" i="31"/>
  <c r="C349" i="31"/>
  <c r="Q349" i="31"/>
  <c r="E349" i="31"/>
  <c r="R349" i="31"/>
  <c r="S349" i="31"/>
  <c r="C350" i="31"/>
  <c r="Q350" i="31"/>
  <c r="E350" i="31"/>
  <c r="R350" i="31"/>
  <c r="C351" i="31"/>
  <c r="Q351" i="31"/>
  <c r="E351" i="31"/>
  <c r="R351" i="31"/>
  <c r="S351" i="31"/>
  <c r="C352" i="31"/>
  <c r="Q352" i="31"/>
  <c r="E352" i="31"/>
  <c r="R352" i="31"/>
  <c r="C353" i="31"/>
  <c r="Q353" i="31"/>
  <c r="E353" i="31"/>
  <c r="R353" i="31"/>
  <c r="S353" i="31"/>
  <c r="C354" i="31"/>
  <c r="Q354" i="31"/>
  <c r="E354" i="31"/>
  <c r="R354" i="31"/>
  <c r="C355" i="31"/>
  <c r="Q355" i="31"/>
  <c r="E355" i="31"/>
  <c r="R355" i="31"/>
  <c r="S355" i="31"/>
  <c r="C356" i="31"/>
  <c r="Q356" i="31"/>
  <c r="E356" i="31"/>
  <c r="R356" i="31"/>
  <c r="C357" i="31"/>
  <c r="Q357" i="31"/>
  <c r="E357" i="31"/>
  <c r="R357" i="31"/>
  <c r="S357" i="31"/>
  <c r="C358" i="31"/>
  <c r="Q358" i="31"/>
  <c r="E358" i="31"/>
  <c r="R358" i="31"/>
  <c r="C359" i="31"/>
  <c r="Q359" i="31"/>
  <c r="E359" i="31"/>
  <c r="R359" i="31"/>
  <c r="S359" i="31"/>
  <c r="C360" i="31"/>
  <c r="Q360" i="31"/>
  <c r="E360" i="31"/>
  <c r="R360" i="31"/>
  <c r="C361" i="31"/>
  <c r="Q361" i="31"/>
  <c r="E361" i="31"/>
  <c r="R361" i="31"/>
  <c r="S361" i="31"/>
  <c r="C362" i="31"/>
  <c r="Q362" i="31"/>
  <c r="E362" i="31"/>
  <c r="R362" i="31"/>
  <c r="C363" i="31"/>
  <c r="Q363" i="31"/>
  <c r="E363" i="31"/>
  <c r="R363" i="31"/>
  <c r="S363" i="31"/>
  <c r="C364" i="31"/>
  <c r="Q364" i="31"/>
  <c r="E364" i="31"/>
  <c r="R364" i="31"/>
  <c r="C365" i="31"/>
  <c r="Q365" i="31"/>
  <c r="E365" i="31"/>
  <c r="R365" i="31"/>
  <c r="S365" i="31"/>
  <c r="C366" i="31"/>
  <c r="Q366" i="31"/>
  <c r="E366" i="31"/>
  <c r="R366" i="31"/>
  <c r="C367" i="31"/>
  <c r="Q367" i="31"/>
  <c r="E367" i="31"/>
  <c r="R367" i="31"/>
  <c r="S367" i="31"/>
  <c r="C368" i="31"/>
  <c r="Q368" i="31"/>
  <c r="E368" i="31"/>
  <c r="R368" i="31"/>
  <c r="C369" i="31"/>
  <c r="Q369" i="31"/>
  <c r="E369" i="31"/>
  <c r="R369" i="31"/>
  <c r="S369" i="31"/>
  <c r="C370" i="31"/>
  <c r="Q370" i="31"/>
  <c r="E370" i="31"/>
  <c r="R370" i="31"/>
  <c r="C371" i="31"/>
  <c r="Q371" i="31"/>
  <c r="E371" i="31"/>
  <c r="R371" i="31"/>
  <c r="S371" i="31"/>
  <c r="C372" i="31"/>
  <c r="Q372" i="31"/>
  <c r="E372" i="31"/>
  <c r="R372" i="31"/>
  <c r="C373" i="31"/>
  <c r="Q373" i="31"/>
  <c r="E373" i="31"/>
  <c r="R373" i="31"/>
  <c r="S373" i="31"/>
  <c r="C374" i="31"/>
  <c r="Q374" i="31"/>
  <c r="E374" i="31"/>
  <c r="R374" i="31"/>
  <c r="C375" i="31"/>
  <c r="Q375" i="31"/>
  <c r="E375" i="31"/>
  <c r="R375" i="31"/>
  <c r="S375" i="31"/>
  <c r="C376" i="31"/>
  <c r="Q376" i="31"/>
  <c r="E376" i="31"/>
  <c r="R376" i="31"/>
  <c r="C377" i="31"/>
  <c r="Q377" i="31"/>
  <c r="E377" i="31"/>
  <c r="R377" i="31"/>
  <c r="S377" i="31"/>
  <c r="C378" i="31"/>
  <c r="Q378" i="31"/>
  <c r="E378" i="31"/>
  <c r="R378" i="31"/>
  <c r="C379" i="31"/>
  <c r="Q379" i="31"/>
  <c r="E379" i="31"/>
  <c r="R379" i="31"/>
  <c r="S379" i="31"/>
  <c r="C380" i="31"/>
  <c r="Q380" i="31"/>
  <c r="E380" i="31"/>
  <c r="R380" i="31"/>
  <c r="C381" i="31"/>
  <c r="Q381" i="31"/>
  <c r="E381" i="31"/>
  <c r="R381" i="31"/>
  <c r="S381" i="31"/>
  <c r="C382" i="31"/>
  <c r="Q382" i="31"/>
  <c r="E382" i="31"/>
  <c r="R382" i="31"/>
  <c r="C383" i="31"/>
  <c r="Q383" i="31"/>
  <c r="E383" i="31"/>
  <c r="R383" i="31"/>
  <c r="S383" i="31"/>
  <c r="C384" i="31"/>
  <c r="Q384" i="31"/>
  <c r="E384" i="31"/>
  <c r="R384" i="31"/>
  <c r="C385" i="31"/>
  <c r="Q385" i="31"/>
  <c r="E385" i="31"/>
  <c r="R385" i="31"/>
  <c r="S385" i="31"/>
  <c r="C386" i="31"/>
  <c r="Q386" i="31"/>
  <c r="E386" i="31"/>
  <c r="R386" i="31"/>
  <c r="C387" i="31"/>
  <c r="Q387" i="31"/>
  <c r="E387" i="31"/>
  <c r="R387" i="31"/>
  <c r="S387" i="31"/>
  <c r="C388" i="31"/>
  <c r="Q388" i="31"/>
  <c r="E388" i="31"/>
  <c r="R388" i="31"/>
  <c r="C389" i="31"/>
  <c r="Q389" i="31"/>
  <c r="E389" i="31"/>
  <c r="R389" i="31"/>
  <c r="S389" i="31"/>
  <c r="C390" i="31"/>
  <c r="Q390" i="31"/>
  <c r="E390" i="31"/>
  <c r="R390" i="31"/>
  <c r="C391" i="31"/>
  <c r="Q391" i="31"/>
  <c r="E391" i="31"/>
  <c r="R391" i="31"/>
  <c r="S391" i="31"/>
  <c r="C392" i="31"/>
  <c r="Q392" i="31"/>
  <c r="E392" i="31"/>
  <c r="R392" i="31"/>
  <c r="C393" i="31"/>
  <c r="Q393" i="31"/>
  <c r="E393" i="31"/>
  <c r="R393" i="31"/>
  <c r="S393" i="31"/>
  <c r="C394" i="31"/>
  <c r="Q394" i="31"/>
  <c r="E394" i="31"/>
  <c r="R394" i="31"/>
  <c r="C395" i="31"/>
  <c r="Q395" i="31"/>
  <c r="E395" i="31"/>
  <c r="R395" i="31"/>
  <c r="S395" i="31"/>
  <c r="C396" i="31"/>
  <c r="Q396" i="31"/>
  <c r="E396" i="31"/>
  <c r="R396" i="31"/>
  <c r="C397" i="31"/>
  <c r="Q397" i="31"/>
  <c r="E397" i="31"/>
  <c r="R397" i="31"/>
  <c r="S397" i="31"/>
  <c r="C398" i="31"/>
  <c r="Q398" i="31"/>
  <c r="E398" i="31"/>
  <c r="R398" i="31"/>
  <c r="C399" i="31"/>
  <c r="Q399" i="31"/>
  <c r="E399" i="31"/>
  <c r="R399" i="31"/>
  <c r="S399" i="31"/>
  <c r="C400" i="31"/>
  <c r="Q400" i="31"/>
  <c r="E400" i="31"/>
  <c r="R400" i="31"/>
  <c r="C401" i="31"/>
  <c r="Q401" i="31"/>
  <c r="E401" i="31"/>
  <c r="R401" i="31"/>
  <c r="S401" i="31"/>
  <c r="C402" i="31"/>
  <c r="Q402" i="31"/>
  <c r="E402" i="31"/>
  <c r="R402" i="31"/>
  <c r="C403" i="31"/>
  <c r="Q403" i="31"/>
  <c r="E403" i="31"/>
  <c r="R403" i="31"/>
  <c r="S403" i="31"/>
  <c r="C404" i="31"/>
  <c r="Q404" i="31"/>
  <c r="E404" i="31"/>
  <c r="R404" i="31"/>
  <c r="C405" i="31"/>
  <c r="Q405" i="31"/>
  <c r="E405" i="31"/>
  <c r="R405" i="31"/>
  <c r="S405" i="31"/>
  <c r="C406" i="31"/>
  <c r="Q406" i="31"/>
  <c r="E406" i="31"/>
  <c r="R406" i="31"/>
  <c r="C407" i="31"/>
  <c r="Q407" i="31"/>
  <c r="E407" i="31"/>
  <c r="R407" i="31"/>
  <c r="S407" i="31"/>
  <c r="C408" i="31"/>
  <c r="Q408" i="31"/>
  <c r="E408" i="31"/>
  <c r="R408" i="31"/>
  <c r="C409" i="31"/>
  <c r="Q409" i="31"/>
  <c r="E409" i="31"/>
  <c r="R409" i="31"/>
  <c r="S409" i="31"/>
  <c r="C410" i="31"/>
  <c r="Q410" i="31"/>
  <c r="E410" i="31"/>
  <c r="R410" i="31"/>
  <c r="C411" i="31"/>
  <c r="Q411" i="31"/>
  <c r="E411" i="31"/>
  <c r="R411" i="31"/>
  <c r="S411" i="31"/>
  <c r="C412" i="31"/>
  <c r="Q412" i="31"/>
  <c r="E412" i="31"/>
  <c r="R412" i="31"/>
  <c r="C413" i="31"/>
  <c r="Q413" i="31"/>
  <c r="E413" i="31"/>
  <c r="R413" i="31"/>
  <c r="S413" i="31"/>
  <c r="C414" i="31"/>
  <c r="Q414" i="31"/>
  <c r="E414" i="31"/>
  <c r="R414" i="31"/>
  <c r="C415" i="31"/>
  <c r="Q415" i="31"/>
  <c r="E415" i="31"/>
  <c r="R415" i="31"/>
  <c r="S415" i="31"/>
  <c r="C416" i="31"/>
  <c r="Q416" i="31"/>
  <c r="E416" i="31"/>
  <c r="R416" i="31"/>
  <c r="C417" i="31"/>
  <c r="Q417" i="31"/>
  <c r="E417" i="31"/>
  <c r="R417" i="31"/>
  <c r="S417" i="31"/>
  <c r="C418" i="31"/>
  <c r="Q418" i="31"/>
  <c r="E418" i="31"/>
  <c r="R418" i="31"/>
  <c r="C419" i="31"/>
  <c r="Q419" i="31"/>
  <c r="E419" i="31"/>
  <c r="R419" i="31"/>
  <c r="S419" i="31"/>
  <c r="C420" i="31"/>
  <c r="Q420" i="31"/>
  <c r="E420" i="31"/>
  <c r="R420" i="31"/>
  <c r="C421" i="31"/>
  <c r="Q421" i="31"/>
  <c r="E421" i="31"/>
  <c r="R421" i="31"/>
  <c r="S421" i="31"/>
  <c r="C422" i="31"/>
  <c r="Q422" i="31"/>
  <c r="E422" i="31"/>
  <c r="R422" i="31"/>
  <c r="C423" i="31"/>
  <c r="Q423" i="31"/>
  <c r="E423" i="31"/>
  <c r="R423" i="31"/>
  <c r="S423" i="31"/>
  <c r="C424" i="31"/>
  <c r="Q424" i="31"/>
  <c r="E424" i="31"/>
  <c r="R424" i="31"/>
  <c r="C425" i="31"/>
  <c r="Q425" i="31"/>
  <c r="E425" i="31"/>
  <c r="R425" i="31"/>
  <c r="C426" i="31"/>
  <c r="Q426" i="31"/>
  <c r="E426" i="31"/>
  <c r="R426" i="31"/>
  <c r="C427" i="31"/>
  <c r="Q427" i="31"/>
  <c r="E427" i="31"/>
  <c r="R427" i="31"/>
  <c r="C428" i="31"/>
  <c r="Q428" i="31"/>
  <c r="E428" i="31"/>
  <c r="R428" i="31"/>
  <c r="C429" i="31"/>
  <c r="Q429" i="31"/>
  <c r="E429" i="31"/>
  <c r="R429" i="31"/>
  <c r="C430" i="31"/>
  <c r="Q430" i="31"/>
  <c r="E430" i="31"/>
  <c r="R430" i="31"/>
  <c r="C431" i="31"/>
  <c r="Q431" i="31"/>
  <c r="E431" i="31"/>
  <c r="R431" i="31"/>
  <c r="C432" i="31"/>
  <c r="Q432" i="31"/>
  <c r="E432" i="31"/>
  <c r="R432" i="31"/>
  <c r="C433" i="31"/>
  <c r="Q433" i="31"/>
  <c r="E433" i="31"/>
  <c r="R433" i="31"/>
  <c r="C434" i="31"/>
  <c r="Q434" i="31"/>
  <c r="E434" i="31"/>
  <c r="R434" i="31"/>
  <c r="C435" i="31"/>
  <c r="Q435" i="31"/>
  <c r="E435" i="31"/>
  <c r="R435" i="31"/>
  <c r="C436" i="31"/>
  <c r="Q436" i="31"/>
  <c r="E436" i="31"/>
  <c r="R436" i="31"/>
  <c r="C437" i="31"/>
  <c r="Q437" i="31"/>
  <c r="E437" i="31"/>
  <c r="R437" i="31"/>
  <c r="C438" i="31"/>
  <c r="Q438" i="31"/>
  <c r="E438" i="31"/>
  <c r="R438" i="31"/>
  <c r="C439" i="31"/>
  <c r="Q439" i="31"/>
  <c r="E439" i="31"/>
  <c r="R439" i="31"/>
  <c r="C440" i="31"/>
  <c r="Q440" i="31"/>
  <c r="E440" i="31"/>
  <c r="R440" i="31"/>
  <c r="C441" i="31"/>
  <c r="Q441" i="31"/>
  <c r="E441" i="31"/>
  <c r="R441" i="31"/>
  <c r="C442" i="31"/>
  <c r="Q442" i="31"/>
  <c r="E442" i="31"/>
  <c r="R442" i="31"/>
  <c r="C443" i="31"/>
  <c r="Q443" i="31"/>
  <c r="E443" i="31"/>
  <c r="R443" i="31"/>
  <c r="C444" i="31"/>
  <c r="Q444" i="31"/>
  <c r="E444" i="31"/>
  <c r="R444" i="31"/>
  <c r="C445" i="31"/>
  <c r="Q445" i="31"/>
  <c r="E445" i="31"/>
  <c r="R445" i="31"/>
  <c r="C446" i="31"/>
  <c r="Q446" i="31"/>
  <c r="E446" i="31"/>
  <c r="R446" i="31"/>
  <c r="C447" i="31"/>
  <c r="Q447" i="31"/>
  <c r="E447" i="31"/>
  <c r="R447" i="31"/>
  <c r="C448" i="31"/>
  <c r="Q448" i="31"/>
  <c r="E448" i="31"/>
  <c r="R448" i="31"/>
  <c r="C449" i="31"/>
  <c r="Q449" i="31"/>
  <c r="E449" i="31"/>
  <c r="R449" i="31"/>
  <c r="C450" i="31"/>
  <c r="Q450" i="31"/>
  <c r="E450" i="31"/>
  <c r="R450" i="31"/>
  <c r="C451" i="31"/>
  <c r="Q451" i="31"/>
  <c r="E451" i="31"/>
  <c r="R451" i="31"/>
  <c r="C452" i="31"/>
  <c r="Q452" i="31"/>
  <c r="E452" i="31"/>
  <c r="R452" i="31"/>
  <c r="C453" i="31"/>
  <c r="Q453" i="31"/>
  <c r="E453" i="31"/>
  <c r="R453" i="31"/>
  <c r="C454" i="31"/>
  <c r="Q454" i="31"/>
  <c r="E454" i="31"/>
  <c r="R454" i="31"/>
  <c r="C455" i="31"/>
  <c r="Q455" i="31"/>
  <c r="E455" i="31"/>
  <c r="R455" i="31"/>
  <c r="C456" i="31"/>
  <c r="Q456" i="31"/>
  <c r="E456" i="31"/>
  <c r="R456" i="31"/>
  <c r="C457" i="31"/>
  <c r="Q457" i="31"/>
  <c r="E457" i="31"/>
  <c r="R457" i="31"/>
  <c r="C458" i="31"/>
  <c r="Q458" i="31"/>
  <c r="E458" i="31"/>
  <c r="R458" i="31"/>
  <c r="C459" i="31"/>
  <c r="Q459" i="31"/>
  <c r="E459" i="31"/>
  <c r="R459" i="31"/>
  <c r="C460" i="31"/>
  <c r="Q460" i="31"/>
  <c r="E460" i="31"/>
  <c r="R460" i="31"/>
  <c r="C461" i="31"/>
  <c r="Q461" i="31"/>
  <c r="E461" i="31"/>
  <c r="R461" i="31"/>
  <c r="C462" i="31"/>
  <c r="Q462" i="31"/>
  <c r="E462" i="31"/>
  <c r="R462" i="31"/>
  <c r="C463" i="31"/>
  <c r="Q463" i="31"/>
  <c r="E463" i="31"/>
  <c r="R463" i="31"/>
  <c r="C464" i="31"/>
  <c r="Q464" i="31"/>
  <c r="E464" i="31"/>
  <c r="R464" i="31"/>
  <c r="C465" i="31"/>
  <c r="Q465" i="31"/>
  <c r="E465" i="31"/>
  <c r="R465" i="31"/>
  <c r="C466" i="31"/>
  <c r="Q466" i="31"/>
  <c r="E466" i="31"/>
  <c r="R466" i="31"/>
  <c r="C467" i="31"/>
  <c r="Q467" i="31"/>
  <c r="E467" i="31"/>
  <c r="R467" i="31"/>
  <c r="C468" i="31"/>
  <c r="Q468" i="31"/>
  <c r="E468" i="31"/>
  <c r="R468" i="31"/>
  <c r="C469" i="31"/>
  <c r="Q469" i="31"/>
  <c r="E469" i="31"/>
  <c r="R469" i="31"/>
  <c r="C470" i="31"/>
  <c r="Q470" i="31"/>
  <c r="E470" i="31"/>
  <c r="R470" i="31"/>
  <c r="C471" i="31"/>
  <c r="Q471" i="31"/>
  <c r="E471" i="31"/>
  <c r="R471" i="31"/>
  <c r="C472" i="31"/>
  <c r="Q472" i="31"/>
  <c r="E472" i="31"/>
  <c r="R472" i="31"/>
  <c r="C473" i="31"/>
  <c r="Q473" i="31"/>
  <c r="E473" i="31"/>
  <c r="R473" i="31"/>
  <c r="C474" i="31"/>
  <c r="Q474" i="31"/>
  <c r="E474" i="31"/>
  <c r="R474" i="31"/>
  <c r="C475" i="31"/>
  <c r="Q475" i="31"/>
  <c r="E475" i="31"/>
  <c r="R475" i="31"/>
  <c r="C476" i="31"/>
  <c r="Q476" i="31"/>
  <c r="E476" i="31"/>
  <c r="R476" i="31"/>
  <c r="C477" i="31"/>
  <c r="Q477" i="31"/>
  <c r="E477" i="31"/>
  <c r="R477" i="31"/>
  <c r="C478" i="31"/>
  <c r="Q478" i="31"/>
  <c r="E478" i="31"/>
  <c r="R478" i="31"/>
  <c r="C479" i="31"/>
  <c r="Q479" i="31"/>
  <c r="E479" i="31"/>
  <c r="R479" i="31"/>
  <c r="C480" i="31"/>
  <c r="Q480" i="31"/>
  <c r="E480" i="31"/>
  <c r="R480" i="31"/>
  <c r="C481" i="31"/>
  <c r="Q481" i="31"/>
  <c r="E481"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D113" i="33"/>
  <c r="F37"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Q39" i="33"/>
  <c r="Z39" i="33"/>
  <c r="J39" i="33"/>
  <c r="AC39" i="33"/>
  <c r="Q38" i="33"/>
  <c r="Z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H101" i="33"/>
  <c r="I101" i="33"/>
  <c r="J101" i="33"/>
  <c r="K101" i="33"/>
  <c r="L101" i="33"/>
  <c r="M101" i="33"/>
  <c r="S46" i="33"/>
  <c r="W43" i="33"/>
  <c r="S43" i="33"/>
  <c r="F91" i="33"/>
  <c r="H27" i="33"/>
  <c r="F87" i="33"/>
  <c r="J23" i="33"/>
  <c r="F85" i="33"/>
  <c r="H23" i="33"/>
  <c r="F81" i="33"/>
  <c r="F19"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11" i="49"/>
  <c r="E4" i="4"/>
  <c r="B9" i="49"/>
  <c r="E16" i="49"/>
  <c r="E8" i="49"/>
  <c r="E21" i="49"/>
  <c r="E10" i="49"/>
  <c r="E9" i="49"/>
  <c r="E5" i="49"/>
  <c r="B6" i="49"/>
  <c r="B4" i="49"/>
  <c r="B8" i="49"/>
  <c r="C4" i="4"/>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F16" i="15"/>
  <c r="M28" i="67"/>
  <c r="F43" i="15"/>
  <c r="M26" i="15"/>
  <c r="M29" i="67"/>
  <c r="M29" i="15"/>
  <c r="M23" i="67"/>
  <c r="C6" i="15"/>
  <c r="C10" i="15"/>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W32" i="33"/>
  <c r="U27" i="33"/>
  <c r="AB27" i="33"/>
  <c r="G91" i="33"/>
  <c r="H91" i="33"/>
  <c r="I91" i="33"/>
  <c r="J91" i="33"/>
  <c r="K91" i="33"/>
  <c r="L91" i="33"/>
  <c r="M91" i="33"/>
  <c r="J27" i="33"/>
  <c r="U25" i="33"/>
  <c r="S25" i="33"/>
  <c r="G87" i="33"/>
  <c r="H87" i="33"/>
  <c r="I87" i="33"/>
  <c r="J87" i="33"/>
  <c r="K87" i="33"/>
  <c r="L87" i="33"/>
  <c r="M87" i="33"/>
  <c r="AB23" i="33"/>
  <c r="U23" i="33"/>
  <c r="F23" i="33"/>
  <c r="G85" i="33"/>
  <c r="AC23" i="33"/>
  <c r="W23" i="33"/>
  <c r="AA19" i="33"/>
  <c r="H19" i="33"/>
  <c r="G81" i="33"/>
  <c r="G79" i="33"/>
  <c r="W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AC27" i="33"/>
  <c r="W25" i="33"/>
  <c r="AA23" i="33"/>
  <c r="S23" i="33"/>
  <c r="AB19" i="33"/>
  <c r="U19" i="33"/>
  <c r="S17" i="33"/>
  <c r="U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2" i="69"/>
  <c r="B3" i="69"/>
  <c r="B2" i="68"/>
  <c r="B3" i="67"/>
  <c r="D2" i="37"/>
  <c r="D2" i="36"/>
  <c r="D2" i="21"/>
  <c r="F20" i="31"/>
  <c r="D2" i="34"/>
  <c r="D2" i="33"/>
  <c r="F7" i="33"/>
  <c r="AA7" i="33"/>
  <c r="E2" i="68"/>
  <c r="D2" i="35"/>
  <c r="B2" i="36"/>
  <c r="B3" i="36"/>
  <c r="B2" i="35"/>
  <c r="B3" i="35"/>
  <c r="B2" i="37"/>
  <c r="B3" i="37"/>
  <c r="B2" i="34"/>
  <c r="B3" i="34"/>
  <c r="B2" i="21"/>
  <c r="B3" i="21"/>
  <c r="B2" i="70"/>
  <c r="B3" i="70"/>
  <c r="C102" i="9"/>
  <c r="C21" i="9"/>
  <c r="B3" i="68"/>
  <c r="B3" i="33"/>
  <c r="C20" i="9"/>
  <c r="D20" i="9"/>
  <c r="D102" i="9"/>
  <c r="D22" i="9"/>
  <c r="D21" i="9"/>
  <c r="C103" i="9"/>
  <c r="D103" i="9"/>
  <c r="G20"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<sst xmlns="http://schemas.openxmlformats.org/spreadsheetml/2006/main" count="9369" uniqueCount="4119">
  <si>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</si>
  <si>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</si>
  <si>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</si>
  <si>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</si>
  <si>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</si>
  <si>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</si>
  <si>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</si>
  <si>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</si>
  <si>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</si>
  <si>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</si>
  <si>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</si>
  <si>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</si>
  <si>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</si>
  <si>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</si>
  <si>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</si>
  <si>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</si>
  <si>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</si>
  <si>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</si>
  <si>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</si>
  <si>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</si>
  <si>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</si>
  <si>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</si>
  <si>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</si>
  <si>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</si>
  <si>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</si>
  <si>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</si>
  <si>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</si>
  <si>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</si>
  <si>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</si>
  <si>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</si>
  <si>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</si>
  <si>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</si>
  <si>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</si>
  <si>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</si>
  <si>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</si>
  <si>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</si>
  <si>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</si>
  <si>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</si>
  <si>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</si>
  <si>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</si>
  <si>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</si>
  <si>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</si>
  <si>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</si>
  <si>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</si>
  <si>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</si>
  <si>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</si>
  <si>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</si>
  <si>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</si>
  <si>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</si>
  <si>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</si>
  <si>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</si>
  <si>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</si>
  <si>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</si>
  <si>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</si>
  <si>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</si>
  <si>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</si>
  <si>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</si>
  <si>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</si>
  <si>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</si>
  <si>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</si>
  <si>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</si>
  <si>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</si>
  <si>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</si>
  <si>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</si>
  <si>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</si>
  <si>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</si>
  <si>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</si>
  <si>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</si>
  <si>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</si>
  <si>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</si>
  <si>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</si>
  <si>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</si>
  <si>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</si>
  <si>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</si>
  <si>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</si>
  <si>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</si>
  <si>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</si>
  <si>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</si>
  <si>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</si>
  <si>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</si>
  <si>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</si>
  <si>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</si>
  <si>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</si>
  <si>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</si>
  <si>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</si>
  <si>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</si>
  <si>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</si>
  <si>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</si>
  <si>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</si>
  <si>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</si>
  <si>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</si>
  <si>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</si>
  <si>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</si>
  <si>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</si>
  <si>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</si>
  <si>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</si>
  <si>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</si>
  <si>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</si>
  <si>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</si>
  <si>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</si>
  <si>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</si>
  <si>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</si>
  <si>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</si>
  <si>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</si>
  <si>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</si>
  <si>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</si>
  <si>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</si>
  <si>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</si>
  <si>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</si>
  <si>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</si>
  <si>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</si>
  <si>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</si>
  <si>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</si>
  <si>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</si>
  <si>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</si>
  <si>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</si>
  <si>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</si>
  <si>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</si>
  <si>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</si>
  <si>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</si>
  <si>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</si>
  <si>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</si>
  <si>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</si>
  <si>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</si>
  <si>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</si>
  <si>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</si>
  <si>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</si>
  <si>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</si>
  <si>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</si>
  <si>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</si>
  <si>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</si>
  <si>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</si>
  <si>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</si>
  <si>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</si>
  <si>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</si>
  <si>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</si>
  <si>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</si>
  <si>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</si>
  <si>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</si>
  <si>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</si>
  <si>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</si>
  <si>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</si>
  <si>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</si>
  <si>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</si>
  <si>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</si>
  <si>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</si>
  <si>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</si>
  <si>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</si>
  <si>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</si>
  <si>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</si>
  <si>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</si>
  <si>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</si>
  <si>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</si>
  <si>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</si>
  <si>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</si>
  <si>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</si>
  <si>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</si>
  <si>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</si>
  <si>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</si>
  <si>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</si>
  <si>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</si>
  <si>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</si>
  <si>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</si>
  <si>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</si>
  <si>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</si>
  <si>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</si>
  <si>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</si>
  <si>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</si>
  <si>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</si>
  <si>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</si>
  <si>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</si>
  <si>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</si>
  <si>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</si>
  <si>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</si>
  <si>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</si>
  <si>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</si>
  <si>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</si>
  <si>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</si>
  <si>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</si>
  <si>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</si>
  <si>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</si>
  <si>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</si>
  <si>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</si>
  <si>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</si>
  <si>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</si>
  <si>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</si>
  <si>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</si>
  <si>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</si>
  <si>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</si>
  <si>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</si>
  <si>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</si>
  <si>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</si>
  <si>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</si>
  <si>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</si>
  <si>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</si>
  <si>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</si>
  <si>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</si>
  <si>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</si>
  <si>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</si>
  <si>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</si>
  <si>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</si>
  <si>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</si>
  <si>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</si>
  <si>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</si>
  <si>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</si>
  <si>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</si>
  <si>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</si>
  <si>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</si>
  <si>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</si>
  <si>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</si>
  <si>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</si>
  <si>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</si>
  <si>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</si>
  <si>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</si>
  <si>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</si>
  <si>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</si>
  <si>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</si>
  <si>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</si>
  <si>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</si>
  <si>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</si>
  <si>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</si>
  <si>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</si>
  <si>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</si>
  <si>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</si>
  <si>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</si>
  <si>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</si>
  <si>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</si>
  <si>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</si>
  <si>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</si>
  <si>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</si>
  <si>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</si>
  <si>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</si>
  <si>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</si>
  <si>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</si>
  <si>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</si>
  <si>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</si>
  <si>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</si>
  <si>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</si>
  <si>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</si>
  <si>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</si>
  <si>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</si>
  <si>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</si>
  <si>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</si>
  <si>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</si>
  <si>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</si>
  <si>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</si>
  <si>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</si>
  <si>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</si>
  <si>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</si>
  <si>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</si>
  <si>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</si>
  <si>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</si>
  <si>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</si>
  <si>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</si>
  <si>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</si>
  <si>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</si>
  <si>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</si>
  <si>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</si>
  <si>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</si>
  <si>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</si>
  <si>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</si>
  <si>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</si>
  <si>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</si>
  <si>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</si>
  <si>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</si>
  <si>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</si>
  <si>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</si>
  <si>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</si>
  <si>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</si>
  <si>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</si>
  <si>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</si>
  <si>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</si>
  <si>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</si>
  <si>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</si>
  <si>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</si>
  <si>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</si>
  <si>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</si>
  <si>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</si>
  <si>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</si>
  <si>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</si>
  <si>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</si>
  <si>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</si>
  <si>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</si>
  <si>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</si>
  <si>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</si>
  <si>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</si>
  <si>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</si>
  <si>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</si>
  <si>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</si>
  <si>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</si>
  <si>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</si>
  <si>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</si>
  <si>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</si>
  <si>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</si>
  <si>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</si>
  <si>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</si>
  <si>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</si>
  <si>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</si>
  <si>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</si>
  <si>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</si>
  <si>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</si>
  <si>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</si>
  <si>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</si>
  <si>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</si>
  <si>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</si>
  <si>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</si>
  <si>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</si>
  <si>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</si>
  <si>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</si>
  <si>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</si>
  <si>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</si>
  <si>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</si>
  <si>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</si>
  <si>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</si>
  <si>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</si>
  <si>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</si>
  <si>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</si>
  <si>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</si>
  <si>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</si>
  <si>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</si>
  <si>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</si>
  <si>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</si>
  <si>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</si>
  <si>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</si>
  <si>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</si>
  <si>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</si>
  <si>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</si>
  <si>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</si>
  <si>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</si>
  <si>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</si>
  <si>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</si>
  <si>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</si>
  <si>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</si>
  <si>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</si>
  <si>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</si>
  <si>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</si>
  <si>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</si>
  <si>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</si>
  <si>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</si>
  <si>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</si>
  <si>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</si>
  <si>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</si>
  <si>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</si>
  <si>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</si>
  <si>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</si>
  <si>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</si>
  <si>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</si>
  <si>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</si>
  <si>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</si>
  <si>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</si>
  <si>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</si>
  <si>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</si>
  <si>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</si>
  <si>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</si>
  <si>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</si>
  <si>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</si>
  <si>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</si>
  <si>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</si>
  <si>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</si>
  <si>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</si>
  <si>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</si>
  <si>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</si>
  <si>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</si>
  <si>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</si>
  <si>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</si>
  <si>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</si>
  <si>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</si>
  <si>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</si>
  <si>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</si>
  <si>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</si>
  <si>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</si>
  <si>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</si>
  <si>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</si>
  <si>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</si>
  <si>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</si>
  <si>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</si>
  <si>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</si>
  <si>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</si>
  <si>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</si>
  <si>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</si>
  <si>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</si>
  <si>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</si>
  <si>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</si>
  <si>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</si>
  <si>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</si>
  <si>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</si>
  <si>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</si>
  <si>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</si>
  <si>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</si>
  <si>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</si>
  <si>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</si>
  <si>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</si>
  <si>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</si>
  <si>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</si>
  <si>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</si>
  <si>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</si>
  <si>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</si>
  <si>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</si>
  <si>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</si>
  <si>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</si>
  <si>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</si>
  <si>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</si>
  <si>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</si>
  <si>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</si>
  <si>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</si>
  <si>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</si>
  <si>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</si>
  <si>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</si>
  <si>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</si>
  <si>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</si>
  <si>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</si>
  <si>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</si>
  <si>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</si>
  <si>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</si>
  <si>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</si>
  <si>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</si>
  <si>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</si>
  <si>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</si>
  <si>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</si>
  <si>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</si>
  <si>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</si>
  <si>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</si>
  <si>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</si>
  <si>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</si>
  <si>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</si>
  <si>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</si>
  <si>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</si>
  <si>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</si>
  <si>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</si>
  <si>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</si>
  <si>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</si>
  <si>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</si>
  <si>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</si>
  <si>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</si>
  <si>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</si>
  <si>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</si>
  <si>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</si>
  <si>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</si>
  <si>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</si>
  <si>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</si>
  <si>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</si>
  <si>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</si>
  <si>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</si>
  <si>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</si>
  <si>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</si>
  <si>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</si>
  <si>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</si>
  <si>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</si>
  <si>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</si>
  <si>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</si>
  <si>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</si>
  <si>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</si>
  <si>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</si>
  <si>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</si>
  <si>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</si>
  <si>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</si>
  <si>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</si>
  <si>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</si>
  <si>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</si>
  <si>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</si>
  <si>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</si>
  <si>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</si>
  <si>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</si>
  <si>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</si>
  <si>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</si>
  <si>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</si>
  <si>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</si>
  <si>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</si>
  <si>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</si>
  <si>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</si>
  <si>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</si>
  <si>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</si>
  <si>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</si>
  <si>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</si>
  <si>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</si>
  <si>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</si>
  <si>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</si>
  <si>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</si>
  <si>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</si>
  <si>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</si>
  <si>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</si>
  <si>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</si>
  <si>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</si>
  <si>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</si>
  <si>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</si>
  <si>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</si>
  <si>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</si>
  <si>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</si>
  <si>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</si>
  <si>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</si>
  <si>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</si>
  <si>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</si>
  <si>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</si>
  <si>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</si>
  <si>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</si>
  <si>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</si>
  <si>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</si>
  <si>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</si>
  <si>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</si>
  <si>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</si>
  <si>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</si>
  <si>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</si>
  <si>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</si>
  <si>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</si>
  <si>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</si>
  <si>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</si>
  <si>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</si>
  <si>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</si>
  <si>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</si>
  <si>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</si>
  <si>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</si>
  <si>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</si>
  <si>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</si>
  <si>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</si>
  <si>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</si>
  <si>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</si>
  <si>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</si>
  <si>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</si>
  <si>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</si>
  <si>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</si>
  <si>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</si>
  <si>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</si>
  <si>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</si>
  <si>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</si>
  <si>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</si>
  <si>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</si>
  <si>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</si>
  <si>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</si>
  <si>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</si>
  <si>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</si>
  <si>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</si>
  <si>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</si>
  <si>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</si>
  <si>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</si>
  <si>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</si>
  <si>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</si>
  <si>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</si>
  <si>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</si>
  <si>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</si>
  <si>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</si>
  <si>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</si>
  <si>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</si>
  <si>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</si>
  <si>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</si>
  <si>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</si>
  <si>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</si>
  <si>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</si>
  <si>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</si>
  <si>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</si>
  <si>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</si>
  <si>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</si>
  <si>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</si>
  <si>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</si>
  <si>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</si>
  <si>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</si>
  <si>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</si>
  <si>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</si>
  <si>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</si>
  <si>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</si>
  <si>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</si>
  <si>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</si>
  <si>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</si>
  <si>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</si>
  <si>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</si>
  <si>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</si>
  <si>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</si>
  <si>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</si>
  <si>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</si>
  <si>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</si>
  <si>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</si>
  <si>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</si>
  <si>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</si>
  <si>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</si>
  <si>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</si>
  <si>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</si>
  <si>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</si>
  <si>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</si>
  <si>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</si>
  <si>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</si>
  <si>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</si>
  <si>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</si>
  <si>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</si>
  <si>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</si>
  <si>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</si>
  <si>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</si>
  <si>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</si>
  <si>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</si>
  <si>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</si>
  <si>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</si>
  <si>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</si>
  <si>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</si>
  <si>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</si>
  <si>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</si>
  <si>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</si>
  <si>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</si>
  <si>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</si>
  <si>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</si>
  <si>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</si>
  <si>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</si>
  <si>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</si>
  <si>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</si>
  <si>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</si>
  <si>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</si>
  <si>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</si>
  <si>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</si>
  <si>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</si>
  <si>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</si>
  <si>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</si>
  <si>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</si>
  <si>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</si>
  <si>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</si>
  <si>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</si>
  <si>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</si>
  <si>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</si>
  <si>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</si>
  <si>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</si>
  <si>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</si>
  <si>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</si>
  <si>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</si>
  <si>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</si>
  <si>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</si>
  <si>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</si>
  <si>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</si>
  <si>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</si>
  <si>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</si>
  <si>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</si>
  <si>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</si>
  <si>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</si>
  <si>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</si>
  <si>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</si>
  <si>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</si>
  <si>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</si>
  <si>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</si>
  <si>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</si>
  <si>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</si>
  <si>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</si>
  <si>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</si>
  <si>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</si>
  <si>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</si>
  <si>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</si>
  <si>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</si>
  <si>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</si>
  <si>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</si>
  <si>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</si>
  <si>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</si>
  <si>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</si>
  <si>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</si>
  <si>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</si>
  <si>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</si>
  <si>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</si>
  <si>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</si>
  <si>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</si>
  <si>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</si>
  <si>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</si>
  <si>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</si>
  <si>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</si>
  <si>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</si>
  <si>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</si>
  <si>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</si>
  <si>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</si>
  <si>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</si>
  <si>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</si>
  <si>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</si>
  <si>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</si>
  <si>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</si>
  <si>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</si>
  <si>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</si>
  <si>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</si>
  <si>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</si>
  <si>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</si>
  <si>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</si>
  <si>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</si>
  <si>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</si>
  <si>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</si>
  <si>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</si>
  <si>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</si>
  <si>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</si>
  <si>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</si>
  <si>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</si>
  <si>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</si>
  <si>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</si>
  <si>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</si>
  <si>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</si>
  <si>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</si>
  <si>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</si>
  <si>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</si>
  <si>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</si>
  <si>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</si>
  <si>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</si>
  <si>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</si>
  <si>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</si>
  <si>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</si>
  <si>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</si>
  <si>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</si>
  <si>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</si>
  <si>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</si>
  <si>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</si>
  <si>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</si>
  <si>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</si>
  <si>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</si>
  <si>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</si>
  <si>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</si>
  <si>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</si>
  <si>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</si>
  <si>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</si>
  <si>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</si>
  <si>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</si>
  <si>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</si>
  <si>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</si>
  <si>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</si>
  <si>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</si>
  <si>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</si>
  <si>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</si>
  <si>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</si>
  <si>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</si>
  <si>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</si>
  <si>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</si>
  <si>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</si>
  <si>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</si>
  <si>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</si>
  <si>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</si>
  <si>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</si>
  <si>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</si>
  <si>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</si>
  <si>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</si>
  <si>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</si>
  <si>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</si>
  <si>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</si>
  <si>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</si>
  <si>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</si>
  <si>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</si>
  <si>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</si>
  <si>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</si>
  <si>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</si>
  <si>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</si>
  <si>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</si>
  <si>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</si>
  <si>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</si>
  <si>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</si>
  <si>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</si>
  <si>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</si>
  <si>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</si>
  <si>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</si>
  <si>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</si>
  <si>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</si>
  <si>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</si>
  <si>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</si>
  <si>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</si>
  <si>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</si>
  <si>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</si>
  <si>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</si>
  <si>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</si>
  <si>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</si>
  <si>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</si>
  <si>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</si>
  <si>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</si>
  <si>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</si>
  <si>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</si>
  <si>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</si>
  <si>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</si>
  <si>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</si>
  <si>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</si>
  <si>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</si>
  <si>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</si>
  <si>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</si>
  <si>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</si>
  <si>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</si>
  <si>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</si>
  <si>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</si>
  <si>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</si>
  <si>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</si>
  <si>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</si>
  <si>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</si>
  <si>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</si>
  <si>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</si>
  <si>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</si>
  <si>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</si>
  <si>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</si>
  <si>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</si>
  <si>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</si>
  <si>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</si>
  <si>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</si>
  <si>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</si>
  <si>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</si>
  <si>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</si>
  <si>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</si>
  <si>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</si>
  <si>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</si>
  <si>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</si>
  <si>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</si>
  <si>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</si>
  <si>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</si>
  <si>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</si>
  <si>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</si>
  <si>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</si>
  <si>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</si>
  <si>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</si>
  <si>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</si>
  <si>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</si>
  <si>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</si>
  <si>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</si>
  <si>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</si>
  <si>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</si>
  <si>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</si>
  <si>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</si>
  <si>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</si>
  <si>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</si>
  <si>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</si>
  <si>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</si>
  <si>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</si>
  <si>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</si>
  <si>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</si>
  <si>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</si>
  <si>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</si>
  <si>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</si>
  <si>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</si>
  <si>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</si>
  <si>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</si>
  <si>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</si>
  <si>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</si>
  <si>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</si>
  <si>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</si>
  <si>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</si>
  <si>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</si>
  <si>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</si>
  <si>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</si>
  <si>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</si>
  <si>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</si>
  <si>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</si>
  <si>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</si>
  <si>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</si>
  <si>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</si>
  <si>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</si>
  <si>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</si>
  <si>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</si>
  <si>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</si>
  <si>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</si>
  <si>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</si>
  <si>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</si>
  <si>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</si>
  <si>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</si>
  <si>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</si>
  <si>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</si>
  <si>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</si>
  <si>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</si>
  <si>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</si>
  <si>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</si>
  <si>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</si>
  <si>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</si>
  <si>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</si>
  <si>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</si>
  <si>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</si>
  <si>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</si>
  <si>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</si>
  <si>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</si>
  <si>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</si>
  <si>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</si>
  <si>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</si>
  <si>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</si>
  <si>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</si>
  <si>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</si>
  <si>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</si>
  <si>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</si>
  <si>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</si>
  <si>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</si>
  <si>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</si>
  <si>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</si>
  <si>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</si>
  <si>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</si>
  <si>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</si>
  <si>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</si>
  <si>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</si>
  <si>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</si>
  <si>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</si>
  <si>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</si>
  <si>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</si>
  <si>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</si>
  <si>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</si>
  <si>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</si>
  <si>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</si>
  <si>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</si>
  <si>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</si>
  <si>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</si>
  <si>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</si>
  <si>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</si>
  <si>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</si>
  <si>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</si>
  <si>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</si>
  <si>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</si>
  <si>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</si>
  <si>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</si>
  <si>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</si>
  <si>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</si>
  <si>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</si>
  <si>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</si>
  <si>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</si>
  <si>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</si>
  <si>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</si>
  <si>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</si>
  <si>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</si>
  <si>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</si>
  <si>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</si>
  <si>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</si>
  <si>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</si>
  <si>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</si>
  <si>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</si>
  <si>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</si>
  <si>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</si>
  <si>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</si>
  <si>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</si>
  <si>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</si>
  <si>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</si>
  <si>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</si>
  <si>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</si>
  <si>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</si>
  <si>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</si>
  <si>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</si>
  <si>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</si>
  <si>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</si>
  <si>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</si>
  <si>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</si>
  <si>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</si>
  <si>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</si>
  <si>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</si>
  <si>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</si>
  <si>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</si>
  <si>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</si>
  <si>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</si>
  <si>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</si>
  <si>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</si>
  <si>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</si>
  <si>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</si>
  <si>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</si>
  <si>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</si>
  <si>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</si>
  <si>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</si>
  <si>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</si>
  <si>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</si>
  <si>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</si>
  <si>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</si>
  <si>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</si>
  <si>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</si>
  <si>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</si>
  <si>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</si>
  <si>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</si>
  <si>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</si>
  <si>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</si>
  <si>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</si>
  <si>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</si>
  <si>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</si>
  <si>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</si>
  <si>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</si>
  <si>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</si>
  <si>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</si>
  <si>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</si>
  <si>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</si>
  <si>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</si>
  <si>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</si>
  <si>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</si>
  <si>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</si>
  <si>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</si>
  <si>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</si>
  <si>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</si>
  <si>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</si>
  <si>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</si>
  <si>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</si>
  <si>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</si>
  <si>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</si>
  <si>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</si>
  <si>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</si>
  <si>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</si>
  <si>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</si>
  <si>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</si>
  <si>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</si>
  <si>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</si>
  <si>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</si>
  <si>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</si>
  <si>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</si>
  <si>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</si>
  <si>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</si>
  <si>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</si>
  <si>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</si>
  <si>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</si>
  <si>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</si>
  <si>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</si>
  <si>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</si>
  <si>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</si>
  <si>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</si>
  <si>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</si>
  <si>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</si>
  <si>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</si>
  <si>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</si>
  <si>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</si>
  <si>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</si>
  <si>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</si>
  <si>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</si>
  <si>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</si>
  <si>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</si>
  <si>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</si>
  <si>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</si>
  <si>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</si>
  <si>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</si>
  <si>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</si>
  <si>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</si>
  <si>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</si>
  <si>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</si>
  <si>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</si>
  <si>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</si>
  <si>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</si>
  <si>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</si>
  <si>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</si>
  <si>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</si>
  <si>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</si>
  <si>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</si>
  <si>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</si>
  <si>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</si>
  <si>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</si>
  <si>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</si>
  <si>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</si>
  <si>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</si>
  <si>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</si>
  <si>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</si>
  <si>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</si>
  <si>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</si>
  <si>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</si>
  <si>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</si>
  <si>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</si>
  <si>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</si>
  <si>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</si>
  <si>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</si>
  <si>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</si>
  <si>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</si>
  <si>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</si>
  <si>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</si>
  <si>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</si>
  <si>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</si>
  <si>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</si>
  <si>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</si>
  <si>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</si>
  <si>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</si>
  <si>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</si>
  <si>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</si>
  <si>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</si>
  <si>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</si>
  <si>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</si>
  <si>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</si>
  <si>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</si>
  <si>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</si>
  <si>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</si>
  <si>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</si>
  <si>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</si>
  <si>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</si>
  <si>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</si>
  <si>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</si>
  <si>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</si>
  <si>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</si>
  <si>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</si>
  <si>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</si>
  <si>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</si>
  <si>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</si>
  <si>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</si>
  <si>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</si>
  <si>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</si>
  <si>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</si>
  <si>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</si>
  <si>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</si>
  <si>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</si>
  <si>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</si>
  <si>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</si>
  <si>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</si>
  <si>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</si>
  <si>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</si>
  <si>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</si>
  <si>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</si>
  <si>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</si>
  <si>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</si>
  <si>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</si>
  <si>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</si>
  <si>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</si>
  <si>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</si>
  <si>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</si>
  <si>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</si>
  <si>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</si>
  <si>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</si>
  <si>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</si>
  <si>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</si>
  <si>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</si>
  <si>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</si>
  <si>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</si>
  <si>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</si>
  <si>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</si>
  <si>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</si>
  <si>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</si>
  <si>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</si>
  <si>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</si>
  <si>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</si>
  <si>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</si>
  <si>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</si>
  <si>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</si>
  <si>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</si>
  <si>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</si>
  <si>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</si>
  <si>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</si>
  <si>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</si>
  <si>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</si>
  <si>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</si>
  <si>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</si>
  <si>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</si>
  <si>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</si>
  <si>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</si>
  <si>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</si>
  <si>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</si>
  <si>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</si>
  <si>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</si>
  <si>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</si>
  <si>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</si>
  <si>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</si>
  <si>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</si>
  <si>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</si>
  <si>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</si>
  <si>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</si>
  <si>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</si>
  <si>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</si>
  <si>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</si>
  <si>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</si>
  <si>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</si>
  <si>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</si>
  <si>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</si>
  <si>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</si>
  <si>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</si>
  <si>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</si>
  <si>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</si>
  <si>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</si>
  <si>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</si>
  <si>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</si>
  <si>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</si>
  <si>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</si>
  <si>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</si>
  <si>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</si>
  <si>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</si>
  <si>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</si>
  <si>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</si>
  <si>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</si>
  <si>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</si>
  <si>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</si>
  <si>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</si>
  <si>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</si>
  <si>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</si>
  <si>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</si>
  <si>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</si>
  <si>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</si>
  <si>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</si>
  <si>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</si>
  <si>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</si>
  <si>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</si>
  <si>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</si>
  <si>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</si>
  <si>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</si>
  <si>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</si>
  <si>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</si>
  <si>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</si>
  <si>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</si>
  <si>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</si>
  <si>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</si>
  <si>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</si>
  <si>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</si>
  <si>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</si>
  <si>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</si>
  <si>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</si>
  <si>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</si>
  <si>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</si>
  <si>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</si>
  <si>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</si>
  <si>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</si>
  <si>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</si>
  <si>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</si>
  <si>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</si>
  <si>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</si>
  <si>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</si>
  <si>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</si>
  <si>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</si>
  <si>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</si>
  <si>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</si>
  <si>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</si>
  <si>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</si>
  <si>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</si>
  <si>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</si>
  <si>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</si>
  <si>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</si>
  <si>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</si>
  <si>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</si>
  <si>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</si>
  <si>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</si>
  <si>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</si>
  <si>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</si>
  <si>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</si>
  <si>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</si>
  <si>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</si>
  <si>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</si>
  <si>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</si>
  <si>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</si>
  <si>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</si>
  <si>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</si>
  <si>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</si>
  <si>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</si>
  <si>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</si>
  <si>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</si>
  <si>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</si>
  <si>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</si>
  <si>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</si>
  <si>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</si>
  <si>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</si>
  <si>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</si>
  <si>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</si>
  <si>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</si>
  <si>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</si>
  <si>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</si>
  <si>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</si>
  <si>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</si>
  <si>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</si>
  <si>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</si>
  <si>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</si>
  <si>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</si>
  <si>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</si>
  <si>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</si>
  <si>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</si>
  <si>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</si>
  <si>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</si>
  <si>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</si>
  <si>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</si>
  <si>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</si>
  <si>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</si>
  <si>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</si>
  <si>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</si>
  <si>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</si>
  <si>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</si>
  <si>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</si>
  <si>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</si>
  <si>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</si>
  <si>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</si>
  <si>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</si>
  <si>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</si>
  <si>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</si>
  <si>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</si>
  <si>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</si>
  <si>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</si>
  <si>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</si>
  <si>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</si>
  <si>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</si>
  <si>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</si>
  <si>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</si>
  <si>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</si>
  <si>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</si>
  <si>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</si>
  <si>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</si>
  <si>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</si>
  <si>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</si>
  <si>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</si>
  <si>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</si>
  <si>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</si>
  <si>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</si>
  <si>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</si>
  <si>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</si>
  <si>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</si>
  <si>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</si>
  <si>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</si>
  <si>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</si>
  <si>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</si>
  <si>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</si>
  <si>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</si>
  <si>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</si>
  <si>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</si>
  <si>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</si>
  <si>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</si>
  <si>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</si>
  <si>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</si>
  <si>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</si>
  <si>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</si>
  <si>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</si>
  <si>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</si>
  <si>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</si>
  <si>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</si>
  <si>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</si>
  <si>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</si>
  <si>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</si>
  <si>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</si>
  <si>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</si>
  <si>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</si>
  <si>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</si>
  <si>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</si>
  <si>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</si>
  <si>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</si>
  <si>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</si>
  <si>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</si>
  <si>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</si>
  <si>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</si>
  <si>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</si>
  <si>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</si>
  <si>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</si>
  <si>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</si>
  <si>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</si>
  <si>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</si>
  <si>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</si>
  <si>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</si>
  <si>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</si>
  <si>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</si>
  <si>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</si>
  <si>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</si>
  <si>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</si>
  <si>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</si>
  <si>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</si>
  <si>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</si>
  <si>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</si>
  <si>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</si>
  <si>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</si>
  <si>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</si>
  <si>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</si>
  <si>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</si>
  <si>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</si>
  <si>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</si>
  <si>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</si>
  <si>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</si>
  <si>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</si>
  <si>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</si>
  <si>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</si>
  <si>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</si>
  <si>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</si>
  <si>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</si>
  <si>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</si>
  <si>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</si>
  <si>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</si>
  <si>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</si>
  <si>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</si>
  <si>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</si>
  <si>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</si>
  <si>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</si>
  <si>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</si>
  <si>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</si>
  <si>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</si>
  <si>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</si>
  <si>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</si>
  <si>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</si>
  <si>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</si>
  <si>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</si>
  <si>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</si>
  <si>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</si>
  <si>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</si>
  <si>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</si>
  <si>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</si>
  <si>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</si>
  <si>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</si>
  <si>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</si>
  <si>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</si>
  <si>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</si>
  <si>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</si>
  <si>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</si>
  <si>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</si>
  <si>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</si>
  <si>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</si>
  <si>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</si>
  <si>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</si>
  <si>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</si>
  <si>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</si>
  <si>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</si>
  <si>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</si>
  <si>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</si>
  <si>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</si>
  <si>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</si>
  <si>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</si>
  <si>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</si>
  <si>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</si>
  <si>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</si>
  <si>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</si>
  <si>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</si>
  <si>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</si>
  <si>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</si>
  <si>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</si>
  <si>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</si>
  <si>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</si>
  <si>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</si>
  <si>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</si>
  <si>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</si>
  <si>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</si>
  <si>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</si>
  <si>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</si>
  <si>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</si>
  <si>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</si>
  <si>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</si>
  <si>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</si>
  <si>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</si>
  <si>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</si>
  <si>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</si>
  <si>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</si>
  <si>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</si>
  <si>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</si>
  <si>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</si>
  <si>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</si>
  <si>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</si>
  <si>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</si>
  <si>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</si>
  <si>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</si>
  <si>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</si>
  <si>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</si>
  <si>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</si>
  <si>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</si>
  <si>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</si>
  <si>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</si>
  <si>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</si>
  <si>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</si>
  <si>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</si>
  <si>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</si>
  <si>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</si>
  <si>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</si>
  <si>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</si>
  <si>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</si>
  <si>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</si>
  <si>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</si>
  <si>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</si>
  <si>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</si>
  <si>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</si>
  <si>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</si>
  <si>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</si>
  <si>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</si>
  <si>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</si>
  <si>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</si>
  <si>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</si>
  <si>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</si>
  <si>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</si>
  <si>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</si>
  <si>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</si>
  <si>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</si>
  <si>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</si>
  <si>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</si>
  <si>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</si>
  <si>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</si>
  <si>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</si>
  <si>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</si>
  <si>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</si>
  <si>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</si>
  <si>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</si>
  <si>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</si>
  <si>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</si>
  <si>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</si>
  <si>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</si>
  <si>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</si>
  <si>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</si>
  <si>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</si>
  <si>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</si>
  <si>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</si>
  <si>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</si>
  <si>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</si>
  <si>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</si>
  <si>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</si>
  <si>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</si>
  <si>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</si>
  <si>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</si>
  <si>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</si>
  <si>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</si>
  <si>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</si>
  <si>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</si>
  <si>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</si>
  <si>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</si>
  <si>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</si>
  <si>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</si>
  <si>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</si>
  <si>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</si>
  <si>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</si>
  <si>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</si>
  <si>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</si>
  <si>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</si>
  <si>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</si>
  <si>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</si>
  <si>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</si>
  <si>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</si>
  <si>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</si>
  <si>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</si>
  <si>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</si>
  <si>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</si>
  <si>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</si>
  <si>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</si>
  <si>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</si>
  <si>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</si>
  <si>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</si>
  <si>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</si>
  <si>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</si>
  <si>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</si>
  <si>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</si>
  <si>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</si>
  <si>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</si>
  <si>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</si>
  <si>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</si>
  <si>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</si>
  <si>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</si>
  <si>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</si>
  <si>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</si>
  <si>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</si>
  <si>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</si>
  <si>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</si>
  <si>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</si>
  <si>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</si>
  <si>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</si>
  <si>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</si>
  <si>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</si>
  <si>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</si>
  <si>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</si>
  <si>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</si>
  <si>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</si>
  <si>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</si>
  <si>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</si>
  <si>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</si>
  <si>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</si>
  <si>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</si>
  <si>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</si>
  <si>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</si>
  <si>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</si>
  <si>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</si>
  <si>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</si>
  <si>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</si>
  <si>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</si>
  <si>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</si>
  <si>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</si>
  <si>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</si>
  <si>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</si>
  <si>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</si>
  <si>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</si>
  <si>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</si>
  <si>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</si>
  <si>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</si>
  <si>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</si>
  <si>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</si>
  <si>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</si>
  <si>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</si>
  <si>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</si>
  <si>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</si>
  <si>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</si>
  <si>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</si>
  <si>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</si>
  <si>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</si>
  <si>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</si>
  <si>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</si>
  <si>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</si>
  <si>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</si>
  <si>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</si>
  <si>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</si>
  <si>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</si>
  <si>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</si>
  <si>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</si>
  <si>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</si>
  <si>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</si>
  <si>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</si>
  <si>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</si>
  <si>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</si>
  <si>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</si>
  <si>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</si>
  <si>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</si>
  <si>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</si>
  <si>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</si>
  <si>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</si>
  <si>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</si>
  <si>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</si>
  <si>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</si>
  <si>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</si>
  <si>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</si>
  <si>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</si>
  <si>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</si>
  <si>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</si>
  <si>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</si>
  <si>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</si>
  <si>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</si>
  <si>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</si>
  <si>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</si>
  <si>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</si>
  <si>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</si>
  <si>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</si>
  <si>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</si>
  <si>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</si>
  <si>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</si>
  <si>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</si>
  <si>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</si>
  <si>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</si>
  <si>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</si>
  <si>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</si>
  <si>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</si>
  <si>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</si>
  <si>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</si>
  <si>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</si>
  <si>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</si>
  <si>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</si>
  <si>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</si>
  <si>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</si>
  <si>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</si>
  <si>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</si>
  <si>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</si>
  <si>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</si>
  <si>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</si>
  <si>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</si>
  <si>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</si>
  <si>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</si>
  <si>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</si>
  <si>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</si>
  <si>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</si>
  <si>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</si>
  <si>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</si>
  <si>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</si>
  <si>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</si>
  <si>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</si>
  <si>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</si>
  <si>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</si>
  <si>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</si>
  <si>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</si>
  <si>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</si>
  <si>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</si>
  <si>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</si>
  <si>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</si>
  <si>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</si>
  <si>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</si>
  <si>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</si>
  <si>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</si>
  <si>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</si>
  <si>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</si>
  <si>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</si>
  <si>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</si>
  <si>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</si>
  <si>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</si>
  <si>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</si>
  <si>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</si>
  <si>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</si>
  <si>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</si>
  <si>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</si>
  <si>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</si>
  <si>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</si>
  <si>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</si>
  <si>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</si>
  <si>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</si>
  <si>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</si>
  <si>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</si>
  <si>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</si>
  <si>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</si>
  <si>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</si>
  <si>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</si>
  <si>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</si>
  <si>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</si>
  <si>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</si>
  <si>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</si>
  <si>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</si>
  <si>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</si>
  <si>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</si>
  <si>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</si>
  <si>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</si>
  <si>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</si>
  <si>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</si>
  <si>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</si>
  <si>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</si>
  <si>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</si>
  <si>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</si>
  <si>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</si>
  <si>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</si>
  <si>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</si>
  <si>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</si>
  <si>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</si>
  <si>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</si>
  <si>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</si>
  <si>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</si>
  <si>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</si>
  <si>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</si>
  <si>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</si>
  <si>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</si>
  <si>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</si>
  <si>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</si>
  <si>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</si>
  <si>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</si>
  <si>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</si>
  <si>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</si>
  <si>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</si>
  <si>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</si>
  <si>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</si>
  <si>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</si>
  <si>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</si>
  <si>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</si>
  <si>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</si>
  <si>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</si>
  <si>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</si>
  <si>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</si>
  <si>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</si>
  <si>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</si>
  <si>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</si>
  <si>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</si>
  <si>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</si>
  <si>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</si>
  <si>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</si>
  <si>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</si>
  <si>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</si>
  <si>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</si>
  <si>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</si>
  <si>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</si>
  <si>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</si>
  <si>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</si>
  <si>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</si>
  <si>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</si>
  <si>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</si>
  <si>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</si>
  <si>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</si>
  <si>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</si>
  <si>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</si>
  <si>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</si>
  <si>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</si>
  <si>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</si>
  <si>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</si>
  <si>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</si>
  <si>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</si>
  <si>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</si>
  <si>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</si>
  <si>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</si>
  <si>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</si>
  <si>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</si>
  <si>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</si>
  <si>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</si>
  <si>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</si>
  <si>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</si>
  <si>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</si>
  <si>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</si>
  <si>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</si>
  <si>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</si>
  <si>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</si>
  <si>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</si>
  <si>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</si>
  <si>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</si>
  <si>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</si>
  <si>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</si>
  <si>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</si>
  <si>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</si>
  <si>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</si>
  <si>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</si>
  <si>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</si>
  <si>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</si>
  <si>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</si>
  <si>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</si>
  <si>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</si>
  <si>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</si>
  <si>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</si>
  <si>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</si>
  <si>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</si>
  <si>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</si>
  <si>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</si>
  <si>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</si>
  <si>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</si>
  <si>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</si>
  <si>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</si>
  <si>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</si>
  <si>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</si>
  <si>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</si>
  <si>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</si>
  <si>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</si>
  <si>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</si>
  <si>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</si>
  <si>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</si>
  <si>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</si>
  <si>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</si>
  <si>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</si>
  <si>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</si>
  <si>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</si>
  <si>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</si>
  <si>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</si>
  <si>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</si>
  <si>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</si>
  <si>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</si>
  <si>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</si>
  <si>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</si>
  <si>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</si>
  <si>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</si>
  <si>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</si>
  <si>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</si>
  <si>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</si>
  <si>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</si>
  <si>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</si>
  <si>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</si>
  <si>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</si>
  <si>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</si>
  <si>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</si>
  <si>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</si>
  <si>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</si>
  <si>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</si>
  <si>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</si>
  <si>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</si>
  <si>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</si>
  <si>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</si>
  <si>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</si>
  <si>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</si>
  <si>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</si>
  <si>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</si>
  <si>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</si>
  <si>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</si>
  <si>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</si>
  <si>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</si>
  <si>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</si>
  <si>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</si>
  <si>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</si>
  <si>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</si>
  <si>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</si>
  <si>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</si>
  <si>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</si>
  <si>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</si>
  <si>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</si>
  <si>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</si>
  <si>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</si>
  <si>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</si>
  <si>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</si>
  <si>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</si>
  <si>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</si>
  <si>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</si>
  <si>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</si>
  <si>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</si>
  <si>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</si>
  <si>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</si>
  <si>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</si>
  <si>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</si>
  <si>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</si>
  <si>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</si>
  <si>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</si>
  <si>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</si>
  <si>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</si>
  <si>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</si>
  <si>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</si>
  <si>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</si>
  <si>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</si>
  <si>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</si>
  <si>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</si>
  <si>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</si>
  <si>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</si>
  <si>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</si>
  <si>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</si>
  <si>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</si>
  <si>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</si>
  <si>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</si>
  <si>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</si>
  <si>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</si>
  <si>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</si>
  <si>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</si>
  <si>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</si>
  <si>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</si>
  <si>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</si>
  <si>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</si>
  <si>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</si>
  <si>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</si>
  <si>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</si>
  <si>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</si>
  <si>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</si>
  <si>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</si>
  <si>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</si>
  <si>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</si>
  <si>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</si>
  <si>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</si>
  <si>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</si>
  <si>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</si>
  <si>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</si>
  <si>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</si>
  <si>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</si>
  <si>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</si>
  <si>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</si>
  <si>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</si>
  <si>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</si>
  <si>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</si>
  <si>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</si>
  <si>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</si>
  <si>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</si>
  <si>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</si>
  <si>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</si>
  <si>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</si>
  <si>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</si>
  <si>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</si>
  <si>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</si>
  <si>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</si>
  <si>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</si>
  <si>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</si>
  <si>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</si>
  <si>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</si>
  <si>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</si>
  <si>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</si>
  <si>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</si>
  <si>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</si>
  <si>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</si>
  <si>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</si>
  <si>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</si>
  <si>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</si>
  <si>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</si>
  <si>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</si>
  <si>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</si>
  <si>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</si>
  <si>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</si>
  <si>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</si>
  <si>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</si>
  <si>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</si>
  <si>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</si>
  <si>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</si>
  <si>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</si>
  <si>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</si>
  <si>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</si>
  <si>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</si>
  <si>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</si>
  <si>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</si>
  <si>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</si>
  <si>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</si>
  <si>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</si>
  <si>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</si>
  <si>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</si>
  <si>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</si>
  <si>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</si>
  <si>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</si>
  <si>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</si>
  <si>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</si>
  <si>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</si>
  <si>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</si>
  <si>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</si>
  <si>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</si>
  <si>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</si>
  <si>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</si>
  <si>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</si>
  <si>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</si>
  <si>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</si>
  <si>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</si>
  <si>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</si>
  <si>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</si>
  <si>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</si>
  <si>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</si>
  <si>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</si>
  <si>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</si>
  <si>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</si>
  <si>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</si>
  <si>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</si>
  <si>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</si>
  <si>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</si>
  <si>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</si>
  <si>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</si>
  <si>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</si>
  <si>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</si>
  <si>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</si>
  <si>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</si>
  <si>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</si>
  <si>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</si>
  <si>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</si>
  <si>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</si>
  <si>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</si>
  <si>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</si>
  <si>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</si>
  <si>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</si>
  <si>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</si>
  <si>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</si>
  <si>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</si>
  <si>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</si>
  <si>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</si>
  <si>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</si>
  <si>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</si>
  <si>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</si>
  <si>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</si>
  <si>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</si>
  <si>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</si>
  <si>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</si>
  <si>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</si>
  <si>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</si>
  <si>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</si>
  <si>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</si>
  <si>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</si>
  <si>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</si>
  <si>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</si>
  <si>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</si>
  <si>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</si>
  <si>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</si>
  <si>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</si>
  <si>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</si>
  <si>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</si>
  <si>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</si>
  <si>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</si>
  <si>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</si>
  <si>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</si>
  <si>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</si>
  <si>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</si>
  <si>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</si>
  <si>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</si>
  <si>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</si>
  <si>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</si>
  <si>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</si>
  <si>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</si>
  <si>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</si>
  <si>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</si>
  <si>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</si>
  <si>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</si>
  <si>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</si>
  <si>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</si>
  <si>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</si>
  <si>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</si>
  <si>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</si>
  <si>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</si>
  <si>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</si>
  <si>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</si>
  <si>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</si>
  <si>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</si>
  <si>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</si>
  <si>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</si>
  <si>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</si>
  <si>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</si>
  <si>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</si>
  <si>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</si>
  <si>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</si>
  <si>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</si>
  <si>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</si>
  <si>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</si>
  <si>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</si>
  <si>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</si>
  <si>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</si>
  <si>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</si>
  <si>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</si>
  <si>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</si>
  <si>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</si>
  <si>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</si>
  <si>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</si>
  <si>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</si>
  <si>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</si>
  <si>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</si>
  <si>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</si>
  <si>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</si>
  <si>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</si>
  <si>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</si>
  <si>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</si>
  <si>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</si>
  <si>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</si>
  <si>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</si>
  <si>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</si>
  <si>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</si>
  <si>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</si>
  <si>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</si>
  <si>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</si>
  <si>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</si>
  <si>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</si>
  <si>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</si>
  <si>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</si>
  <si>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</si>
  <si>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</si>
  <si>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</si>
  <si>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</si>
  <si>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</si>
  <si>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</si>
  <si>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</si>
  <si>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</si>
  <si>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</si>
  <si>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</si>
  <si>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</si>
  <si>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</si>
  <si>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</si>
  <si>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</si>
  <si>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</si>
  <si>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</si>
  <si>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</si>
  <si>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</si>
  <si>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</si>
  <si>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</si>
  <si>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</si>
  <si>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</si>
  <si>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</si>
  <si>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</si>
  <si>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</si>
  <si>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</si>
  <si>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</si>
  <si>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</si>
  <si>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</si>
  <si>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</si>
  <si>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</si>
  <si>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</si>
  <si>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</si>
  <si>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</si>
  <si>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</si>
  <si>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</si>
  <si>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</si>
  <si>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</si>
  <si>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</si>
  <si>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</si>
  <si>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</si>
  <si>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</si>
  <si>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</si>
  <si>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</si>
  <si>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</si>
  <si>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</si>
  <si>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</si>
  <si>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</si>
  <si>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</si>
  <si>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</si>
  <si>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</si>
  <si>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</si>
  <si>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</si>
  <si>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</si>
  <si>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</si>
  <si>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</si>
  <si>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</si>
  <si>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</si>
  <si>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</si>
  <si>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</si>
  <si>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</si>
  <si>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</si>
  <si>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</si>
  <si>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</si>
  <si>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</si>
  <si>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</si>
  <si>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</si>
  <si>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</si>
  <si>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</si>
  <si>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</si>
  <si>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</si>
  <si>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</si>
  <si>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</si>
  <si>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</si>
  <si>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</si>
  <si>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</si>
  <si>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</si>
  <si>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</si>
  <si>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</si>
  <si>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</si>
  <si>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</si>
  <si>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</si>
  <si>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</si>
  <si>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</si>
  <si>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</si>
  <si>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</si>
  <si>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</si>
  <si>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</si>
  <si>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</si>
  <si>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</si>
  <si>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</si>
  <si>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</si>
  <si>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</si>
  <si>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</si>
  <si>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</si>
  <si>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</si>
  <si>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</si>
  <si>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</si>
  <si>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</si>
  <si>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</si>
  <si>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</si>
  <si>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</si>
  <si>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</si>
  <si>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</si>
  <si>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</si>
  <si>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</si>
  <si>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</si>
  <si>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</si>
  <si>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</si>
  <si>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</si>
  <si>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</si>
  <si>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</si>
  <si>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</si>
  <si>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</si>
  <si>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</si>
  <si>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</si>
  <si>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</si>
  <si>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</si>
  <si>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</si>
  <si>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</si>
  <si>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</si>
  <si>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</si>
  <si>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</si>
  <si>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</si>
  <si>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</si>
  <si>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</si>
  <si>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</si>
  <si>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</si>
  <si>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</si>
  <si>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</si>
  <si>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</si>
  <si>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</si>
  <si>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</si>
  <si>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</si>
  <si>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</si>
  <si>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</si>
  <si>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</si>
  <si>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</si>
  <si>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</si>
  <si>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</si>
  <si>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</si>
  <si>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</si>
  <si>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</si>
  <si>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</si>
  <si>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</si>
  <si>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</si>
  <si>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</si>
  <si>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</si>
  <si>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</si>
  <si>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</si>
  <si>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</si>
  <si>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</si>
  <si>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</si>
  <si>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</si>
  <si>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</si>
  <si>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</si>
  <si>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</si>
  <si>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</si>
  <si>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</si>
  <si>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</si>
  <si>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</si>
  <si>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</si>
  <si>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</si>
  <si>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</si>
  <si>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</si>
  <si>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</si>
  <si>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</si>
  <si>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</si>
  <si>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</si>
  <si>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</si>
  <si>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</si>
  <si>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</si>
  <si>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</si>
  <si>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</si>
  <si>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</si>
  <si>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</si>
  <si>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</si>
  <si>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</si>
  <si>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</si>
  <si>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</si>
  <si>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</si>
  <si>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</si>
  <si>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</si>
  <si>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</si>
  <si>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</si>
  <si>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</si>
  <si>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</si>
  <si>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</si>
  <si>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</si>
  <si>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</si>
  <si>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</si>
  <si>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</si>
  <si>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</si>
  <si>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</si>
  <si>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</si>
  <si>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</si>
  <si>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</si>
  <si>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</si>
  <si>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</si>
  <si>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</si>
  <si>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</si>
  <si>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</si>
  <si>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</si>
  <si>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</si>
  <si>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</si>
  <si>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</si>
  <si>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</si>
  <si>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</si>
  <si>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</si>
  <si>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</si>
  <si>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</si>
  <si>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</si>
  <si>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</si>
  <si>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</si>
  <si>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</si>
  <si>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</si>
  <si>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</si>
  <si>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</si>
  <si>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</si>
  <si>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</si>
  <si>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</si>
  <si>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</si>
  <si>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</si>
  <si>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</si>
  <si>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</si>
  <si>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</si>
  <si>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</si>
  <si>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</si>
  <si>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</si>
  <si>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</si>
  <si>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</si>
  <si>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</si>
  <si>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</si>
  <si>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</si>
  <si>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</si>
  <si>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</si>
  <si>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</si>
  <si>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</si>
  <si>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</si>
  <si>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</si>
  <si>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</si>
  <si>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</si>
  <si>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</si>
  <si>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</si>
  <si>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</si>
  <si>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</si>
  <si>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</si>
  <si>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</si>
  <si>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</si>
  <si>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</si>
  <si>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</si>
  <si>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</si>
  <si>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</si>
  <si>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</si>
  <si>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</si>
  <si>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</si>
  <si>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</si>
  <si>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</si>
  <si>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</si>
  <si>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</si>
  <si>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</si>
  <si>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</si>
  <si>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</si>
  <si>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</si>
  <si>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</si>
  <si>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</si>
  <si>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</si>
  <si>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</si>
  <si>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</si>
  <si>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</si>
  <si>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</si>
  <si>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</si>
  <si>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</si>
  <si>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</si>
  <si>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</si>
  <si>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</si>
  <si>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</si>
  <si>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</si>
  <si>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</si>
  <si>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</si>
  <si>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</si>
  <si>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</si>
  <si>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</si>
  <si>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</si>
  <si>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</si>
  <si>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</si>
  <si>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</si>
  <si>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</si>
  <si>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</si>
  <si>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</si>
  <si>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</si>
  <si>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</si>
  <si>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</si>
  <si>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</si>
  <si>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</si>
  <si>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</si>
  <si>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</si>
  <si>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</si>
  <si>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</si>
  <si>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</si>
  <si>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</si>
  <si>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</si>
  <si>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</si>
  <si>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</si>
  <si>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</si>
  <si>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</si>
  <si>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</si>
  <si>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</si>
  <si>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</si>
  <si>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</si>
  <si>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</si>
  <si>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</si>
  <si>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</si>
  <si>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</si>
  <si>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</si>
  <si>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</si>
  <si>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</si>
  <si>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</si>
  <si>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</si>
  <si>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</si>
  <si>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</si>
  <si>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</si>
  <si>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</si>
  <si>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</si>
  <si>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</si>
  <si>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</si>
  <si>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</si>
  <si>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</si>
  <si>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</si>
  <si>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</si>
  <si>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</si>
  <si>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</si>
  <si>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</si>
  <si>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</si>
  <si>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</si>
  <si>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</si>
  <si>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</si>
  <si>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</si>
  <si>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</si>
  <si>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</si>
  <si>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</si>
  <si>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</si>
  <si>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</si>
  <si>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</si>
  <si>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</si>
  <si>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</si>
  <si>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</si>
  <si>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</si>
  <si>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</si>
  <si>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</si>
  <si>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</si>
  <si>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</si>
  <si>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</si>
  <si>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</si>
  <si>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</si>
  <si>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</si>
  <si>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</si>
  <si>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</si>
  <si>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</si>
  <si>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</si>
  <si>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</si>
  <si>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</si>
  <si>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</si>
  <si>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</si>
  <si>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</si>
  <si>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</si>
  <si>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</si>
  <si>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</si>
  <si>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</si>
  <si>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</si>
  <si>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</si>
  <si>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</si>
  <si>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</si>
  <si>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</si>
  <si>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</si>
  <si>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</si>
  <si>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</si>
  <si>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</si>
  <si>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</si>
  <si>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</si>
  <si>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</si>
  <si>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</si>
  <si>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</si>
  <si>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</si>
  <si>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</si>
  <si>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</si>
  <si>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</si>
  <si>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</si>
  <si>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</si>
  <si>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</si>
  <si>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</si>
  <si>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</si>
  <si>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</si>
  <si>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</si>
  <si>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</si>
  <si>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</si>
  <si>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</si>
  <si>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</si>
  <si>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</si>
  <si>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</si>
  <si>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</si>
  <si>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</si>
  <si>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</si>
  <si>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</si>
  <si>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</si>
  <si>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</si>
  <si>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</si>
  <si>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</si>
  <si>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</si>
  <si>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</si>
  <si>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</si>
  <si>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</si>
  <si>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</si>
  <si>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</si>
  <si>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</si>
  <si>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</si>
  <si>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</si>
  <si>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</si>
  <si>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</si>
  <si>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</si>
  <si>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</si>
  <si>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</si>
  <si>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</si>
  <si>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</si>
  <si>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</si>
  <si>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</si>
  <si>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</si>
  <si>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</si>
  <si>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</si>
  <si>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</si>
  <si>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</si>
  <si>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</si>
  <si>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</si>
  <si>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</si>
  <si>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</si>
  <si>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</si>
  <si>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</si>
  <si>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</si>
  <si>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</si>
  <si>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</si>
  <si>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</si>
  <si>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</si>
  <si>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</si>
  <si>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</si>
  <si>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</si>
  <si>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</si>
  <si>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</si>
  <si>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</si>
  <si>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</si>
  <si>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</si>
  <si>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</si>
  <si>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</si>
  <si>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</si>
  <si>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</si>
  <si>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</si>
  <si>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</si>
  <si>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</si>
  <si>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</si>
  <si>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</si>
  <si>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</si>
  <si>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</si>
  <si>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</si>
  <si>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</si>
  <si>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</si>
  <si>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</si>
  <si>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</si>
  <si>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</si>
  <si>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</si>
  <si>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</si>
  <si>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</si>
  <si>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</si>
  <si>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</si>
  <si>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</si>
  <si>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</si>
  <si>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</si>
  <si>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</si>
  <si>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</si>
  <si>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</si>
  <si>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</si>
  <si>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</si>
  <si>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</si>
  <si>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</si>
  <si>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</si>
  <si>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</si>
  <si>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</si>
  <si>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</si>
  <si>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</si>
  <si>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</si>
  <si>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</si>
  <si>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</si>
  <si>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</si>
  <si>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</si>
  <si>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</si>
  <si>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</si>
  <si>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</si>
  <si>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</si>
  <si>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</si>
  <si>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</si>
  <si>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</si>
  <si>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</si>
  <si>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</si>
  <si>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</si>
  <si>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</si>
  <si>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</si>
  <si>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</si>
  <si>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</si>
  <si>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</si>
  <si>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</si>
  <si>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</si>
  <si>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</si>
  <si>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</si>
  <si>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</si>
  <si>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</si>
  <si>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</si>
  <si>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</si>
  <si>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</si>
  <si>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</si>
  <si>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</si>
  <si>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</si>
  <si>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</si>
  <si>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</si>
  <si>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</si>
  <si>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</si>
  <si>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</si>
  <si>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</si>
  <si>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</si>
  <si>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</si>
  <si>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</si>
  <si>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</si>
  <si>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</si>
  <si>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</si>
  <si>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</si>
  <si>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</si>
  <si>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</si>
  <si>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</si>
  <si>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</si>
  <si>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</si>
  <si>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</si>
  <si>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</si>
  <si>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</si>
  <si>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</si>
  <si>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</si>
  <si>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</si>
  <si>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</si>
  <si>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</si>
  <si>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</si>
  <si>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</si>
  <si>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</si>
  <si>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</si>
  <si>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</si>
  <si>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</si>
  <si>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</si>
  <si>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</si>
  <si>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</si>
  <si>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</si>
  <si>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</si>
  <si>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</si>
  <si>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</si>
  <si>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</si>
  <si>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</si>
  <si>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</si>
  <si>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</si>
  <si>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</si>
  <si>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</si>
  <si>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</si>
  <si>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</si>
  <si>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</si>
  <si>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</si>
  <si>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</si>
  <si>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</si>
  <si>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</si>
  <si>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</si>
  <si>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</si>
  <si>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</si>
  <si>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</si>
  <si>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</si>
  <si>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</si>
  <si>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</si>
  <si>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</si>
  <si>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</si>
  <si>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</si>
  <si>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</si>
  <si>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</si>
  <si>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</si>
  <si>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</si>
  <si>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</si>
  <si>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</si>
  <si>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</si>
  <si>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</si>
  <si>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</si>
  <si>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</si>
  <si>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</si>
  <si>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</si>
  <si>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</si>
  <si>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</si>
  <si>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</si>
  <si>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</si>
  <si>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</si>
  <si>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</si>
  <si>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</si>
  <si>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</si>
  <si>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</si>
  <si>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</si>
  <si>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</si>
  <si>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</si>
  <si>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</si>
  <si>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</si>
  <si>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</si>
  <si>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</si>
  <si>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</si>
  <si>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</si>
  <si>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</si>
  <si>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</si>
  <si>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</si>
  <si>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</si>
  <si>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</si>
  <si>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</si>
  <si>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</si>
  <si>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</si>
  <si>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</si>
  <si>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</si>
  <si>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</si>
  <si>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</si>
  <si>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</si>
  <si>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</si>
  <si>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</si>
  <si>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</si>
  <si>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</si>
  <si>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</si>
  <si>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</si>
  <si>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</si>
  <si>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</si>
  <si>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</si>
  <si>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</si>
  <si>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</si>
  <si>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</si>
  <si>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</si>
  <si>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</si>
  <si>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</si>
  <si>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</si>
  <si>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</si>
  <si>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</si>
  <si>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</si>
  <si>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</si>
  <si>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</si>
  <si>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</si>
  <si>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</si>
  <si>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</si>
  <si>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</si>
  <si>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</si>
  <si>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</si>
  <si>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</si>
  <si>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</si>
  <si>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</si>
  <si>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</si>
  <si>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</si>
  <si>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</si>
  <si>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</si>
  <si>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</si>
  <si>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</si>
  <si>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</si>
  <si>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</si>
  <si>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</si>
  <si>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</si>
  <si>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</si>
  <si>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</si>
  <si>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</si>
  <si>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</si>
  <si>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</si>
  <si>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</si>
  <si>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</si>
  <si>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</si>
  <si>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</si>
  <si>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</si>
  <si>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</si>
  <si>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</si>
  <si>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</si>
  <si>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</si>
  <si>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</si>
  <si>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</si>
  <si>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</si>
  <si>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</si>
  <si>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</si>
  <si>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</si>
  <si>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</si>
  <si>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</si>
  <si>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</si>
  <si>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</si>
  <si>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</si>
  <si>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</si>
  <si>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</si>
  <si>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</si>
  <si>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</si>
  <si>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</si>
  <si>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</si>
  <si>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</si>
  <si>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</si>
  <si>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</si>
  <si>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</si>
  <si>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</si>
  <si>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</si>
  <si>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</si>
  <si>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</si>
  <si>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</si>
  <si>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</si>
  <si>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</si>
  <si>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</si>
  <si>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</si>
  <si>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</si>
  <si>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</si>
  <si>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</si>
  <si>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</si>
  <si>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</si>
  <si>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</si>
  <si>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</si>
  <si>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</si>
  <si>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</si>
  <si>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</si>
  <si>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</si>
  <si>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</si>
  <si>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</si>
  <si>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</si>
  <si>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</si>
  <si>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</si>
  <si>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</si>
  <si>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</si>
  <si>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</si>
  <si>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</si>
  <si>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</si>
  <si>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</si>
  <si>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</si>
  <si>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</si>
  <si>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</si>
  <si>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</si>
  <si>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</si>
  <si>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</si>
  <si>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</si>
  <si>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</si>
  <si>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</si>
  <si>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</si>
  <si>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</si>
  <si>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</si>
  <si>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</si>
  <si>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</si>
  <si>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</si>
  <si>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</si>
  <si>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</si>
  <si>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</si>
  <si>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</si>
  <si>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</si>
  <si>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</si>
  <si>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</si>
  <si>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</si>
  <si>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</si>
  <si>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</si>
  <si>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</si>
  <si>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</si>
  <si>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</si>
  <si>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</si>
  <si>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</si>
  <si>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</si>
  <si>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</si>
  <si>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</si>
  <si>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</si>
  <si>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</si>
  <si>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</si>
  <si>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</si>
  <si>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</si>
  <si>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</si>
  <si>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</si>
  <si>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</si>
  <si>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</si>
  <si>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</si>
  <si>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</si>
  <si>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</si>
  <si>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</si>
  <si>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</si>
  <si>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</si>
  <si>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</si>
  <si>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</si>
  <si>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</si>
  <si>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</si>
  <si>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</si>
  <si>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</si>
  <si>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</si>
  <si>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</si>
  <si>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</si>
  <si>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</si>
  <si>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</si>
  <si>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</si>
  <si>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</si>
  <si>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</si>
  <si>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</si>
  <si>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</si>
  <si>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</si>
  <si>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</si>
  <si>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</si>
  <si>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</si>
  <si>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</si>
  <si>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</si>
  <si>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</si>
  <si>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</si>
  <si>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</si>
  <si>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</si>
  <si>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</si>
  <si>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</si>
  <si>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</si>
  <si>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</si>
  <si>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</si>
  <si>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</si>
  <si>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</si>
  <si>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</si>
  <si>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</si>
  <si>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</si>
  <si>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</si>
  <si>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</si>
  <si>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</si>
  <si>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</si>
  <si>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</si>
  <si>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</si>
  <si>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</si>
  <si>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</si>
  <si>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</si>
  <si>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</si>
  <si>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</si>
  <si>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</si>
  <si>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</si>
  <si>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</si>
  <si>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</si>
  <si>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</si>
  <si>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</si>
  <si>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</si>
  <si>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</si>
  <si>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</si>
  <si>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</si>
  <si>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</si>
  <si>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</si>
  <si>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</si>
  <si>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</si>
  <si>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</si>
  <si>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</si>
  <si>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</si>
  <si>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</si>
  <si>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</si>
  <si>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</si>
  <si>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</si>
  <si>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</si>
  <si>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</si>
  <si>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</si>
  <si>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</si>
  <si>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</si>
  <si>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</si>
  <si>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</si>
  <si>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</si>
  <si>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</si>
  <si>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</si>
  <si>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</si>
  <si>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</si>
  <si>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</si>
  <si>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</si>
  <si>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</si>
  <si>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</si>
  <si>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</si>
  <si>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</si>
  <si>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</si>
  <si>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</si>
  <si>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</si>
  <si>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</si>
  <si>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</si>
  <si>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</si>
  <si>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</si>
  <si>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</si>
  <si>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</si>
  <si>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</si>
  <si>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</si>
  <si>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</si>
  <si>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</si>
  <si>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</si>
  <si>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</si>
  <si>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</si>
  <si>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</si>
  <si>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</si>
  <si>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</si>
  <si>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</si>
  <si>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</si>
  <si>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</si>
  <si>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</si>
  <si>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</si>
  <si>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</si>
  <si>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</si>
  <si>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</si>
  <si>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</si>
  <si>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</si>
  <si>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</si>
  <si>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</si>
  <si>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</si>
  <si>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</si>
  <si>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</si>
  <si>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</si>
  <si>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</si>
  <si>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</si>
  <si>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</si>
  <si>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</si>
  <si>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</si>
  <si>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</si>
  <si>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</si>
  <si>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</si>
  <si>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</si>
  <si>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</si>
  <si>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</si>
  <si>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</si>
  <si>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</si>
  <si>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</si>
  <si>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</si>
  <si>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</si>
  <si>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</si>
  <si>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</si>
  <si>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</si>
  <si>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</si>
  <si>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</si>
  <si>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</si>
  <si>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</si>
  <si>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</si>
  <si>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</si>
  <si>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</si>
  <si>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</si>
  <si>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</si>
  <si>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</si>
  <si>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</si>
  <si>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</si>
  <si>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</si>
  <si>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</si>
  <si>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</si>
  <si>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</si>
  <si>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</si>
  <si>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</si>
  <si>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</si>
  <si>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</si>
  <si>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</si>
  <si>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</si>
  <si>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</si>
  <si>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</si>
  <si>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</si>
  <si>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</si>
  <si>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</si>
  <si>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</si>
  <si>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</si>
  <si>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</si>
  <si>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</si>
  <si>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</si>
  <si>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</si>
  <si>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</si>
  <si>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</si>
  <si>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</si>
  <si>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</si>
  <si>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</si>
  <si>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</si>
  <si>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</si>
  <si>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</si>
  <si>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</si>
  <si>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</si>
  <si>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</si>
  <si>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</si>
  <si>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</si>
  <si>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</si>
  <si>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</si>
  <si>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</si>
  <si>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</si>
  <si>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</si>
  <si>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</si>
  <si>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</si>
  <si>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</si>
  <si>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</si>
  <si>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</si>
  <si>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</si>
  <si>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</si>
  <si>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</si>
  <si>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</si>
  <si>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</si>
  <si>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</si>
  <si>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</si>
  <si>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</si>
  <si>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</si>
  <si>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</si>
  <si>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</si>
  <si>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</si>
  <si>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</si>
  <si>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</si>
  <si>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</si>
  <si>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</si>
  <si>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</si>
  <si>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</si>
  <si>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</si>
  <si>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</si>
  <si>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</si>
  <si>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</si>
  <si>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</si>
  <si>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</si>
  <si>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</si>
  <si>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</si>
  <si>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</si>
  <si>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</si>
  <si>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</si>
  <si>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</si>
  <si>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</si>
  <si>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</si>
  <si>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</si>
  <si>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</si>
  <si>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</si>
  <si>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河南华仪置业发展有限公司</t>
    <phoneticPr fontId="7" type="noConversion"/>
  </si>
  <si>
    <t>抵押</t>
  </si>
  <si>
    <t>房地产抵押价值</t>
  </si>
  <si>
    <t>河南省</t>
    <phoneticPr fontId="7" type="noConversion"/>
  </si>
  <si>
    <t>企业</t>
  </si>
  <si>
    <t>出让</t>
  </si>
  <si>
    <t>商业服务</t>
    <phoneticPr fontId="7" type="noConversion"/>
  </si>
  <si>
    <r>
      <rPr>
        <sz val="12"/>
        <color theme="9" tint="-0.249977111117893"/>
        <rFont val="宋体"/>
        <family val="3"/>
        <charset val="134"/>
      </rPr>
      <t>商业</t>
    </r>
    <r>
      <rPr>
        <sz val="12"/>
        <color theme="9" tint="-0.249977111117893"/>
        <rFont val="Arial"/>
        <family val="2"/>
      </rPr>
      <t>36.91</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</si>
  <si>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、《信阳市商品房测绘报告》</t>
    </r>
    <r>
      <rPr>
        <sz val="12"/>
        <color theme="9" tint="-0.249977111117893"/>
        <rFont val="Arial"/>
        <family val="2"/>
      </rPr>
      <t>[]</t>
    </r>
    <phoneticPr fontId="7" type="noConversion"/>
  </si>
  <si>
    <t>否</t>
  </si>
  <si>
    <t>《不动产权证书》</t>
  </si>
  <si>
    <t>商业项目</t>
  </si>
  <si>
    <t>商场</t>
  </si>
  <si>
    <t>现房</t>
  </si>
  <si>
    <t>通路</t>
  </si>
  <si>
    <t>通电</t>
  </si>
  <si>
    <t>通讯</t>
  </si>
  <si>
    <t>通上水</t>
  </si>
  <si>
    <t>通下水</t>
  </si>
  <si>
    <t>燃气</t>
  </si>
  <si>
    <t>序号</t>
    <phoneticPr fontId="144" type="noConversion"/>
  </si>
  <si>
    <t>房号</t>
    <phoneticPr fontId="144" type="noConversion"/>
  </si>
  <si>
    <t>楼层</t>
    <phoneticPr fontId="144" type="noConversion"/>
  </si>
  <si>
    <t>建筑面积</t>
    <phoneticPr fontId="144" type="noConversion"/>
  </si>
  <si>
    <t>不动产权证号</t>
    <phoneticPr fontId="144" type="noConversion"/>
  </si>
  <si>
    <t>坐落</t>
    <phoneticPr fontId="144" type="noConversion"/>
  </si>
  <si>
    <r>
      <t>河南省信阳市浉河区车站街道办事处工区路1</t>
    </r>
    <r>
      <rPr>
        <sz val="11"/>
        <color theme="1"/>
        <rFont val="宋体"/>
        <family val="3"/>
        <charset val="134"/>
        <scheme val="minor"/>
      </rPr>
      <t>35号富丽华城市花园南虹广场1号楼商业楼101号</t>
    </r>
    <phoneticPr fontId="144" type="noConversion"/>
  </si>
  <si>
    <r>
      <t>1</t>
    </r>
    <r>
      <rPr>
        <sz val="11"/>
        <color theme="1"/>
        <rFont val="宋体"/>
        <family val="3"/>
        <charset val="134"/>
        <scheme val="minor"/>
      </rPr>
      <t>-101</t>
    </r>
    <phoneticPr fontId="144" type="noConversion"/>
  </si>
  <si>
    <r>
      <t>豫（2</t>
    </r>
    <r>
      <rPr>
        <sz val="11"/>
        <color theme="1"/>
        <rFont val="宋体"/>
        <family val="3"/>
        <charset val="134"/>
        <scheme val="minor"/>
      </rPr>
      <t>017</t>
    </r>
    <r>
      <rPr>
        <sz val="11"/>
        <color theme="1"/>
        <rFont val="宋体"/>
        <family val="3"/>
        <charset val="134"/>
        <scheme val="minor"/>
      </rPr>
      <t>）信阳市不动产权第</t>
    </r>
    <r>
      <rPr>
        <sz val="11"/>
        <color theme="1"/>
        <rFont val="宋体"/>
        <family val="3"/>
        <charset val="134"/>
        <scheme val="minor"/>
      </rPr>
      <t>0018493号</t>
    </r>
    <phoneticPr fontId="144" type="noConversion"/>
  </si>
  <si>
    <r>
      <t>河南省信阳市浉河区车站街道办事处工区路1</t>
    </r>
    <r>
      <rPr>
        <sz val="11"/>
        <color theme="1"/>
        <rFont val="宋体"/>
        <family val="3"/>
        <charset val="134"/>
        <scheme val="minor"/>
      </rPr>
      <t>35号富丽华城市花园南虹广场1号楼商业楼102号</t>
    </r>
    <r>
      <rPr>
        <sz val="11"/>
        <color theme="1"/>
        <rFont val="宋体"/>
        <family val="2"/>
        <charset val="134"/>
        <scheme val="minor"/>
      </rPr>
      <t/>
    </r>
  </si>
  <si>
    <r>
      <t>1</t>
    </r>
    <r>
      <rPr>
        <sz val="11"/>
        <color theme="1"/>
        <rFont val="宋体"/>
        <family val="3"/>
        <charset val="134"/>
        <scheme val="minor"/>
      </rPr>
      <t>-102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</si>
  <si>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0018499号</t>
    </r>
    <phoneticPr fontId="144" type="noConversion"/>
  </si>
  <si>
    <r>
      <t>河南省信阳市浉河区车站街道办事处工区路1</t>
    </r>
    <r>
      <rPr>
        <sz val="11"/>
        <color theme="1"/>
        <rFont val="宋体"/>
        <family val="3"/>
        <charset val="134"/>
        <scheme val="minor"/>
      </rPr>
      <t>35号富丽华城市花园南虹广场1号楼商业楼103号</t>
    </r>
    <r>
      <rPr>
        <sz val="11"/>
        <color theme="1"/>
        <rFont val="宋体"/>
        <family val="2"/>
        <charset val="134"/>
        <scheme val="minor"/>
      </rPr>
      <t/>
    </r>
  </si>
  <si>
    <r>
      <t>1</t>
    </r>
    <r>
      <rPr>
        <sz val="11"/>
        <color theme="1"/>
        <rFont val="宋体"/>
        <family val="3"/>
        <charset val="134"/>
        <scheme val="minor"/>
      </rPr>
      <t>-103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</si>
  <si>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</si>
  <si>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</si>
  <si>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35号富丽华城市花园南虹广场1号楼商业楼105号</t>
    </r>
    <r>
      <rPr>
        <sz val="11"/>
        <color theme="1"/>
        <rFont val="宋体"/>
        <family val="2"/>
        <charset val="134"/>
        <scheme val="minor"/>
      </rPr>
      <t/>
    </r>
  </si>
  <si>
    <r>
      <t>1</t>
    </r>
    <r>
      <rPr>
        <sz val="11"/>
        <color theme="1"/>
        <rFont val="宋体"/>
        <family val="3"/>
        <charset val="134"/>
        <scheme val="minor"/>
      </rPr>
      <t>-104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</si>
  <si>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0018501号</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</si>
  <si>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</si>
  <si>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</si>
  <si>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35号富丽华城市花园南虹广场1号楼商业楼106号</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</si>
  <si>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</si>
  <si>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0018503号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</si>
  <si>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35号富丽华城市花园南虹广场1号楼商业楼107号</t>
    </r>
    <r>
      <rPr>
        <sz val="11"/>
        <color theme="1"/>
        <rFont val="宋体"/>
        <family val="2"/>
        <charset val="134"/>
        <scheme val="minor"/>
      </rPr>
      <t/>
    </r>
  </si>
  <si>
    <r>
      <t>1</t>
    </r>
    <r>
      <rPr>
        <sz val="11"/>
        <color theme="1"/>
        <rFont val="宋体"/>
        <family val="3"/>
        <charset val="134"/>
        <scheme val="minor"/>
      </rPr>
      <t>-107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</si>
  <si>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0018505号</t>
    </r>
    <r>
      <rPr>
        <sz val="11"/>
        <color theme="1"/>
        <rFont val="宋体"/>
        <family val="2"/>
        <charset val="134"/>
        <scheme val="minor"/>
      </rPr>
      <t/>
    </r>
    <phoneticPr fontId="144" type="noConversion"/>
  </si>
  <si>
    <r>
      <t>河南省信阳市浉河区车站街道办事处工区路1</t>
    </r>
    <r>
      <rPr>
        <sz val="11"/>
        <color theme="1"/>
        <rFont val="宋体"/>
        <family val="3"/>
        <charset val="134"/>
        <scheme val="minor"/>
      </rPr>
      <t>35号富丽华城市花园南虹广场1号楼商业楼108号</t>
    </r>
    <r>
      <rPr>
        <sz val="11"/>
        <color theme="1"/>
        <rFont val="宋体"/>
        <family val="2"/>
        <charset val="134"/>
        <scheme val="minor"/>
      </rPr>
      <t/>
    </r>
  </si>
  <si>
    <r>
      <t>1</t>
    </r>
    <r>
      <rPr>
        <sz val="11"/>
        <color theme="1"/>
        <rFont val="宋体"/>
        <family val="3"/>
        <charset val="134"/>
        <scheme val="minor"/>
      </rPr>
      <t>-108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</si>
  <si>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</si>
  <si>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35号富丽华城市花园南虹广场1号楼商业楼109号</t>
    </r>
    <r>
      <rPr>
        <sz val="11"/>
        <color theme="1"/>
        <rFont val="宋体"/>
        <family val="2"/>
        <charset val="134"/>
        <scheme val="minor"/>
      </rPr>
      <t/>
    </r>
  </si>
  <si>
    <r>
      <t>1</t>
    </r>
    <r>
      <rPr>
        <sz val="11"/>
        <color theme="1"/>
        <rFont val="宋体"/>
        <family val="3"/>
        <charset val="134"/>
        <scheme val="minor"/>
      </rPr>
      <t>-109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</si>
  <si>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0018507号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</si>
  <si>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35号富丽华城市花园南虹广场1号楼商业楼110号</t>
    </r>
    <r>
      <rPr>
        <sz val="11"/>
        <color theme="1"/>
        <rFont val="宋体"/>
        <family val="2"/>
        <charset val="134"/>
        <scheme val="minor"/>
      </rPr>
      <t/>
    </r>
  </si>
  <si>
    <r>
      <t>1</t>
    </r>
    <r>
      <rPr>
        <sz val="11"/>
        <color theme="1"/>
        <rFont val="宋体"/>
        <family val="3"/>
        <charset val="134"/>
        <scheme val="minor"/>
      </rPr>
      <t>-110</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</si>
  <si>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</si>
  <si>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35号富丽华城市花园南虹广场1号楼商业楼111号</t>
    </r>
    <r>
      <rPr>
        <sz val="11"/>
        <color theme="1"/>
        <rFont val="宋体"/>
        <family val="2"/>
        <charset val="134"/>
        <scheme val="minor"/>
      </rPr>
      <t/>
    </r>
  </si>
  <si>
    <r>
      <t>1</t>
    </r>
    <r>
      <rPr>
        <sz val="11"/>
        <color theme="1"/>
        <rFont val="宋体"/>
        <family val="3"/>
        <charset val="134"/>
        <scheme val="minor"/>
      </rPr>
      <t>-111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</si>
  <si>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</si>
  <si>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35号富丽华城市花园南虹广场1号楼商业楼112号</t>
    </r>
    <r>
      <rPr>
        <sz val="11"/>
        <color theme="1"/>
        <rFont val="宋体"/>
        <family val="2"/>
        <charset val="134"/>
        <scheme val="minor"/>
      </rPr>
      <t/>
    </r>
  </si>
  <si>
    <r>
      <t>1</t>
    </r>
    <r>
      <rPr>
        <sz val="11"/>
        <color theme="1"/>
        <rFont val="宋体"/>
        <family val="3"/>
        <charset val="134"/>
        <scheme val="minor"/>
      </rPr>
      <t>-112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</si>
  <si>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</si>
  <si>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35号富丽华城市花园南虹广场1号楼商业楼113号</t>
    </r>
    <r>
      <rPr>
        <sz val="11"/>
        <color theme="1"/>
        <rFont val="宋体"/>
        <family val="2"/>
        <charset val="134"/>
        <scheme val="minor"/>
      </rPr>
      <t/>
    </r>
  </si>
  <si>
    <r>
      <t>1</t>
    </r>
    <r>
      <rPr>
        <sz val="11"/>
        <color theme="1"/>
        <rFont val="宋体"/>
        <family val="3"/>
        <charset val="134"/>
        <scheme val="minor"/>
      </rPr>
      <t>-113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</si>
  <si>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</si>
  <si>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35号富丽华城市花园南虹广场1号楼商业楼114号</t>
    </r>
    <r>
      <rPr>
        <sz val="11"/>
        <color theme="1"/>
        <rFont val="宋体"/>
        <family val="2"/>
        <charset val="134"/>
        <scheme val="minor"/>
      </rPr>
      <t/>
    </r>
  </si>
  <si>
    <r>
      <t>1</t>
    </r>
    <r>
      <rPr>
        <sz val="11"/>
        <color theme="1"/>
        <rFont val="宋体"/>
        <family val="3"/>
        <charset val="134"/>
        <scheme val="minor"/>
      </rPr>
      <t>-114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</si>
  <si>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</si>
  <si>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</si>
  <si>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35号富丽华城市花园南虹广场1号楼商业楼116号</t>
    </r>
    <r>
      <rPr>
        <sz val="11"/>
        <color theme="1"/>
        <rFont val="宋体"/>
        <family val="2"/>
        <charset val="134"/>
        <scheme val="minor"/>
      </rPr>
      <t/>
    </r>
  </si>
  <si>
    <r>
      <t>1</t>
    </r>
    <r>
      <rPr>
        <sz val="11"/>
        <color theme="1"/>
        <rFont val="宋体"/>
        <family val="3"/>
        <charset val="134"/>
        <scheme val="minor"/>
      </rPr>
      <t>-115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</si>
  <si>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0018513号</t>
    </r>
    <r>
      <rPr>
        <sz val="11"/>
        <color theme="1"/>
        <rFont val="宋体"/>
        <family val="2"/>
        <charset val="134"/>
        <scheme val="minor"/>
      </rPr>
      <t/>
    </r>
  </si>
  <si>
    <r>
      <t>1</t>
    </r>
    <r>
      <rPr>
        <sz val="11"/>
        <color theme="1"/>
        <rFont val="宋体"/>
        <family val="3"/>
        <charset val="134"/>
        <scheme val="minor"/>
      </rPr>
      <t>-116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</si>
  <si>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</si>
  <si>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35号富丽华城市花园南虹广场1号楼商业楼117号</t>
    </r>
    <r>
      <rPr>
        <sz val="11"/>
        <color theme="1"/>
        <rFont val="宋体"/>
        <family val="2"/>
        <charset val="134"/>
        <scheme val="minor"/>
      </rPr>
      <t/>
    </r>
  </si>
  <si>
    <r>
      <t>1</t>
    </r>
    <r>
      <rPr>
        <sz val="11"/>
        <color theme="1"/>
        <rFont val="宋体"/>
        <family val="3"/>
        <charset val="134"/>
        <scheme val="minor"/>
      </rPr>
      <t>-117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</si>
  <si>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</si>
  <si>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35号富丽华城市花园南虹广场1号楼商业楼118号</t>
    </r>
    <r>
      <rPr>
        <sz val="11"/>
        <color theme="1"/>
        <rFont val="宋体"/>
        <family val="2"/>
        <charset val="134"/>
        <scheme val="minor"/>
      </rPr>
      <t/>
    </r>
  </si>
  <si>
    <r>
      <t>1</t>
    </r>
    <r>
      <rPr>
        <sz val="11"/>
        <color theme="1"/>
        <rFont val="宋体"/>
        <family val="3"/>
        <charset val="134"/>
        <scheme val="minor"/>
      </rPr>
      <t>-118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</si>
  <si>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</si>
  <si>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35号富丽华城市花园南虹广场1号楼商业楼119号</t>
    </r>
    <r>
      <rPr>
        <sz val="11"/>
        <color theme="1"/>
        <rFont val="宋体"/>
        <family val="2"/>
        <charset val="134"/>
        <scheme val="minor"/>
      </rPr>
      <t/>
    </r>
  </si>
  <si>
    <r>
      <t>1</t>
    </r>
    <r>
      <rPr>
        <sz val="11"/>
        <color theme="1"/>
        <rFont val="宋体"/>
        <family val="3"/>
        <charset val="134"/>
        <scheme val="minor"/>
      </rPr>
      <t>-119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</si>
  <si>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0018517号</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</si>
  <si>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</si>
  <si>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35号富丽华城市花园南虹广场1号楼商业楼120号</t>
    </r>
    <r>
      <rPr>
        <sz val="11"/>
        <color theme="1"/>
        <rFont val="宋体"/>
        <family val="2"/>
        <charset val="134"/>
        <scheme val="minor"/>
      </rPr>
      <t/>
    </r>
  </si>
  <si>
    <r>
      <t>1</t>
    </r>
    <r>
      <rPr>
        <sz val="11"/>
        <color theme="1"/>
        <rFont val="宋体"/>
        <family val="3"/>
        <charset val="134"/>
        <scheme val="minor"/>
      </rPr>
      <t>-120</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</si>
  <si>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35号富丽华城市花园南虹广场1号楼商业楼121号</t>
    </r>
    <r>
      <rPr>
        <sz val="11"/>
        <color theme="1"/>
        <rFont val="宋体"/>
        <family val="2"/>
        <charset val="134"/>
        <scheme val="minor"/>
      </rPr>
      <t/>
    </r>
  </si>
  <si>
    <r>
      <t>1</t>
    </r>
    <r>
      <rPr>
        <sz val="11"/>
        <color theme="1"/>
        <rFont val="宋体"/>
        <family val="3"/>
        <charset val="134"/>
        <scheme val="minor"/>
      </rPr>
      <t>-121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</si>
  <si>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</si>
  <si>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35号富丽华城市花园南虹广场1号楼商业楼122号</t>
    </r>
    <r>
      <rPr>
        <sz val="11"/>
        <color theme="1"/>
        <rFont val="宋体"/>
        <family val="2"/>
        <charset val="134"/>
        <scheme val="minor"/>
      </rPr>
      <t/>
    </r>
  </si>
  <si>
    <r>
      <t>1</t>
    </r>
    <r>
      <rPr>
        <sz val="11"/>
        <color theme="1"/>
        <rFont val="宋体"/>
        <family val="3"/>
        <charset val="134"/>
        <scheme val="minor"/>
      </rPr>
      <t>-122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</si>
  <si>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</si>
  <si>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35号富丽华城市花园南虹广场1号楼商业楼123号</t>
    </r>
    <r>
      <rPr>
        <sz val="11"/>
        <color theme="1"/>
        <rFont val="宋体"/>
        <family val="2"/>
        <charset val="134"/>
        <scheme val="minor"/>
      </rPr>
      <t/>
    </r>
  </si>
  <si>
    <r>
      <t>1</t>
    </r>
    <r>
      <rPr>
        <sz val="11"/>
        <color theme="1"/>
        <rFont val="宋体"/>
        <family val="3"/>
        <charset val="134"/>
        <scheme val="minor"/>
      </rPr>
      <t>-123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</si>
  <si>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</si>
  <si>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35号富丽华城市花园南虹广场1号楼商业楼124号</t>
    </r>
    <r>
      <rPr>
        <sz val="11"/>
        <color theme="1"/>
        <rFont val="宋体"/>
        <family val="2"/>
        <charset val="134"/>
        <scheme val="minor"/>
      </rPr>
      <t/>
    </r>
  </si>
  <si>
    <r>
      <t>1</t>
    </r>
    <r>
      <rPr>
        <sz val="11"/>
        <color theme="1"/>
        <rFont val="宋体"/>
        <family val="3"/>
        <charset val="134"/>
        <scheme val="minor"/>
      </rPr>
      <t>-124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</si>
  <si>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</si>
  <si>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35号富丽华城市花园南虹广场1号楼商业楼125号</t>
    </r>
    <r>
      <rPr>
        <sz val="11"/>
        <color theme="1"/>
        <rFont val="宋体"/>
        <family val="2"/>
        <charset val="134"/>
        <scheme val="minor"/>
      </rPr>
      <t/>
    </r>
  </si>
  <si>
    <r>
      <t>1</t>
    </r>
    <r>
      <rPr>
        <sz val="11"/>
        <color theme="1"/>
        <rFont val="宋体"/>
        <family val="3"/>
        <charset val="134"/>
        <scheme val="minor"/>
      </rPr>
      <t>-125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</si>
  <si>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0018523号</t>
    </r>
    <r>
      <rPr>
        <sz val="11"/>
        <color theme="1"/>
        <rFont val="宋体"/>
        <family val="2"/>
        <charset val="134"/>
        <scheme val="minor"/>
      </rPr>
      <t/>
    </r>
  </si>
  <si>
    <r>
      <t>河南省信阳市浉河区车站街道办事处工区路135号富丽华城市花园南虹广场1号楼商业楼201号</t>
    </r>
    <r>
      <rPr>
        <sz val="11"/>
        <color theme="1"/>
        <rFont val="宋体"/>
        <family val="2"/>
        <charset val="134"/>
        <scheme val="minor"/>
      </rPr>
      <t/>
    </r>
    <phoneticPr fontId="144" type="noConversion"/>
  </si>
  <si>
    <t>1-201</t>
    <phoneticPr fontId="144" type="noConversion"/>
  </si>
  <si>
    <r>
      <t>豫（2017</t>
    </r>
    <r>
      <rPr>
        <sz val="11"/>
        <color theme="1"/>
        <rFont val="宋体"/>
        <family val="3"/>
        <charset val="134"/>
        <scheme val="minor"/>
      </rPr>
      <t>）信阳市不动产权第</t>
    </r>
    <r>
      <rPr>
        <sz val="11"/>
        <color theme="1"/>
        <rFont val="宋体"/>
        <family val="3"/>
        <charset val="134"/>
        <scheme val="minor"/>
      </rPr>
      <t>0018524号</t>
    </r>
    <r>
      <rPr>
        <sz val="11"/>
        <color theme="1"/>
        <rFont val="宋体"/>
        <family val="2"/>
        <charset val="134"/>
        <scheme val="minor"/>
      </rPr>
      <t/>
    </r>
  </si>
  <si>
    <t>河南省信阳市浉河区车站街道办事处工区路135号富丽华城市花园南虹广场1号楼商业楼202号</t>
  </si>
  <si>
    <t>1-202</t>
  </si>
  <si>
    <r>
      <t>豫（2017</t>
    </r>
    <r>
      <rPr>
        <sz val="11"/>
        <color theme="1"/>
        <rFont val="宋体"/>
        <family val="3"/>
        <charset val="134"/>
        <scheme val="minor"/>
      </rPr>
      <t>）信阳市不动产权第</t>
    </r>
    <r>
      <rPr>
        <sz val="11"/>
        <color theme="1"/>
        <rFont val="宋体"/>
        <family val="3"/>
        <charset val="134"/>
        <scheme val="minor"/>
      </rPr>
      <t>0018525号</t>
    </r>
    <r>
      <rPr>
        <sz val="11"/>
        <color theme="1"/>
        <rFont val="宋体"/>
        <family val="2"/>
        <charset val="134"/>
        <scheme val="minor"/>
      </rPr>
      <t/>
    </r>
  </si>
  <si>
    <t>河南省信阳市浉河区车站街道办事处工区路135号富丽华城市花园南虹广场1号楼商业楼203号</t>
  </si>
  <si>
    <t>1-203</t>
  </si>
  <si>
    <r>
      <t>豫（2017</t>
    </r>
    <r>
      <rPr>
        <sz val="11"/>
        <color theme="1"/>
        <rFont val="宋体"/>
        <family val="3"/>
        <charset val="134"/>
        <scheme val="minor"/>
      </rPr>
      <t>）信阳市不动产权第</t>
    </r>
    <r>
      <rPr>
        <sz val="11"/>
        <color theme="1"/>
        <rFont val="宋体"/>
        <family val="3"/>
        <charset val="134"/>
        <scheme val="minor"/>
      </rPr>
      <t>0018527号</t>
    </r>
    <r>
      <rPr>
        <sz val="11"/>
        <color theme="1"/>
        <rFont val="宋体"/>
        <family val="2"/>
        <charset val="134"/>
        <scheme val="minor"/>
      </rPr>
      <t/>
    </r>
    <phoneticPr fontId="144" type="noConversion"/>
  </si>
  <si>
    <t>河南省信阳市浉河区车站街道办事处工区路135号富丽华城市花园南虹广场1号楼商业楼204号</t>
  </si>
  <si>
    <t>1-204</t>
  </si>
  <si>
    <r>
      <t>豫（2017</t>
    </r>
    <r>
      <rPr>
        <sz val="11"/>
        <color theme="1"/>
        <rFont val="宋体"/>
        <family val="3"/>
        <charset val="134"/>
        <scheme val="minor"/>
      </rPr>
      <t>）信阳市不动产权第</t>
    </r>
    <r>
      <rPr>
        <sz val="11"/>
        <color theme="1"/>
        <rFont val="宋体"/>
        <family val="3"/>
        <charset val="134"/>
        <scheme val="minor"/>
      </rPr>
      <t>0018528号</t>
    </r>
    <r>
      <rPr>
        <sz val="11"/>
        <color theme="1"/>
        <rFont val="宋体"/>
        <family val="2"/>
        <charset val="134"/>
        <scheme val="minor"/>
      </rPr>
      <t/>
    </r>
  </si>
  <si>
    <t>河南省信阳市浉河区车站街道办事处工区路135号富丽华城市花园南虹广场1号楼商业楼205号</t>
  </si>
  <si>
    <t>1-205</t>
  </si>
  <si>
    <r>
      <t>豫（2017</t>
    </r>
    <r>
      <rPr>
        <sz val="11"/>
        <color theme="1"/>
        <rFont val="宋体"/>
        <family val="3"/>
        <charset val="134"/>
        <scheme val="minor"/>
      </rPr>
      <t>）信阳市不动产权第</t>
    </r>
    <r>
      <rPr>
        <sz val="11"/>
        <color theme="1"/>
        <rFont val="宋体"/>
        <family val="3"/>
        <charset val="134"/>
        <scheme val="minor"/>
      </rPr>
      <t>0018529号</t>
    </r>
    <r>
      <rPr>
        <sz val="11"/>
        <color theme="1"/>
        <rFont val="宋体"/>
        <family val="2"/>
        <charset val="134"/>
        <scheme val="minor"/>
      </rPr>
      <t/>
    </r>
  </si>
  <si>
    <t>河南省信阳市浉河区车站街道办事处工区路135号富丽华城市花园南虹广场1号楼商业楼206号</t>
  </si>
  <si>
    <t>1-206</t>
  </si>
  <si>
    <r>
      <t>豫（2017</t>
    </r>
    <r>
      <rPr>
        <sz val="11"/>
        <color theme="1"/>
        <rFont val="宋体"/>
        <family val="3"/>
        <charset val="134"/>
        <scheme val="minor"/>
      </rPr>
      <t>）信阳市不动产权第</t>
    </r>
    <r>
      <rPr>
        <sz val="11"/>
        <color theme="1"/>
        <rFont val="宋体"/>
        <family val="3"/>
        <charset val="134"/>
        <scheme val="minor"/>
      </rPr>
      <t>0018530号</t>
    </r>
    <r>
      <rPr>
        <sz val="11"/>
        <color theme="1"/>
        <rFont val="宋体"/>
        <family val="2"/>
        <charset val="134"/>
        <scheme val="minor"/>
      </rPr>
      <t/>
    </r>
  </si>
  <si>
    <t>河南省信阳市浉河区车站街道办事处工区路135号富丽华城市花园南虹广场1号楼商业楼301号</t>
    <phoneticPr fontId="144" type="noConversion"/>
  </si>
  <si>
    <t>1-301</t>
    <phoneticPr fontId="144" type="noConversion"/>
  </si>
  <si>
    <r>
      <t>豫（2017</t>
    </r>
    <r>
      <rPr>
        <sz val="11"/>
        <color theme="1"/>
        <rFont val="宋体"/>
        <family val="3"/>
        <charset val="134"/>
        <scheme val="minor"/>
      </rPr>
      <t>）信阳市不动产权第</t>
    </r>
    <r>
      <rPr>
        <sz val="11"/>
        <color theme="1"/>
        <rFont val="宋体"/>
        <family val="3"/>
        <charset val="134"/>
        <scheme val="minor"/>
      </rPr>
      <t>0018531号</t>
    </r>
    <r>
      <rPr>
        <sz val="11"/>
        <color theme="1"/>
        <rFont val="宋体"/>
        <family val="2"/>
        <charset val="134"/>
        <scheme val="minor"/>
      </rPr>
      <t/>
    </r>
  </si>
  <si>
    <t>河南省信阳市浉河区车站街道办事处工区路135号富丽华城市花园南虹广场1号楼商业楼302号</t>
  </si>
  <si>
    <t>1-302</t>
  </si>
  <si>
    <r>
      <t>豫（2017</t>
    </r>
    <r>
      <rPr>
        <sz val="11"/>
        <color theme="1"/>
        <rFont val="宋体"/>
        <family val="3"/>
        <charset val="134"/>
        <scheme val="minor"/>
      </rPr>
      <t>）信阳市不动产权第</t>
    </r>
    <r>
      <rPr>
        <sz val="11"/>
        <color theme="1"/>
        <rFont val="宋体"/>
        <family val="3"/>
        <charset val="134"/>
        <scheme val="minor"/>
      </rPr>
      <t>0018532号</t>
    </r>
    <r>
      <rPr>
        <sz val="11"/>
        <color theme="1"/>
        <rFont val="宋体"/>
        <family val="2"/>
        <charset val="134"/>
        <scheme val="minor"/>
      </rPr>
      <t/>
    </r>
  </si>
  <si>
    <t>河南省信阳市浉河区车站街道办事处工区路135号富丽华城市花园南虹广场1号楼商业楼303号</t>
  </si>
  <si>
    <t>1-303</t>
  </si>
  <si>
    <r>
      <t>豫（2017</t>
    </r>
    <r>
      <rPr>
        <sz val="11"/>
        <color theme="1"/>
        <rFont val="宋体"/>
        <family val="3"/>
        <charset val="134"/>
        <scheme val="minor"/>
      </rPr>
      <t>）信阳市不动产权第</t>
    </r>
    <r>
      <rPr>
        <sz val="11"/>
        <color theme="1"/>
        <rFont val="宋体"/>
        <family val="3"/>
        <charset val="134"/>
        <scheme val="minor"/>
      </rPr>
      <t>0018533号</t>
    </r>
    <r>
      <rPr>
        <sz val="11"/>
        <color theme="1"/>
        <rFont val="宋体"/>
        <family val="2"/>
        <charset val="134"/>
        <scheme val="minor"/>
      </rPr>
      <t/>
    </r>
  </si>
  <si>
    <t>河南省信阳市浉河区车站街道办事处工区路135号富丽华城市花园南虹广场2号楼商业楼101号</t>
    <phoneticPr fontId="144" type="noConversion"/>
  </si>
  <si>
    <t>2-101</t>
    <phoneticPr fontId="144" type="noConversion"/>
  </si>
  <si>
    <t>河南省信阳市浉河区车站街道办事处工区路135号富丽华城市花园南虹广场2号楼商业楼102号</t>
  </si>
  <si>
    <t>河南省信阳市浉河区车站街道办事处工区路135号富丽华城市花园南虹广场2号楼商业楼103号</t>
  </si>
  <si>
    <t>河南省信阳市浉河区车站街道办事处工区路135号富丽华城市花园南虹广场2号楼商业楼104号</t>
  </si>
  <si>
    <t>河南省信阳市浉河区车站街道办事处工区路135号富丽华城市花园南虹广场2号楼商业楼105号</t>
  </si>
  <si>
    <t>河南省信阳市浉河区车站街道办事处工区路135号富丽华城市花园南虹广场2号楼商业楼106号</t>
  </si>
  <si>
    <t>河南省信阳市浉河区车站街道办事处工区路135号富丽华城市花园南虹广场2号楼商业楼107号</t>
  </si>
  <si>
    <t>河南省信阳市浉河区车站街道办事处工区路135号富丽华城市花园南虹广场2号楼商业楼108号</t>
  </si>
  <si>
    <t>河南省信阳市浉河区车站街道办事处工区路135号富丽华城市花园南虹广场2号楼商业楼109号</t>
  </si>
  <si>
    <t>河南省信阳市浉河区车站街道办事处工区路135号富丽华城市花园南虹广场2号楼商业楼110号</t>
  </si>
  <si>
    <t>河南省信阳市浉河区车站街道办事处工区路135号富丽华城市花园南虹广场2号楼商业楼111号</t>
  </si>
  <si>
    <t>河南省信阳市浉河区车站街道办事处工区路135号富丽华城市花园南虹广场2号楼商业楼112号</t>
  </si>
  <si>
    <t>河南省信阳市浉河区车站街道办事处工区路135号富丽华城市花园南虹广场2号楼商业楼113号</t>
  </si>
  <si>
    <t>河南省信阳市浉河区车站街道办事处工区路135号富丽华城市花园南虹广场2号楼商业楼114号</t>
  </si>
  <si>
    <t>河南省信阳市浉河区车站街道办事处工区路135号富丽华城市花园南虹广场2号楼商业楼115号</t>
  </si>
  <si>
    <t>河南省信阳市浉河区车站街道办事处工区路135号富丽华城市花园南虹广场2号楼商业楼116号</t>
  </si>
  <si>
    <t>河南省信阳市浉河区车站街道办事处工区路135号富丽华城市花园南虹广场2号楼商业楼117号</t>
  </si>
  <si>
    <t>河南省信阳市浉河区车站街道办事处工区路135号富丽华城市花园南虹广场2号楼商业楼118号</t>
  </si>
  <si>
    <t>河南省信阳市浉河区车站街道办事处工区路135号富丽华城市花园南虹广场2号楼商业楼119号</t>
  </si>
  <si>
    <t>河南省信阳市浉河区车站街道办事处工区路135号富丽华城市花园南虹广场2号楼商业楼120号</t>
  </si>
  <si>
    <t>河南省信阳市浉河区车站街道办事处工区路135号富丽华城市花园南虹广场2号楼商业楼121号</t>
  </si>
  <si>
    <t>河南省信阳市浉河区车站街道办事处工区路135号富丽华城市花园南虹广场2号楼商业楼122号</t>
  </si>
  <si>
    <t>河南省信阳市浉河区车站街道办事处工区路135号富丽华城市花园南虹广场2号楼商业楼123号</t>
  </si>
  <si>
    <t>河南省信阳市浉河区车站街道办事处工区路135号富丽华城市花园南虹广场2号楼商业楼124号</t>
  </si>
  <si>
    <t>河南省信阳市浉河区车站街道办事处工区路135号富丽华城市花园南虹广场2号楼商业楼125号</t>
  </si>
  <si>
    <t>河南省信阳市浉河区车站街道办事处工区路135号富丽华城市花园南虹广场2号楼商业楼126号</t>
  </si>
  <si>
    <t>河南省信阳市浉河区车站街道办事处工区路135号富丽华城市花园南虹广场2号楼商业楼127号</t>
  </si>
  <si>
    <t>河南省信阳市浉河区车站街道办事处工区路135号富丽华城市花园南虹广场2号楼商业楼128号</t>
  </si>
  <si>
    <t>河南省信阳市浉河区车站街道办事处工区路135号富丽华城市花园南虹广场2号楼商业楼129号</t>
  </si>
  <si>
    <t>河南省信阳市浉河区车站街道办事处工区路135号富丽华城市花园南虹广场2号楼商业楼130号</t>
  </si>
  <si>
    <t>河南省信阳市浉河区车站街道办事处工区路135号富丽华城市花园南虹广场2号楼商业楼131号</t>
  </si>
  <si>
    <t>河南省信阳市浉河区车站街道办事处工区路135号富丽华城市花园南虹广场2号楼商业楼132号</t>
  </si>
  <si>
    <t>河南省信阳市浉河区车站街道办事处工区路135号富丽华城市花园南虹广场2号楼商业楼133号</t>
  </si>
  <si>
    <t>河南省信阳市浉河区车站街道办事处工区路135号富丽华城市花园南虹广场2号楼商业楼134号</t>
  </si>
  <si>
    <t>河南省信阳市浉河区车站街道办事处工区路135号富丽华城市花园南虹广场2号楼商业楼135号</t>
  </si>
  <si>
    <t>河南省信阳市浉河区车站街道办事处工区路135号富丽华城市花园南虹广场2号楼商业楼136号</t>
  </si>
  <si>
    <t>河南省信阳市浉河区车站街道办事处工区路135号富丽华城市花园南虹广场2号楼商业楼137号</t>
  </si>
  <si>
    <t>河南省信阳市浉河区车站街道办事处工区路135号富丽华城市花园南虹广场2号楼商业楼138号</t>
  </si>
  <si>
    <t>河南省信阳市浉河区车站街道办事处工区路135号富丽华城市花园南虹广场2号楼商业楼139号</t>
  </si>
  <si>
    <t>河南省信阳市浉河区车站街道办事处工区路135号富丽华城市花园南虹广场2号楼商业楼140号</t>
  </si>
  <si>
    <t>河南省信阳市浉河区车站街道办事处工区路135号富丽华城市花园南虹广场2号楼商业楼141号</t>
  </si>
  <si>
    <t>河南省信阳市浉河区车站街道办事处工区路135号富丽华城市花园南虹广场2号楼商业楼142号</t>
  </si>
  <si>
    <t>河南省信阳市浉河区车站街道办事处工区路135号富丽华城市花园南虹广场2号楼商业楼143号</t>
  </si>
  <si>
    <t>河南省信阳市浉河区车站街道办事处工区路135号富丽华城市花园南虹广场2号楼商业楼144号</t>
  </si>
  <si>
    <t>河南省信阳市浉河区车站街道办事处工区路135号富丽华城市花园南虹广场2号楼商业楼145号</t>
  </si>
  <si>
    <t>河南省信阳市浉河区车站街道办事处工区路135号富丽华城市花园南虹广场2号楼商业楼146号</t>
  </si>
  <si>
    <t>河南省信阳市浉河区车站街道办事处工区路135号富丽华城市花园南虹广场2号楼商业楼147号</t>
  </si>
  <si>
    <t>河南省信阳市浉河区车站街道办事处工区路135号富丽华城市花园南虹广场2号楼商业楼148号</t>
  </si>
  <si>
    <t>河南省信阳市浉河区车站街道办事处工区路135号富丽华城市花园南虹广场2号楼商业楼149号</t>
  </si>
  <si>
    <t>河南省信阳市浉河区车站街道办事处工区路135号富丽华城市花园南虹广场2号楼商业楼150号</t>
  </si>
  <si>
    <t>河南省信阳市浉河区车站街道办事处工区路135号富丽华城市花园南虹广场2号楼商业楼151号</t>
  </si>
  <si>
    <t>河南省信阳市浉河区车站街道办事处工区路135号富丽华城市花园南虹广场2号楼商业楼152号</t>
  </si>
  <si>
    <t>河南省信阳市浉河区车站街道办事处工区路135号富丽华城市花园南虹广场2号楼商业楼153号</t>
  </si>
  <si>
    <t>河南省信阳市浉河区车站街道办事处工区路135号富丽华城市花园南虹广场2号楼商业楼154号</t>
  </si>
  <si>
    <t>河南省信阳市浉河区车站街道办事处工区路135号富丽华城市花园南虹广场2号楼商业楼155号</t>
  </si>
  <si>
    <t>河南省信阳市浉河区车站街道办事处工区路135号富丽华城市花园南虹广场2号楼商业楼156号</t>
  </si>
  <si>
    <t>河南省信阳市浉河区车站街道办事处工区路135号富丽华城市花园南虹广场2号楼商业楼157号</t>
  </si>
  <si>
    <t>河南省信阳市浉河区车站街道办事处工区路135号富丽华城市花园南虹广场2号楼商业楼158号</t>
  </si>
  <si>
    <t>河南省信阳市浉河区车站街道办事处工区路135号富丽华城市花园南虹广场2号楼商业楼159号</t>
  </si>
  <si>
    <t>河南省信阳市浉河区车站街道办事处工区路135号富丽华城市花园南虹广场2号楼商业楼160号</t>
  </si>
  <si>
    <t>河南省信阳市浉河区车站街道办事处工区路135号富丽华城市花园南虹广场2号楼商业楼161号</t>
  </si>
  <si>
    <t>河南省信阳市浉河区车站街道办事处工区路135号富丽华城市花园南虹广场2号楼商业楼162号</t>
  </si>
  <si>
    <t>河南省信阳市浉河区车站街道办事处工区路135号富丽华城市花园南虹广场2号楼商业楼163号</t>
  </si>
  <si>
    <t>河南省信阳市浉河区车站街道办事处工区路135号富丽华城市花园南虹广场2号楼商业楼164号</t>
  </si>
  <si>
    <t>河南省信阳市浉河区车站街道办事处工区路135号富丽华城市花园南虹广场2号楼商业楼165号</t>
  </si>
  <si>
    <t>河南省信阳市浉河区车站街道办事处工区路135号富丽华城市花园南虹广场2号楼商业楼166号</t>
  </si>
  <si>
    <t>河南省信阳市浉河区车站街道办事处工区路135号富丽华城市花园南虹广场2号楼商业楼167号</t>
  </si>
  <si>
    <t>河南省信阳市浉河区车站街道办事处工区路135号富丽华城市花园南虹广场2号楼商业楼168号</t>
  </si>
  <si>
    <t>河南省信阳市浉河区车站街道办事处工区路135号富丽华城市花园南虹广场2号楼商业楼169号</t>
  </si>
  <si>
    <t>河南省信阳市浉河区车站街道办事处工区路135号富丽华城市花园南虹广场2号楼商业楼170号</t>
  </si>
  <si>
    <t>河南省信阳市浉河区车站街道办事处工区路135号富丽华城市花园南虹广场2号楼商业楼171号</t>
  </si>
  <si>
    <t>河南省信阳市浉河区车站街道办事处工区路135号富丽华城市花园南虹广场2号楼商业楼172号</t>
  </si>
  <si>
    <t>河南省信阳市浉河区车站街道办事处工区路135号富丽华城市花园南虹广场2号楼商业楼173号</t>
  </si>
  <si>
    <t>河南省信阳市浉河区车站街道办事处工区路135号富丽华城市花园南虹广场2号楼商业楼174号</t>
  </si>
  <si>
    <t>河南省信阳市浉河区车站街道办事处工区路135号富丽华城市花园南虹广场2号楼商业楼175号</t>
  </si>
  <si>
    <t>河南省信阳市浉河区车站街道办事处工区路135号富丽华城市花园南虹广场2号楼商业楼176号</t>
  </si>
  <si>
    <t>河南省信阳市浉河区车站街道办事处工区路135号富丽华城市花园南虹广场2号楼商业楼177号</t>
  </si>
  <si>
    <t>河南省信阳市浉河区车站街道办事处工区路135号富丽华城市花园南虹广场2号楼商业楼178号</t>
  </si>
  <si>
    <t>河南省信阳市浉河区车站街道办事处工区路135号富丽华城市花园南虹广场2号楼商业楼179号</t>
  </si>
  <si>
    <t>河南省信阳市浉河区车站街道办事处工区路135号富丽华城市花园南虹广场2号楼商业楼180号</t>
  </si>
  <si>
    <t>河南省信阳市浉河区车站街道办事处工区路135号富丽华城市花园南虹广场2号楼商业楼181号</t>
  </si>
  <si>
    <t>河南省信阳市浉河区车站街道办事处工区路135号富丽华城市花园南虹广场2号楼商业楼182号</t>
  </si>
  <si>
    <t>河南省信阳市浉河区车站街道办事处工区路135号富丽华城市花园南虹广场2号楼商业楼183号</t>
  </si>
  <si>
    <t>河南省信阳市浉河区车站街道办事处工区路135号富丽华城市花园南虹广场2号楼商业楼184号</t>
  </si>
  <si>
    <t>河南省信阳市浉河区车站街道办事处工区路135号富丽华城市花园南虹广场2号楼商业楼185号</t>
  </si>
  <si>
    <t>河南省信阳市浉河区车站街道办事处工区路135号富丽华城市花园南虹广场2号楼商业楼186号</t>
  </si>
  <si>
    <t>河南省信阳市浉河区车站街道办事处工区路135号富丽华城市花园南虹广场2号楼商业楼187号</t>
  </si>
  <si>
    <t>河南省信阳市浉河区车站街道办事处工区路135号富丽华城市花园南虹广场2号楼商业楼188号</t>
  </si>
  <si>
    <t>河南省信阳市浉河区车站街道办事处工区路135号富丽华城市花园南虹广场2号楼商业楼189号</t>
  </si>
  <si>
    <t>河南省信阳市浉河区车站街道办事处工区路135号富丽华城市花园南虹广场2号楼商业楼190号</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</si>
  <si>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</si>
  <si>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</si>
  <si>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</si>
  <si>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</si>
  <si>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</si>
  <si>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</si>
  <si>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</si>
  <si>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</si>
  <si>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</si>
  <si>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</si>
  <si>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</si>
  <si>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</si>
  <si>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</si>
  <si>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</si>
  <si>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</si>
  <si>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</si>
  <si>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</si>
  <si>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</si>
  <si>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</si>
  <si>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</si>
  <si>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</si>
  <si>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</si>
  <si>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</si>
  <si>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</si>
  <si>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</si>
  <si>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</si>
  <si>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</si>
  <si>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</si>
  <si>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</si>
  <si>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</si>
  <si>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</si>
  <si>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</si>
  <si>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</si>
  <si>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</si>
  <si>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</si>
  <si>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</si>
  <si>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</si>
  <si>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</si>
  <si>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</si>
  <si>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</si>
  <si>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</si>
  <si>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</si>
  <si>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</si>
  <si>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</si>
  <si>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</si>
  <si>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</si>
  <si>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</si>
  <si>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</si>
  <si>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</si>
  <si>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</si>
  <si>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</si>
  <si>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</si>
  <si>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</si>
  <si>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</si>
  <si>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</si>
  <si>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</si>
  <si>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</si>
  <si>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</si>
  <si>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</si>
  <si>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</si>
  <si>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</si>
  <si>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</si>
  <si>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</si>
  <si>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</si>
  <si>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</si>
  <si>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</si>
  <si>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</si>
  <si>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</si>
  <si>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</si>
  <si>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</si>
  <si>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</si>
  <si>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</si>
  <si>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</si>
  <si>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</si>
  <si>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</si>
  <si>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</si>
  <si>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</si>
  <si>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</si>
  <si>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</si>
  <si>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</si>
  <si>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</si>
  <si>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</si>
  <si>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</si>
  <si>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</si>
  <si>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</si>
  <si>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</si>
  <si>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</si>
  <si>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</si>
  <si>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</si>
  <si>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河南省信阳市浉河区车站街道办事处工区路135号富丽华城市花园南虹广场2号楼商业楼201号</t>
    <phoneticPr fontId="144" type="noConversion"/>
  </si>
  <si>
    <t>河南省信阳市浉河区车站街道办事处工区路135号富丽华城市花园南虹广场2号楼商业楼202号</t>
  </si>
  <si>
    <t>河南省信阳市浉河区车站街道办事处工区路135号富丽华城市花园南虹广场2号楼商业楼203号</t>
  </si>
  <si>
    <t>河南省信阳市浉河区车站街道办事处工区路135号富丽华城市花园南虹广场2号楼商业楼204号</t>
  </si>
  <si>
    <t>河南省信阳市浉河区车站街道办事处工区路135号富丽华城市花园南虹广场2号楼商业楼205号</t>
  </si>
  <si>
    <t>河南省信阳市浉河区车站街道办事处工区路135号富丽华城市花园南虹广场2号楼商业楼206号</t>
  </si>
  <si>
    <t>河南省信阳市浉河区车站街道办事处工区路135号富丽华城市花园南虹广场2号楼商业楼207号</t>
  </si>
  <si>
    <t>河南省信阳市浉河区车站街道办事处工区路135号富丽华城市花园南虹广场2号楼商业楼208号</t>
  </si>
  <si>
    <t>河南省信阳市浉河区车站街道办事处工区路135号富丽华城市花园南虹广场2号楼商业楼209号</t>
  </si>
  <si>
    <t>河南省信阳市浉河区车站街道办事处工区路135号富丽华城市花园南虹广场2号楼商业楼210号</t>
  </si>
  <si>
    <t>河南省信阳市浉河区车站街道办事处工区路135号富丽华城市花园南虹广场2号楼商业楼211号</t>
  </si>
  <si>
    <t>河南省信阳市浉河区车站街道办事处工区路135号富丽华城市花园南虹广场2号楼商业楼212号</t>
  </si>
  <si>
    <t>河南省信阳市浉河区车站街道办事处工区路135号富丽华城市花园南虹广场2号楼商业楼213号</t>
  </si>
  <si>
    <t>河南省信阳市浉河区车站街道办事处工区路135号富丽华城市花园南虹广场2号楼商业楼214号</t>
  </si>
  <si>
    <t>河南省信阳市浉河区车站街道办事处工区路135号富丽华城市花园南虹广场2号楼商业楼215号</t>
  </si>
  <si>
    <t>河南省信阳市浉河区车站街道办事处工区路135号富丽华城市花园南虹广场2号楼商业楼216号</t>
  </si>
  <si>
    <t>河南省信阳市浉河区车站街道办事处工区路135号富丽华城市花园南虹广场2号楼商业楼217号</t>
  </si>
  <si>
    <t>河南省信阳市浉河区车站街道办事处工区路135号富丽华城市花园南虹广场2号楼商业楼218号</t>
  </si>
  <si>
    <t>河南省信阳市浉河区车站街道办事处工区路135号富丽华城市花园南虹广场2号楼商业楼219号</t>
  </si>
  <si>
    <t>河南省信阳市浉河区车站街道办事处工区路135号富丽华城市花园南虹广场2号楼商业楼220号</t>
  </si>
  <si>
    <t>河南省信阳市浉河区车站街道办事处工区路135号富丽华城市花园南虹广场2号楼商业楼221号</t>
  </si>
  <si>
    <t>河南省信阳市浉河区车站街道办事处工区路135号富丽华城市花园南虹广场2号楼商业楼222号</t>
  </si>
  <si>
    <t>河南省信阳市浉河区车站街道办事处工区路135号富丽华城市花园南虹广场2号楼商业楼223号</t>
  </si>
  <si>
    <t>河南省信阳市浉河区车站街道办事处工区路135号富丽华城市花园南虹广场2号楼商业楼224号</t>
  </si>
  <si>
    <t>河南省信阳市浉河区车站街道办事处工区路135号富丽华城市花园南虹广场2号楼商业楼225号</t>
  </si>
  <si>
    <t>河南省信阳市浉河区车站街道办事处工区路135号富丽华城市花园南虹广场2号楼商业楼226号</t>
  </si>
  <si>
    <t>河南省信阳市浉河区车站街道办事处工区路135号富丽华城市花园南虹广场2号楼商业楼227号</t>
  </si>
  <si>
    <t>河南省信阳市浉河区车站街道办事处工区路135号富丽华城市花园南虹广场2号楼商业楼228号</t>
  </si>
  <si>
    <t>河南省信阳市浉河区车站街道办事处工区路135号富丽华城市花园南虹广场2号楼商业楼229号</t>
  </si>
  <si>
    <t>河南省信阳市浉河区车站街道办事处工区路135号富丽华城市花园南虹广场2号楼商业楼230号</t>
  </si>
  <si>
    <t>河南省信阳市浉河区车站街道办事处工区路135号富丽华城市花园南虹广场2号楼商业楼231号</t>
  </si>
  <si>
    <t>河南省信阳市浉河区车站街道办事处工区路135号富丽华城市花园南虹广场2号楼商业楼232号</t>
  </si>
  <si>
    <t>河南省信阳市浉河区车站街道办事处工区路135号富丽华城市花园南虹广场2号楼商业楼233号</t>
  </si>
  <si>
    <t>河南省信阳市浉河区车站街道办事处工区路135号富丽华城市花园南虹广场2号楼商业楼234号</t>
  </si>
  <si>
    <t>河南省信阳市浉河区车站街道办事处工区路135号富丽华城市花园南虹广场2号楼商业楼235号</t>
  </si>
  <si>
    <t>河南省信阳市浉河区车站街道办事处工区路135号富丽华城市花园南虹广场2号楼商业楼236号</t>
  </si>
  <si>
    <t>河南省信阳市浉河区车站街道办事处工区路135号富丽华城市花园南虹广场2号楼商业楼237号</t>
  </si>
  <si>
    <t>河南省信阳市浉河区车站街道办事处工区路135号富丽华城市花园南虹广场2号楼商业楼238号</t>
  </si>
  <si>
    <t>河南省信阳市浉河区车站街道办事处工区路135号富丽华城市花园南虹广场2号楼商业楼239号</t>
  </si>
  <si>
    <t>河南省信阳市浉河区车站街道办事处工区路135号富丽华城市花园南虹广场2号楼商业楼240号</t>
  </si>
  <si>
    <t>河南省信阳市浉河区车站街道办事处工区路135号富丽华城市花园南虹广场2号楼商业楼241号</t>
  </si>
  <si>
    <t>河南省信阳市浉河区车站街道办事处工区路135号富丽华城市花园南虹广场2号楼商业楼242号</t>
  </si>
  <si>
    <t>河南省信阳市浉河区车站街道办事处工区路135号富丽华城市花园南虹广场2号楼商业楼243号</t>
  </si>
  <si>
    <t>河南省信阳市浉河区车站街道办事处工区路135号富丽华城市花园南虹广场2号楼商业楼244号</t>
  </si>
  <si>
    <t>河南省信阳市浉河区车站街道办事处工区路135号富丽华城市花园南虹广场2号楼商业楼245号</t>
  </si>
  <si>
    <t>河南省信阳市浉河区车站街道办事处工区路135号富丽华城市花园南虹广场2号楼商业楼246号</t>
  </si>
  <si>
    <t>河南省信阳市浉河区车站街道办事处工区路135号富丽华城市花园南虹广场2号楼商业楼247号</t>
  </si>
  <si>
    <t>河南省信阳市浉河区车站街道办事处工区路135号富丽华城市花园南虹广场2号楼商业楼248号</t>
  </si>
  <si>
    <t>河南省信阳市浉河区车站街道办事处工区路135号富丽华城市花园南虹广场2号楼商业楼249号</t>
  </si>
  <si>
    <t>河南省信阳市浉河区车站街道办事处工区路135号富丽华城市花园南虹广场2号楼商业楼250号</t>
  </si>
  <si>
    <t>河南省信阳市浉河区车站街道办事处工区路135号富丽华城市花园南虹广场2号楼商业楼251号</t>
  </si>
  <si>
    <t>河南省信阳市浉河区车站街道办事处工区路135号富丽华城市花园南虹广场2号楼商业楼252号</t>
  </si>
  <si>
    <t>河南省信阳市浉河区车站街道办事处工区路135号富丽华城市花园南虹广场2号楼商业楼253号</t>
  </si>
  <si>
    <t>河南省信阳市浉河区车站街道办事处工区路135号富丽华城市花园南虹广场2号楼商业楼254号</t>
  </si>
  <si>
    <t>河南省信阳市浉河区车站街道办事处工区路135号富丽华城市花园南虹广场2号楼商业楼255号</t>
  </si>
  <si>
    <t>河南省信阳市浉河区车站街道办事处工区路135号富丽华城市花园南虹广场2号楼商业楼256号</t>
  </si>
  <si>
    <t>河南省信阳市浉河区车站街道办事处工区路135号富丽华城市花园南虹广场2号楼商业楼257号</t>
  </si>
  <si>
    <t>河南省信阳市浉河区车站街道办事处工区路135号富丽华城市花园南虹广场2号楼商业楼258号</t>
  </si>
  <si>
    <t>河南省信阳市浉河区车站街道办事处工区路135号富丽华城市花园南虹广场2号楼商业楼259号</t>
  </si>
  <si>
    <t>河南省信阳市浉河区车站街道办事处工区路135号富丽华城市花园南虹广场2号楼商业楼260号</t>
  </si>
  <si>
    <t>河南省信阳市浉河区车站街道办事处工区路135号富丽华城市花园南虹广场2号楼商业楼261号</t>
  </si>
  <si>
    <t>河南省信阳市浉河区车站街道办事处工区路135号富丽华城市花园南虹广场2号楼商业楼262号</t>
  </si>
  <si>
    <t>河南省信阳市浉河区车站街道办事处工区路135号富丽华城市花园南虹广场2号楼商业楼263号</t>
  </si>
  <si>
    <t>河南省信阳市浉河区车站街道办事处工区路135号富丽华城市花园南虹广场2号楼商业楼264号</t>
  </si>
  <si>
    <t>河南省信阳市浉河区车站街道办事处工区路135号富丽华城市花园南虹广场2号楼商业楼265号</t>
  </si>
  <si>
    <t>河南省信阳市浉河区车站街道办事处工区路135号富丽华城市花园南虹广场2号楼商业楼266号</t>
  </si>
  <si>
    <t>河南省信阳市浉河区车站街道办事处工区路135号富丽华城市花园南虹广场2号楼商业楼267号</t>
  </si>
  <si>
    <t>河南省信阳市浉河区车站街道办事处工区路135号富丽华城市花园南虹广场2号楼商业楼268号</t>
  </si>
  <si>
    <t>河南省信阳市浉河区车站街道办事处工区路135号富丽华城市花园南虹广场2号楼商业楼269号</t>
  </si>
  <si>
    <t>河南省信阳市浉河区车站街道办事处工区路135号富丽华城市花园南虹广场2号楼商业楼270号</t>
  </si>
  <si>
    <t>河南省信阳市浉河区车站街道办事处工区路135号富丽华城市花园南虹广场2号楼商业楼302号</t>
  </si>
  <si>
    <t>河南省信阳市浉河区车站街道办事处工区路135号富丽华城市花园南虹广场2号楼商业楼303号</t>
  </si>
  <si>
    <t>2-201</t>
    <phoneticPr fontId="144" type="noConversion"/>
  </si>
  <si>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</si>
  <si>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</si>
  <si>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</si>
  <si>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</si>
  <si>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</si>
  <si>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</si>
  <si>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</si>
  <si>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</si>
  <si>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</si>
  <si>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</si>
  <si>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</si>
  <si>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</si>
  <si>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</si>
  <si>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</si>
  <si>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</si>
  <si>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</si>
  <si>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</si>
  <si>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</si>
  <si>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</si>
  <si>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</si>
  <si>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</si>
  <si>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</si>
  <si>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</si>
  <si>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</si>
  <si>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</si>
  <si>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</si>
  <si>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</si>
  <si>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</si>
  <si>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</si>
  <si>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</si>
  <si>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</si>
  <si>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</si>
  <si>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</si>
  <si>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</si>
  <si>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</si>
  <si>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</si>
  <si>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</si>
  <si>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</si>
  <si>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</si>
  <si>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</si>
  <si>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</si>
  <si>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</si>
  <si>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</si>
  <si>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</si>
  <si>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</si>
  <si>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</si>
  <si>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</si>
  <si>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</si>
  <si>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</si>
  <si>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</si>
  <si>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</si>
  <si>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</si>
  <si>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</si>
  <si>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</si>
  <si>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</si>
  <si>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</si>
  <si>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</si>
  <si>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</si>
  <si>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</si>
  <si>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</si>
  <si>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</si>
  <si>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</si>
  <si>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</si>
  <si>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</si>
  <si>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</si>
  <si>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</si>
  <si>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</si>
  <si>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</si>
  <si>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</si>
  <si>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河南省信阳市浉河区车站街道办事处工区路135号富丽华城市花园南虹广场2号楼商业楼301号</t>
    <phoneticPr fontId="144" type="noConversion"/>
  </si>
  <si>
    <t>河南省信阳市浉河区车站街道办事处工区路135号富丽华城市花园南虹广场2号楼商业楼304号</t>
  </si>
  <si>
    <t>河南省信阳市浉河区车站街道办事处工区路135号富丽华城市花园南虹广场2号楼商业楼305号</t>
  </si>
  <si>
    <t>河南省信阳市浉河区车站街道办事处工区路135号富丽华城市花园南虹广场2号楼商业楼306号</t>
  </si>
  <si>
    <t>河南省信阳市浉河区车站街道办事处工区路135号富丽华城市花园南虹广场2号楼商业楼307号</t>
  </si>
  <si>
    <t>河南省信阳市浉河区车站街道办事处工区路135号富丽华城市花园南虹广场2号楼商业楼308号</t>
  </si>
  <si>
    <t>河南省信阳市浉河区车站街道办事处工区路135号富丽华城市花园南虹广场2号楼商业楼309号</t>
  </si>
  <si>
    <t>河南省信阳市浉河区车站街道办事处工区路135号富丽华城市花园南虹广场2号楼商业楼310号</t>
  </si>
  <si>
    <t>河南省信阳市浉河区车站街道办事处工区路135号富丽华城市花园南虹广场2号楼商业楼311号</t>
  </si>
  <si>
    <t>河南省信阳市浉河区车站街道办事处工区路135号富丽华城市花园南虹广场2号楼商业楼312号</t>
  </si>
  <si>
    <t>河南省信阳市浉河区车站街道办事处工区路135号富丽华城市花园南虹广场2号楼商业楼313号</t>
  </si>
  <si>
    <t>河南省信阳市浉河区车站街道办事处工区路135号富丽华城市花园南虹广场2号楼商业楼314号</t>
  </si>
  <si>
    <t>河南省信阳市浉河区车站街道办事处工区路135号富丽华城市花园南虹广场2号楼商业楼315号</t>
  </si>
  <si>
    <t>河南省信阳市浉河区车站街道办事处工区路135号富丽华城市花园南虹广场2号楼商业楼316号</t>
  </si>
  <si>
    <t>河南省信阳市浉河区车站街道办事处工区路135号富丽华城市花园南虹广场2号楼商业楼317号</t>
  </si>
  <si>
    <t>河南省信阳市浉河区车站街道办事处工区路135号富丽华城市花园南虹广场2号楼商业楼318号</t>
  </si>
  <si>
    <t>河南省信阳市浉河区车站街道办事处工区路135号富丽华城市花园南虹广场2号楼商业楼319号</t>
  </si>
  <si>
    <t>河南省信阳市浉河区车站街道办事处工区路135号富丽华城市花园南虹广场2号楼商业楼320号</t>
  </si>
  <si>
    <t>河南省信阳市浉河区车站街道办事处工区路135号富丽华城市花园南虹广场2号楼商业楼321号</t>
  </si>
  <si>
    <t>河南省信阳市浉河区车站街道办事处工区路135号富丽华城市花园南虹广场2号楼商业楼322号</t>
  </si>
  <si>
    <t>河南省信阳市浉河区车站街道办事处工区路135号富丽华城市花园南虹广场2号楼商业楼323号</t>
  </si>
  <si>
    <t>河南省信阳市浉河区车站街道办事处工区路135号富丽华城市花园南虹广场2号楼商业楼324号</t>
  </si>
  <si>
    <t>河南省信阳市浉河区车站街道办事处工区路135号富丽华城市花园南虹广场2号楼商业楼325号</t>
  </si>
  <si>
    <t>河南省信阳市浉河区车站街道办事处工区路135号富丽华城市花园南虹广场2号楼商业楼326号</t>
  </si>
  <si>
    <t>河南省信阳市浉河区车站街道办事处工区路135号富丽华城市花园南虹广场2号楼商业楼327号</t>
  </si>
  <si>
    <t>河南省信阳市浉河区车站街道办事处工区路135号富丽华城市花园南虹广场2号楼商业楼328号</t>
  </si>
  <si>
    <t>河南省信阳市浉河区车站街道办事处工区路135号富丽华城市花园南虹广场2号楼商业楼329号</t>
  </si>
  <si>
    <t>河南省信阳市浉河区车站街道办事处工区路135号富丽华城市花园南虹广场2号楼商业楼330号</t>
  </si>
  <si>
    <t>河南省信阳市浉河区车站街道办事处工区路135号富丽华城市花园南虹广场2号楼商业楼331号</t>
  </si>
  <si>
    <t>河南省信阳市浉河区车站街道办事处工区路135号富丽华城市花园南虹广场2号楼商业楼332号</t>
  </si>
  <si>
    <t>2-301</t>
    <phoneticPr fontId="144" type="noConversion"/>
  </si>
  <si>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</si>
  <si>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</si>
  <si>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</si>
  <si>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</si>
  <si>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</si>
  <si>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</si>
  <si>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</si>
  <si>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</si>
  <si>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</si>
  <si>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</si>
  <si>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</si>
  <si>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</si>
  <si>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</si>
  <si>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</si>
  <si>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</si>
  <si>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</si>
  <si>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</si>
  <si>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</si>
  <si>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</si>
  <si>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</si>
  <si>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</si>
  <si>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</si>
  <si>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</si>
  <si>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</si>
  <si>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</si>
  <si>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</si>
  <si>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</si>
  <si>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</si>
  <si>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</si>
  <si>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</si>
  <si>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</si>
  <si>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河南省信阳市浉河区车站街道办事处工区路135号富丽华城市花园南虹广场3号楼商业楼332号</t>
  </si>
  <si>
    <t>河南省信阳市浉河区车站街道办事处工区路135号富丽华城市花园南虹广场3号楼商业楼101号</t>
    <phoneticPr fontId="144" type="noConversion"/>
  </si>
  <si>
    <t>3-101</t>
    <phoneticPr fontId="144" type="noConversion"/>
  </si>
  <si>
    <t>河南省信阳市浉河区车站街道办事处工区路135号富丽华城市花园南虹广场3号楼商业楼102号</t>
  </si>
  <si>
    <t>河南省信阳市浉河区车站街道办事处工区路135号富丽华城市花园南虹广场3号楼商业楼103号</t>
  </si>
  <si>
    <t>河南省信阳市浉河区车站街道办事处工区路135号富丽华城市花园南虹广场3号楼商业楼104号</t>
  </si>
  <si>
    <t>河南省信阳市浉河区车站街道办事处工区路135号富丽华城市花园南虹广场3号楼商业楼105号</t>
  </si>
  <si>
    <t>河南省信阳市浉河区车站街道办事处工区路135号富丽华城市花园南虹广场3号楼商业楼106号</t>
  </si>
  <si>
    <t>河南省信阳市浉河区车站街道办事处工区路135号富丽华城市花园南虹广场3号楼商业楼107号</t>
  </si>
  <si>
    <t>河南省信阳市浉河区车站街道办事处工区路135号富丽华城市花园南虹广场3号楼商业楼108号</t>
  </si>
  <si>
    <t>河南省信阳市浉河区车站街道办事处工区路135号富丽华城市花园南虹广场3号楼商业楼109号</t>
  </si>
  <si>
    <t>河南省信阳市浉河区车站街道办事处工区路135号富丽华城市花园南虹广场3号楼商业楼110号</t>
  </si>
  <si>
    <t>河南省信阳市浉河区车站街道办事处工区路135号富丽华城市花园南虹广场3号楼商业楼111号</t>
  </si>
  <si>
    <t>河南省信阳市浉河区车站街道办事处工区路135号富丽华城市花园南虹广场3号楼商业楼112号</t>
  </si>
  <si>
    <t>河南省信阳市浉河区车站街道办事处工区路135号富丽华城市花园南虹广场3号楼商业楼113号</t>
  </si>
  <si>
    <t>河南省信阳市浉河区车站街道办事处工区路135号富丽华城市花园南虹广场3号楼商业楼114号</t>
  </si>
  <si>
    <t>河南省信阳市浉河区车站街道办事处工区路135号富丽华城市花园南虹广场3号楼商业楼115号</t>
  </si>
  <si>
    <t>河南省信阳市浉河区车站街道办事处工区路135号富丽华城市花园南虹广场3号楼商业楼116号</t>
  </si>
  <si>
    <t>河南省信阳市浉河区车站街道办事处工区路135号富丽华城市花园南虹广场3号楼商业楼117号</t>
  </si>
  <si>
    <t>河南省信阳市浉河区车站街道办事处工区路135号富丽华城市花园南虹广场3号楼商业楼118号</t>
  </si>
  <si>
    <t>河南省信阳市浉河区车站街道办事处工区路135号富丽华城市花园南虹广场3号楼商业楼119号</t>
  </si>
  <si>
    <t>河南省信阳市浉河区车站街道办事处工区路135号富丽华城市花园南虹广场3号楼商业楼120号</t>
  </si>
  <si>
    <t>河南省信阳市浉河区车站街道办事处工区路135号富丽华城市花园南虹广场3号楼商业楼121号</t>
  </si>
  <si>
    <t>河南省信阳市浉河区车站街道办事处工区路135号富丽华城市花园南虹广场3号楼商业楼122号</t>
  </si>
  <si>
    <t>河南省信阳市浉河区车站街道办事处工区路135号富丽华城市花园南虹广场3号楼商业楼123号</t>
  </si>
  <si>
    <t>河南省信阳市浉河区车站街道办事处工区路135号富丽华城市花园南虹广场3号楼商业楼124号</t>
  </si>
  <si>
    <t>河南省信阳市浉河区车站街道办事处工区路135号富丽华城市花园南虹广场3号楼商业楼125号</t>
  </si>
  <si>
    <t>河南省信阳市浉河区车站街道办事处工区路135号富丽华城市花园南虹广场3号楼商业楼126号</t>
  </si>
  <si>
    <t>河南省信阳市浉河区车站街道办事处工区路135号富丽华城市花园南虹广场3号楼商业楼127号</t>
  </si>
  <si>
    <t>河南省信阳市浉河区车站街道办事处工区路135号富丽华城市花园南虹广场3号楼商业楼128号</t>
  </si>
  <si>
    <t>河南省信阳市浉河区车站街道办事处工区路135号富丽华城市花园南虹广场3号楼商业楼129号</t>
  </si>
  <si>
    <t>河南省信阳市浉河区车站街道办事处工区路135号富丽华城市花园南虹广场3号楼商业楼130号</t>
  </si>
  <si>
    <t>河南省信阳市浉河区车站街道办事处工区路135号富丽华城市花园南虹广场3号楼商业楼131号</t>
  </si>
  <si>
    <t>河南省信阳市浉河区车站街道办事处工区路135号富丽华城市花园南虹广场3号楼商业楼132号</t>
  </si>
  <si>
    <t>河南省信阳市浉河区车站街道办事处工区路135号富丽华城市花园南虹广场3号楼商业楼133号</t>
  </si>
  <si>
    <t>河南省信阳市浉河区车站街道办事处工区路135号富丽华城市花园南虹广场3号楼商业楼134号</t>
  </si>
  <si>
    <t>河南省信阳市浉河区车站街道办事处工区路135号富丽华城市花园南虹广场3号楼商业楼135号</t>
  </si>
  <si>
    <t>河南省信阳市浉河区车站街道办事处工区路135号富丽华城市花园南虹广场3号楼商业楼136号</t>
  </si>
  <si>
    <t>河南省信阳市浉河区车站街道办事处工区路135号富丽华城市花园南虹广场3号楼商业楼137号</t>
  </si>
  <si>
    <t>河南省信阳市浉河区车站街道办事处工区路135号富丽华城市花园南虹广场3号楼商业楼138号</t>
  </si>
  <si>
    <t>河南省信阳市浉河区车站街道办事处工区路135号富丽华城市花园南虹广场3号楼商业楼139号</t>
  </si>
  <si>
    <t>河南省信阳市浉河区车站街道办事处工区路135号富丽华城市花园南虹广场3号楼商业楼140号</t>
  </si>
  <si>
    <t>河南省信阳市浉河区车站街道办事处工区路135号富丽华城市花园南虹广场3号楼商业楼141号</t>
  </si>
  <si>
    <t>河南省信阳市浉河区车站街道办事处工区路135号富丽华城市花园南虹广场3号楼商业楼142号</t>
  </si>
  <si>
    <t>河南省信阳市浉河区车站街道办事处工区路135号富丽华城市花园南虹广场3号楼商业楼143号</t>
  </si>
  <si>
    <t>河南省信阳市浉河区车站街道办事处工区路135号富丽华城市花园南虹广场3号楼商业楼144号</t>
  </si>
  <si>
    <t>河南省信阳市浉河区车站街道办事处工区路135号富丽华城市花园南虹广场3号楼商业楼145号</t>
  </si>
  <si>
    <t>河南省信阳市浉河区车站街道办事处工区路135号富丽华城市花园南虹广场3号楼商业楼146号</t>
  </si>
  <si>
    <t>河南省信阳市浉河区车站街道办事处工区路135号富丽华城市花园南虹广场3号楼商业楼147号</t>
  </si>
  <si>
    <t>河南省信阳市浉河区车站街道办事处工区路135号富丽华城市花园南虹广场3号楼商业楼148号</t>
  </si>
  <si>
    <t>河南省信阳市浉河区车站街道办事处工区路135号富丽华城市花园南虹广场3号楼商业楼149号</t>
  </si>
  <si>
    <t>河南省信阳市浉河区车站街道办事处工区路135号富丽华城市花园南虹广场3号楼商业楼150号</t>
  </si>
  <si>
    <t>河南省信阳市浉河区车站街道办事处工区路135号富丽华城市花园南虹广场3号楼商业楼151号</t>
  </si>
  <si>
    <t>河南省信阳市浉河区车站街道办事处工区路135号富丽华城市花园南虹广场3号楼商业楼152号</t>
  </si>
  <si>
    <t>河南省信阳市浉河区车站街道办事处工区路135号富丽华城市花园南虹广场3号楼商业楼153号</t>
  </si>
  <si>
    <t>河南省信阳市浉河区车站街道办事处工区路135号富丽华城市花园南虹广场3号楼商业楼154号</t>
  </si>
  <si>
    <t>河南省信阳市浉河区车站街道办事处工区路135号富丽华城市花园南虹广场3号楼商业楼155号</t>
  </si>
  <si>
    <t>河南省信阳市浉河区车站街道办事处工区路135号富丽华城市花园南虹广场3号楼商业楼156号</t>
  </si>
  <si>
    <t>河南省信阳市浉河区车站街道办事处工区路135号富丽华城市花园南虹广场3号楼商业楼157号</t>
  </si>
  <si>
    <t>河南省信阳市浉河区车站街道办事处工区路135号富丽华城市花园南虹广场3号楼商业楼158号</t>
  </si>
  <si>
    <t>河南省信阳市浉河区车站街道办事处工区路135号富丽华城市花园南虹广场3号楼商业楼159号</t>
  </si>
  <si>
    <t>河南省信阳市浉河区车站街道办事处工区路135号富丽华城市花园南虹广场3号楼商业楼160号</t>
  </si>
  <si>
    <t>河南省信阳市浉河区车站街道办事处工区路135号富丽华城市花园南虹广场3号楼商业楼161号</t>
  </si>
  <si>
    <t>河南省信阳市浉河区车站街道办事处工区路135号富丽华城市花园南虹广场3号楼商业楼162号</t>
  </si>
  <si>
    <t>河南省信阳市浉河区车站街道办事处工区路135号富丽华城市花园南虹广场3号楼商业楼163号</t>
  </si>
  <si>
    <t>河南省信阳市浉河区车站街道办事处工区路135号富丽华城市花园南虹广场3号楼商业楼164号</t>
  </si>
  <si>
    <t>河南省信阳市浉河区车站街道办事处工区路135号富丽华城市花园南虹广场3号楼商业楼165号</t>
  </si>
  <si>
    <t>河南省信阳市浉河区车站街道办事处工区路135号富丽华城市花园南虹广场3号楼商业楼166号</t>
  </si>
  <si>
    <t>河南省信阳市浉河区车站街道办事处工区路135号富丽华城市花园南虹广场3号楼商业楼167号</t>
  </si>
  <si>
    <t>河南省信阳市浉河区车站街道办事处工区路135号富丽华城市花园南虹广场3号楼商业楼168号</t>
  </si>
  <si>
    <t>河南省信阳市浉河区车站街道办事处工区路135号富丽华城市花园南虹广场3号楼商业楼169号</t>
  </si>
  <si>
    <t>河南省信阳市浉河区车站街道办事处工区路135号富丽华城市花园南虹广场3号楼商业楼170号</t>
  </si>
  <si>
    <t>河南省信阳市浉河区车站街道办事处工区路135号富丽华城市花园南虹广场3号楼商业楼171号</t>
  </si>
  <si>
    <t>河南省信阳市浉河区车站街道办事处工区路135号富丽华城市花园南虹广场3号楼商业楼172号</t>
  </si>
  <si>
    <t>河南省信阳市浉河区车站街道办事处工区路135号富丽华城市花园南虹广场3号楼商业楼173号</t>
  </si>
  <si>
    <t>河南省信阳市浉河区车站街道办事处工区路135号富丽华城市花园南虹广场3号楼商业楼174号</t>
  </si>
  <si>
    <t>河南省信阳市浉河区车站街道办事处工区路135号富丽华城市花园南虹广场3号楼商业楼175号</t>
  </si>
  <si>
    <t>河南省信阳市浉河区车站街道办事处工区路135号富丽华城市花园南虹广场3号楼商业楼176号</t>
  </si>
  <si>
    <t>河南省信阳市浉河区车站街道办事处工区路135号富丽华城市花园南虹广场3号楼商业楼177号</t>
  </si>
  <si>
    <t>河南省信阳市浉河区车站街道办事处工区路135号富丽华城市花园南虹广场3号楼商业楼178号</t>
  </si>
  <si>
    <t>河南省信阳市浉河区车站街道办事处工区路135号富丽华城市花园南虹广场3号楼商业楼179号</t>
  </si>
  <si>
    <t>河南省信阳市浉河区车站街道办事处工区路135号富丽华城市花园南虹广场3号楼商业楼180号</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</si>
  <si>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</si>
  <si>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</si>
  <si>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</si>
  <si>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</si>
  <si>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</si>
  <si>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</si>
  <si>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</si>
  <si>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</si>
  <si>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</si>
  <si>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</si>
  <si>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</si>
  <si>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</si>
  <si>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</si>
  <si>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</si>
  <si>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</si>
  <si>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</si>
  <si>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</si>
  <si>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</si>
  <si>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</si>
  <si>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</si>
  <si>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</si>
  <si>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</si>
  <si>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</si>
  <si>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</si>
  <si>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</si>
  <si>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</si>
  <si>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</si>
  <si>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</si>
  <si>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</si>
  <si>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</si>
  <si>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</si>
  <si>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</si>
  <si>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</si>
  <si>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</si>
  <si>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</si>
  <si>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</si>
  <si>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</si>
  <si>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</si>
  <si>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</si>
  <si>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</si>
  <si>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</si>
  <si>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</si>
  <si>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</si>
  <si>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</si>
  <si>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</si>
  <si>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</si>
  <si>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</si>
  <si>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</si>
  <si>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</si>
  <si>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</si>
  <si>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</si>
  <si>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</si>
  <si>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</si>
  <si>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</si>
  <si>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</si>
  <si>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</si>
  <si>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</si>
  <si>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</si>
  <si>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</si>
  <si>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</si>
  <si>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</si>
  <si>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</si>
  <si>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</si>
  <si>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</si>
  <si>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</si>
  <si>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</si>
  <si>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</si>
  <si>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</si>
  <si>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</si>
  <si>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</si>
  <si>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</si>
  <si>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</si>
  <si>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</si>
  <si>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</si>
  <si>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</si>
  <si>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</si>
  <si>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</si>
  <si>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</si>
  <si>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</si>
  <si>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河南省信阳市浉河区车站街道办事处工区路135号富丽华城市花园南虹广场3号楼商业楼201号</t>
    <phoneticPr fontId="144" type="noConversion"/>
  </si>
  <si>
    <t>3-201</t>
    <phoneticPr fontId="144" type="noConversion"/>
  </si>
  <si>
    <t>河南省信阳市浉河区车站街道办事处工区路135号富丽华城市花园南虹广场3号楼商业楼202号</t>
  </si>
  <si>
    <t>河南省信阳市浉河区车站街道办事处工区路135号富丽华城市花园南虹广场3号楼商业楼203号</t>
  </si>
  <si>
    <t>河南省信阳市浉河区车站街道办事处工区路135号富丽华城市花园南虹广场3号楼商业楼204号</t>
  </si>
  <si>
    <t>河南省信阳市浉河区车站街道办事处工区路135号富丽华城市花园南虹广场3号楼商业楼205号</t>
  </si>
  <si>
    <t>河南省信阳市浉河区车站街道办事处工区路135号富丽华城市花园南虹广场3号楼商业楼206号</t>
  </si>
  <si>
    <t>河南省信阳市浉河区车站街道办事处工区路135号富丽华城市花园南虹广场3号楼商业楼207号</t>
  </si>
  <si>
    <t>河南省信阳市浉河区车站街道办事处工区路135号富丽华城市花园南虹广场3号楼商业楼208号</t>
  </si>
  <si>
    <t>河南省信阳市浉河区车站街道办事处工区路135号富丽华城市花园南虹广场3号楼商业楼209号</t>
  </si>
  <si>
    <t>河南省信阳市浉河区车站街道办事处工区路135号富丽华城市花园南虹广场3号楼商业楼210号</t>
  </si>
  <si>
    <t>河南省信阳市浉河区车站街道办事处工区路135号富丽华城市花园南虹广场3号楼商业楼211号</t>
  </si>
  <si>
    <t>河南省信阳市浉河区车站街道办事处工区路135号富丽华城市花园南虹广场3号楼商业楼212号</t>
  </si>
  <si>
    <t>河南省信阳市浉河区车站街道办事处工区路135号富丽华城市花园南虹广场3号楼商业楼213号</t>
  </si>
  <si>
    <t>河南省信阳市浉河区车站街道办事处工区路135号富丽华城市花园南虹广场3号楼商业楼214号</t>
  </si>
  <si>
    <t>河南省信阳市浉河区车站街道办事处工区路135号富丽华城市花园南虹广场3号楼商业楼215号</t>
  </si>
  <si>
    <t>河南省信阳市浉河区车站街道办事处工区路135号富丽华城市花园南虹广场3号楼商业楼216号</t>
  </si>
  <si>
    <t>河南省信阳市浉河区车站街道办事处工区路135号富丽华城市花园南虹广场3号楼商业楼217号</t>
  </si>
  <si>
    <t>河南省信阳市浉河区车站街道办事处工区路135号富丽华城市花园南虹广场3号楼商业楼218号</t>
  </si>
  <si>
    <t>河南省信阳市浉河区车站街道办事处工区路135号富丽华城市花园南虹广场3号楼商业楼219号</t>
  </si>
  <si>
    <t>河南省信阳市浉河区车站街道办事处工区路135号富丽华城市花园南虹广场3号楼商业楼220号</t>
  </si>
  <si>
    <t>河南省信阳市浉河区车站街道办事处工区路135号富丽华城市花园南虹广场3号楼商业楼221号</t>
  </si>
  <si>
    <t>河南省信阳市浉河区车站街道办事处工区路135号富丽华城市花园南虹广场3号楼商业楼222号</t>
  </si>
  <si>
    <t>河南省信阳市浉河区车站街道办事处工区路135号富丽华城市花园南虹广场3号楼商业楼223号</t>
  </si>
  <si>
    <t>河南省信阳市浉河区车站街道办事处工区路135号富丽华城市花园南虹广场3号楼商业楼224号</t>
  </si>
  <si>
    <t>河南省信阳市浉河区车站街道办事处工区路135号富丽华城市花园南虹广场3号楼商业楼225号</t>
  </si>
  <si>
    <t>河南省信阳市浉河区车站街道办事处工区路135号富丽华城市花园南虹广场3号楼商业楼226号</t>
  </si>
  <si>
    <t>河南省信阳市浉河区车站街道办事处工区路135号富丽华城市花园南虹广场3号楼商业楼227号</t>
  </si>
  <si>
    <t>河南省信阳市浉河区车站街道办事处工区路135号富丽华城市花园南虹广场3号楼商业楼228号</t>
  </si>
  <si>
    <t>河南省信阳市浉河区车站街道办事处工区路135号富丽华城市花园南虹广场3号楼商业楼229号</t>
  </si>
  <si>
    <t>河南省信阳市浉河区车站街道办事处工区路135号富丽华城市花园南虹广场3号楼商业楼230号</t>
  </si>
  <si>
    <t>河南省信阳市浉河区车站街道办事处工区路135号富丽华城市花园南虹广场3号楼商业楼231号</t>
  </si>
  <si>
    <t>河南省信阳市浉河区车站街道办事处工区路135号富丽华城市花园南虹广场3号楼商业楼232号</t>
  </si>
  <si>
    <t>河南省信阳市浉河区车站街道办事处工区路135号富丽华城市花园南虹广场3号楼商业楼233号</t>
  </si>
  <si>
    <t>河南省信阳市浉河区车站街道办事处工区路135号富丽华城市花园南虹广场3号楼商业楼234号</t>
  </si>
  <si>
    <t>河南省信阳市浉河区车站街道办事处工区路135号富丽华城市花园南虹广场3号楼商业楼235号</t>
  </si>
  <si>
    <t>河南省信阳市浉河区车站街道办事处工区路135号富丽华城市花园南虹广场3号楼商业楼236号</t>
  </si>
  <si>
    <t>河南省信阳市浉河区车站街道办事处工区路135号富丽华城市花园南虹广场3号楼商业楼237号</t>
  </si>
  <si>
    <t>河南省信阳市浉河区车站街道办事处工区路135号富丽华城市花园南虹广场3号楼商业楼238号</t>
  </si>
  <si>
    <t>河南省信阳市浉河区车站街道办事处工区路135号富丽华城市花园南虹广场3号楼商业楼239号</t>
  </si>
  <si>
    <t>河南省信阳市浉河区车站街道办事处工区路135号富丽华城市花园南虹广场3号楼商业楼240号</t>
  </si>
  <si>
    <t>河南省信阳市浉河区车站街道办事处工区路135号富丽华城市花园南虹广场3号楼商业楼241号</t>
  </si>
  <si>
    <t>河南省信阳市浉河区车站街道办事处工区路135号富丽华城市花园南虹广场3号楼商业楼242号</t>
  </si>
  <si>
    <t>河南省信阳市浉河区车站街道办事处工区路135号富丽华城市花园南虹广场3号楼商业楼243号</t>
  </si>
  <si>
    <t>河南省信阳市浉河区车站街道办事处工区路135号富丽华城市花园南虹广场3号楼商业楼244号</t>
  </si>
  <si>
    <t>河南省信阳市浉河区车站街道办事处工区路135号富丽华城市花园南虹广场3号楼商业楼245号</t>
  </si>
  <si>
    <t>河南省信阳市浉河区车站街道办事处工区路135号富丽华城市花园南虹广场3号楼商业楼246号</t>
  </si>
  <si>
    <t>河南省信阳市浉河区车站街道办事处工区路135号富丽华城市花园南虹广场3号楼商业楼247号</t>
  </si>
  <si>
    <t>河南省信阳市浉河区车站街道办事处工区路135号富丽华城市花园南虹广场3号楼商业楼248号</t>
  </si>
  <si>
    <t>河南省信阳市浉河区车站街道办事处工区路135号富丽华城市花园南虹广场3号楼商业楼249号</t>
  </si>
  <si>
    <t>河南省信阳市浉河区车站街道办事处工区路135号富丽华城市花园南虹广场3号楼商业楼250号</t>
  </si>
  <si>
    <t>河南省信阳市浉河区车站街道办事处工区路135号富丽华城市花园南虹广场3号楼商业楼251号</t>
  </si>
  <si>
    <t>河南省信阳市浉河区车站街道办事处工区路135号富丽华城市花园南虹广场3号楼商业楼252号</t>
  </si>
  <si>
    <t>河南省信阳市浉河区车站街道办事处工区路135号富丽华城市花园南虹广场3号楼商业楼253号</t>
  </si>
  <si>
    <t>河南省信阳市浉河区车站街道办事处工区路135号富丽华城市花园南虹广场3号楼商业楼254号</t>
  </si>
  <si>
    <t>河南省信阳市浉河区车站街道办事处工区路135号富丽华城市花园南虹广场3号楼商业楼255号</t>
  </si>
  <si>
    <t>河南省信阳市浉河区车站街道办事处工区路135号富丽华城市花园南虹广场3号楼商业楼256号</t>
  </si>
  <si>
    <t>河南省信阳市浉河区车站街道办事处工区路135号富丽华城市花园南虹广场3号楼商业楼257号</t>
  </si>
  <si>
    <t>河南省信阳市浉河区车站街道办事处工区路135号富丽华城市花园南虹广场3号楼商业楼258号</t>
  </si>
  <si>
    <t>河南省信阳市浉河区车站街道办事处工区路135号富丽华城市花园南虹广场3号楼商业楼259号</t>
  </si>
  <si>
    <t>河南省信阳市浉河区车站街道办事处工区路135号富丽华城市花园南虹广场3号楼商业楼260号</t>
  </si>
  <si>
    <t>河南省信阳市浉河区车站街道办事处工区路135号富丽华城市花园南虹广场3号楼商业楼261号</t>
  </si>
  <si>
    <t>河南省信阳市浉河区车站街道办事处工区路135号富丽华城市花园南虹广场3号楼商业楼262号</t>
  </si>
  <si>
    <t>河南省信阳市浉河区车站街道办事处工区路135号富丽华城市花园南虹广场3号楼商业楼263号</t>
  </si>
  <si>
    <t>河南省信阳市浉河区车站街道办事处工区路135号富丽华城市花园南虹广场3号楼商业楼264号</t>
  </si>
  <si>
    <t>河南省信阳市浉河区车站街道办事处工区路135号富丽华城市花园南虹广场3号楼商业楼265号</t>
  </si>
  <si>
    <t>河南省信阳市浉河区车站街道办事处工区路135号富丽华城市花园南虹广场3号楼商业楼266号</t>
  </si>
  <si>
    <t>河南省信阳市浉河区车站街道办事处工区路135号富丽华城市花园南虹广场3号楼商业楼267号</t>
  </si>
  <si>
    <t>河南省信阳市浉河区车站街道办事处工区路135号富丽华城市花园南虹广场3号楼商业楼268号</t>
  </si>
  <si>
    <t>河南省信阳市浉河区车站街道办事处工区路135号富丽华城市花园南虹广场3号楼商业楼269号</t>
  </si>
  <si>
    <t>河南省信阳市浉河区车站街道办事处工区路135号富丽华城市花园南虹广场3号楼商业楼270号</t>
  </si>
  <si>
    <t>河南省信阳市浉河区车站街道办事处工区路135号富丽华城市花园南虹广场3号楼商业楼271号</t>
  </si>
  <si>
    <t>河南省信阳市浉河区车站街道办事处工区路135号富丽华城市花园南虹广场3号楼商业楼272号</t>
  </si>
  <si>
    <t>河南省信阳市浉河区车站街道办事处工区路135号富丽华城市花园南虹广场3号楼商业楼273号</t>
  </si>
  <si>
    <t>河南省信阳市浉河区车站街道办事处工区路135号富丽华城市花园南虹广场3号楼商业楼274号</t>
  </si>
  <si>
    <t>河南省信阳市浉河区车站街道办事处工区路135号富丽华城市花园南虹广场3号楼商业楼275号</t>
  </si>
  <si>
    <t>河南省信阳市浉河区车站街道办事处工区路135号富丽华城市花园南虹广场3号楼商业楼276号</t>
  </si>
  <si>
    <t>河南省信阳市浉河区车站街道办事处工区路135号富丽华城市花园南虹广场3号楼商业楼277号</t>
  </si>
  <si>
    <t>河南省信阳市浉河区车站街道办事处工区路135号富丽华城市花园南虹广场3号楼商业楼278号</t>
  </si>
  <si>
    <t>河南省信阳市浉河区车站街道办事处工区路135号富丽华城市花园南虹广场3号楼商业楼279号</t>
  </si>
  <si>
    <t>河南省信阳市浉河区车站街道办事处工区路135号富丽华城市花园南虹广场3号楼商业楼280号</t>
  </si>
  <si>
    <t>河南省信阳市浉河区车站街道办事处工区路135号富丽华城市花园南虹广场3号楼商业楼281号</t>
  </si>
  <si>
    <t>河南省信阳市浉河区车站街道办事处工区路135号富丽华城市花园南虹广场3号楼商业楼282号</t>
  </si>
  <si>
    <t>河南省信阳市浉河区车站街道办事处工区路135号富丽华城市花园南虹广场3号楼商业楼283号</t>
  </si>
  <si>
    <t>河南省信阳市浉河区车站街道办事处工区路135号富丽华城市花园南虹广场3号楼商业楼284号</t>
  </si>
  <si>
    <t>3-202</t>
    <phoneticPr fontId="144" type="noConversion"/>
  </si>
  <si>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</si>
  <si>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</si>
  <si>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</si>
  <si>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</si>
  <si>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</si>
  <si>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</si>
  <si>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</si>
  <si>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</si>
  <si>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</si>
  <si>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</si>
  <si>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</si>
  <si>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</si>
  <si>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</si>
  <si>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</si>
  <si>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</si>
  <si>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</si>
  <si>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</si>
  <si>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</si>
  <si>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</si>
  <si>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</si>
  <si>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</si>
  <si>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</si>
  <si>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</si>
  <si>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</si>
  <si>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</si>
  <si>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</si>
  <si>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</si>
  <si>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</si>
  <si>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</si>
  <si>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</si>
  <si>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</si>
  <si>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</si>
  <si>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</si>
  <si>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</si>
  <si>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</si>
  <si>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</si>
  <si>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</si>
  <si>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</si>
  <si>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</si>
  <si>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</si>
  <si>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</si>
  <si>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</si>
  <si>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</si>
  <si>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</si>
  <si>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</si>
  <si>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</si>
  <si>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</si>
  <si>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</si>
  <si>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</si>
  <si>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</si>
  <si>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</si>
  <si>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</si>
  <si>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</si>
  <si>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</si>
  <si>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</si>
  <si>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</si>
  <si>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</si>
  <si>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</si>
  <si>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</si>
  <si>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</si>
  <si>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</si>
  <si>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</si>
  <si>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</si>
  <si>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</si>
  <si>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</si>
  <si>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</si>
  <si>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</si>
  <si>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</si>
  <si>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</si>
  <si>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</si>
  <si>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</si>
  <si>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</si>
  <si>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</si>
  <si>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</si>
  <si>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</si>
  <si>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</si>
  <si>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</si>
  <si>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</si>
  <si>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</si>
  <si>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</si>
  <si>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</si>
  <si>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</si>
  <si>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河南省信阳市浉河区车站街道办事处工区路135号富丽华城市花园南虹广场3号楼商业楼301号</t>
    <phoneticPr fontId="144" type="noConversion"/>
  </si>
  <si>
    <t>3-301</t>
    <phoneticPr fontId="144" type="noConversion"/>
  </si>
  <si>
    <t>河南省信阳市浉河区车站街道办事处工区路135号富丽华城市花园南虹广场3号楼商业楼302号</t>
  </si>
  <si>
    <t>河南省信阳市浉河区车站街道办事处工区路135号富丽华城市花园南虹广场3号楼商业楼303号</t>
  </si>
  <si>
    <t>河南省信阳市浉河区车站街道办事处工区路135号富丽华城市花园南虹广场3号楼商业楼304号</t>
  </si>
  <si>
    <t>河南省信阳市浉河区车站街道办事处工区路135号富丽华城市花园南虹广场3号楼商业楼305号</t>
  </si>
  <si>
    <t>河南省信阳市浉河区车站街道办事处工区路135号富丽华城市花园南虹广场3号楼商业楼306号</t>
  </si>
  <si>
    <t>河南省信阳市浉河区车站街道办事处工区路135号富丽华城市花园南虹广场3号楼商业楼307号</t>
  </si>
  <si>
    <t>河南省信阳市浉河区车站街道办事处工区路135号富丽华城市花园南虹广场3号楼商业楼308号</t>
  </si>
  <si>
    <t>河南省信阳市浉河区车站街道办事处工区路135号富丽华城市花园南虹广场3号楼商业楼309号</t>
  </si>
  <si>
    <t>河南省信阳市浉河区车站街道办事处工区路135号富丽华城市花园南虹广场3号楼商业楼310号</t>
  </si>
  <si>
    <t>河南省信阳市浉河区车站街道办事处工区路135号富丽华城市花园南虹广场3号楼商业楼311号</t>
  </si>
  <si>
    <t>河南省信阳市浉河区车站街道办事处工区路135号富丽华城市花园南虹广场3号楼商业楼312号</t>
  </si>
  <si>
    <t>河南省信阳市浉河区车站街道办事处工区路135号富丽华城市花园南虹广场3号楼商业楼313号</t>
  </si>
  <si>
    <t>河南省信阳市浉河区车站街道办事处工区路135号富丽华城市花园南虹广场3号楼商业楼314号</t>
  </si>
  <si>
    <t>河南省信阳市浉河区车站街道办事处工区路135号富丽华城市花园南虹广场3号楼商业楼315号</t>
  </si>
  <si>
    <t>河南省信阳市浉河区车站街道办事处工区路135号富丽华城市花园南虹广场3号楼商业楼316号</t>
  </si>
  <si>
    <t>河南省信阳市浉河区车站街道办事处工区路135号富丽华城市花园南虹广场3号楼商业楼317号</t>
  </si>
  <si>
    <t>河南省信阳市浉河区车站街道办事处工区路135号富丽华城市花园南虹广场3号楼商业楼318号</t>
  </si>
  <si>
    <t>河南省信阳市浉河区车站街道办事处工区路135号富丽华城市花园南虹广场3号楼商业楼319号</t>
  </si>
  <si>
    <t>河南省信阳市浉河区车站街道办事处工区路135号富丽华城市花园南虹广场3号楼商业楼320号</t>
  </si>
  <si>
    <t>河南省信阳市浉河区车站街道办事处工区路135号富丽华城市花园南虹广场3号楼商业楼321号</t>
  </si>
  <si>
    <t>河南省信阳市浉河区车站街道办事处工区路135号富丽华城市花园南虹广场3号楼商业楼322号</t>
  </si>
  <si>
    <t>河南省信阳市浉河区车站街道办事处工区路135号富丽华城市花园南虹广场3号楼商业楼323号</t>
  </si>
  <si>
    <t>河南省信阳市浉河区车站街道办事处工区路135号富丽华城市花园南虹广场3号楼商业楼324号</t>
  </si>
  <si>
    <t>河南省信阳市浉河区车站街道办事处工区路135号富丽华城市花园南虹广场3号楼商业楼325号</t>
  </si>
  <si>
    <t>河南省信阳市浉河区车站街道办事处工区路135号富丽华城市花园南虹广场3号楼商业楼326号</t>
  </si>
  <si>
    <t>河南省信阳市浉河区车站街道办事处工区路135号富丽华城市花园南虹广场3号楼商业楼327号</t>
  </si>
  <si>
    <t>河南省信阳市浉河区车站街道办事处工区路135号富丽华城市花园南虹广场3号楼商业楼328号</t>
  </si>
  <si>
    <t>河南省信阳市浉河区车站街道办事处工区路135号富丽华城市花园南虹广场3号楼商业楼329号</t>
  </si>
  <si>
    <t>河南省信阳市浉河区车站街道办事处工区路135号富丽华城市花园南虹广场3号楼商业楼330号</t>
  </si>
  <si>
    <t>河南省信阳市浉河区车站街道办事处工区路135号富丽华城市花园南虹广场3号楼商业楼331号</t>
  </si>
  <si>
    <t>河南省信阳市浉河区车站街道办事处工区路135号富丽华城市花园南虹广场3号楼商业楼333号</t>
  </si>
  <si>
    <t>河南省信阳市浉河区车站街道办事处工区路135号富丽华城市花园南虹广场3号楼商业楼334号</t>
  </si>
  <si>
    <t>河南省信阳市浉河区车站街道办事处工区路135号富丽华城市花园南虹广场3号楼商业楼335号</t>
  </si>
  <si>
    <t>河南省信阳市浉河区车站街道办事处工区路135号富丽华城市花园南虹广场3号楼商业楼336号</t>
  </si>
  <si>
    <t>河南省信阳市浉河区车站街道办事处工区路135号富丽华城市花园南虹广场3号楼商业楼337号</t>
  </si>
  <si>
    <t>河南省信阳市浉河区车站街道办事处工区路135号富丽华城市花园南虹广场3号楼商业楼338号</t>
  </si>
  <si>
    <t>河南省信阳市浉河区车站街道办事处工区路135号富丽华城市花园南虹广场3号楼商业楼339号</t>
  </si>
  <si>
    <t>河南省信阳市浉河区车站街道办事处工区路135号富丽华城市花园南虹广场3号楼商业楼340号</t>
  </si>
  <si>
    <t>河南省信阳市浉河区车站街道办事处工区路135号富丽华城市花园南虹广场3号楼商业楼341号</t>
  </si>
  <si>
    <t>河南省信阳市浉河区车站街道办事处工区路135号富丽华城市花园南虹广场3号楼商业楼342号</t>
  </si>
  <si>
    <t>河南省信阳市浉河区车站街道办事处工区路135号富丽华城市花园南虹广场3号楼商业楼343号</t>
  </si>
  <si>
    <t>河南省信阳市浉河区车站街道办事处工区路135号富丽华城市花园南虹广场3号楼商业楼344号</t>
  </si>
  <si>
    <t>河南省信阳市浉河区车站街道办事处工区路135号富丽华城市花园南虹广场3号楼商业楼345号</t>
  </si>
  <si>
    <t>河南省信阳市浉河区车站街道办事处工区路135号富丽华城市花园南虹广场3号楼商业楼346号</t>
  </si>
  <si>
    <t>河南省信阳市浉河区车站街道办事处工区路135号富丽华城市花园南虹广场3号楼商业楼347号</t>
  </si>
  <si>
    <t>河南省信阳市浉河区车站街道办事处工区路135号富丽华城市花园南虹广场3号楼商业楼348号</t>
  </si>
  <si>
    <t>河南省信阳市浉河区车站街道办事处工区路135号富丽华城市花园南虹广场3号楼商业楼349号</t>
  </si>
  <si>
    <t>河南省信阳市浉河区车站街道办事处工区路135号富丽华城市花园南虹广场3号楼商业楼350号</t>
  </si>
  <si>
    <t>河南省信阳市浉河区车站街道办事处工区路135号富丽华城市花园南虹广场3号楼商业楼351号</t>
  </si>
  <si>
    <t>河南省信阳市浉河区车站街道办事处工区路135号富丽华城市花园南虹广场3号楼商业楼352号</t>
  </si>
  <si>
    <t>河南省信阳市浉河区车站街道办事处工区路135号富丽华城市花园南虹广场3号楼商业楼353号</t>
  </si>
  <si>
    <t>河南省信阳市浉河区车站街道办事处工区路135号富丽华城市花园南虹广场3号楼商业楼354号</t>
  </si>
  <si>
    <t>河南省信阳市浉河区车站街道办事处工区路135号富丽华城市花园南虹广场3号楼商业楼355号</t>
  </si>
  <si>
    <t>河南省信阳市浉河区车站街道办事处工区路135号富丽华城市花园南虹广场3号楼商业楼356号</t>
  </si>
  <si>
    <t>河南省信阳市浉河区车站街道办事处工区路135号富丽华城市花园南虹广场3号楼商业楼357号</t>
  </si>
  <si>
    <t>河南省信阳市浉河区车站街道办事处工区路135号富丽华城市花园南虹广场3号楼商业楼358号</t>
  </si>
  <si>
    <t>河南省信阳市浉河区车站街道办事处工区路135号富丽华城市花园南虹广场3号楼商业楼359号</t>
  </si>
  <si>
    <t>河南省信阳市浉河区车站街道办事处工区路135号富丽华城市花园南虹广场3号楼商业楼360号</t>
  </si>
  <si>
    <t>河南省信阳市浉河区车站街道办事处工区路135号富丽华城市花园南虹广场3号楼商业楼361号</t>
  </si>
  <si>
    <t>河南省信阳市浉河区车站街道办事处工区路135号富丽华城市花园南虹广场3号楼商业楼362号</t>
  </si>
  <si>
    <t>河南省信阳市浉河区车站街道办事处工区路135号富丽华城市花园南虹广场3号楼商业楼363号</t>
  </si>
  <si>
    <t>河南省信阳市浉河区车站街道办事处工区路135号富丽华城市花园南虹广场3号楼商业楼364号</t>
  </si>
  <si>
    <t>河南省信阳市浉河区车站街道办事处工区路135号富丽华城市花园南虹广场3号楼商业楼365号</t>
  </si>
  <si>
    <t>河南省信阳市浉河区车站街道办事处工区路135号富丽华城市花园南虹广场3号楼商业楼366号</t>
  </si>
  <si>
    <t>河南省信阳市浉河区车站街道办事处工区路135号富丽华城市花园南虹广场3号楼商业楼367号</t>
  </si>
  <si>
    <t>河南省信阳市浉河区车站街道办事处工区路135号富丽华城市花园南虹广场3号楼商业楼368号</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</si>
  <si>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</si>
  <si>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</si>
  <si>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</si>
  <si>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</si>
  <si>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</si>
  <si>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</si>
  <si>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</si>
  <si>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</si>
  <si>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</si>
  <si>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</si>
  <si>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</si>
  <si>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</si>
  <si>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</si>
  <si>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</si>
  <si>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</si>
  <si>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</si>
  <si>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</si>
  <si>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</si>
  <si>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</si>
  <si>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</si>
  <si>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</si>
  <si>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</si>
  <si>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</si>
  <si>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</si>
  <si>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</si>
  <si>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</si>
  <si>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</si>
  <si>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</si>
  <si>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</si>
  <si>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</si>
  <si>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</si>
  <si>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</si>
  <si>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</si>
  <si>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</si>
  <si>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</si>
  <si>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</si>
  <si>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</si>
  <si>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</si>
  <si>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</si>
  <si>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</si>
  <si>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</si>
  <si>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</si>
  <si>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</si>
  <si>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</si>
  <si>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</si>
  <si>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</si>
  <si>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</si>
  <si>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</si>
  <si>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</si>
  <si>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</si>
  <si>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</si>
  <si>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</si>
  <si>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</si>
  <si>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</si>
  <si>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</si>
  <si>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</si>
  <si>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</si>
  <si>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</si>
  <si>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</si>
  <si>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</si>
  <si>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</si>
  <si>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</si>
  <si>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</si>
  <si>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</si>
  <si>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</si>
  <si>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</si>
  <si>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</si>
  <si>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序号</t>
    <phoneticPr fontId="144" type="noConversion"/>
  </si>
  <si>
    <t>楼层</t>
    <phoneticPr fontId="144" type="noConversion"/>
  </si>
  <si>
    <t>1号楼</t>
    <phoneticPr fontId="144" type="noConversion"/>
  </si>
  <si>
    <t>1层</t>
  </si>
  <si>
    <t>1层</t>
    <phoneticPr fontId="144" type="noConversion"/>
  </si>
  <si>
    <t>2层</t>
    <phoneticPr fontId="144" type="noConversion"/>
  </si>
  <si>
    <t>3层</t>
    <phoneticPr fontId="144" type="noConversion"/>
  </si>
  <si>
    <t>2号楼</t>
    <phoneticPr fontId="144" type="noConversion"/>
  </si>
  <si>
    <t>3号楼</t>
    <phoneticPr fontId="144" type="noConversion"/>
  </si>
  <si>
    <t>楼号</t>
    <phoneticPr fontId="144" type="noConversion"/>
  </si>
  <si>
    <t>合计</t>
    <phoneticPr fontId="144" type="noConversion"/>
  </si>
  <si>
    <t>合计</t>
    <phoneticPr fontId="144" type="noConversion"/>
  </si>
  <si>
    <t>——</t>
    <phoneticPr fontId="144" type="noConversion"/>
  </si>
  <si>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</si>
  <si>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</si>
  <si>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</si>
  <si>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t>是</t>
  </si>
  <si>
    <t>地上</t>
  </si>
  <si>
    <t>独立商业</t>
  </si>
  <si>
    <t>成新度</t>
  </si>
  <si>
    <t>1-108</t>
  </si>
  <si>
    <t>其余商业用房</t>
    <phoneticPr fontId="8" type="noConversion"/>
  </si>
  <si>
    <t>售价</t>
  </si>
  <si>
    <t>南虹广场</t>
    <phoneticPr fontId="4" type="noConversion"/>
  </si>
  <si>
    <t>商业</t>
    <phoneticPr fontId="32" type="noConversion"/>
  </si>
  <si>
    <t>30-40（含）</t>
  </si>
  <si>
    <t>估价对象位于浉河区，周边商业氛围较好，人流量较大，商业繁华度较好</t>
    <phoneticPr fontId="26" type="noConversion"/>
  </si>
  <si>
    <t>较好</t>
  </si>
  <si>
    <r>
      <rPr>
        <sz val="12"/>
        <color theme="9" tint="-0.249977111117893"/>
        <rFont val="宋体"/>
        <family val="3"/>
        <charset val="134"/>
      </rPr>
      <t>信阳市浉河区车站街道办事处工区路</t>
    </r>
    <r>
      <rPr>
        <sz val="12"/>
        <color theme="9" tint="-0.249977111117893"/>
        <rFont val="Arial"/>
        <family val="2"/>
      </rPr>
      <t>135</t>
    </r>
    <r>
      <rPr>
        <sz val="12"/>
        <color theme="9" tint="-0.249977111117893"/>
        <rFont val="宋体"/>
        <family val="3"/>
        <charset val="134"/>
      </rPr>
      <t>号富丽华城市花园南虹广场</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号商业楼</t>
    </r>
    <phoneticPr fontId="7" type="noConversion"/>
  </si>
  <si>
    <t>一般</t>
  </si>
  <si>
    <t>估价对象周边道路状况一般、公共交通通达情况一般、停车便捷程度一般，综合评价交通便捷度一般。</t>
    <phoneticPr fontId="42" type="noConversion"/>
  </si>
  <si>
    <t>六通</t>
  </si>
  <si>
    <t>城市快速路</t>
  </si>
  <si>
    <t>城市主干道</t>
  </si>
  <si>
    <t>城市次干道</t>
  </si>
  <si>
    <t>城市支路</t>
  </si>
  <si>
    <t>好</t>
  </si>
  <si>
    <t>较差</t>
  </si>
  <si>
    <t>差</t>
  </si>
  <si>
    <t>较好</t>
    <phoneticPr fontId="32" type="noConversion"/>
  </si>
  <si>
    <t>大</t>
  </si>
  <si>
    <t>较大</t>
  </si>
  <si>
    <t>较小</t>
  </si>
  <si>
    <t>小</t>
  </si>
  <si>
    <r>
      <t>1</t>
    </r>
    <r>
      <rPr>
        <sz val="11"/>
        <color indexed="8"/>
        <rFont val="宋体"/>
        <family val="3"/>
        <charset val="134"/>
      </rPr>
      <t>层</t>
    </r>
  </si>
  <si>
    <t>商业综合体</t>
  </si>
  <si>
    <t>商业街</t>
  </si>
  <si>
    <t>单体商业楼</t>
  </si>
  <si>
    <t>写字楼底商</t>
  </si>
  <si>
    <t>住宅底商</t>
  </si>
  <si>
    <t>钢混</t>
  </si>
  <si>
    <t>混合</t>
  </si>
  <si>
    <t>精装</t>
  </si>
  <si>
    <t>普装</t>
  </si>
  <si>
    <t>简装</t>
  </si>
  <si>
    <t>毛坯</t>
  </si>
  <si>
    <t>七通</t>
  </si>
  <si>
    <t>五通</t>
  </si>
  <si>
    <t>可做餐饮</t>
  </si>
  <si>
    <t>不可做餐饮</t>
  </si>
  <si>
    <t>标准层高</t>
  </si>
  <si>
    <t>正常</t>
  </si>
  <si>
    <r>
      <t>1-2</t>
    </r>
    <r>
      <rPr>
        <sz val="11"/>
        <color indexed="8"/>
        <rFont val="宋体"/>
        <family val="3"/>
        <charset val="134"/>
      </rPr>
      <t>层</t>
    </r>
    <phoneticPr fontId="32" type="noConversion"/>
  </si>
  <si>
    <t>凤凰新世界</t>
    <phoneticPr fontId="4" type="noConversion"/>
  </si>
  <si>
    <t>西亚和美附近</t>
    <phoneticPr fontId="4" type="noConversion"/>
  </si>
  <si>
    <t>收益法 (元)</t>
  </si>
  <si>
    <t>押一</t>
  </si>
  <si>
    <t>按租金收入计税</t>
  </si>
  <si>
    <t>非生产用房</t>
  </si>
  <si>
    <t>比较法-商业</t>
  </si>
  <si>
    <t>四一路</t>
    <phoneticPr fontId="32" type="noConversion"/>
  </si>
  <si>
    <t>四一路</t>
    <phoneticPr fontId="4" type="noConversion"/>
  </si>
  <si>
    <t>20-30（含）</t>
  </si>
  <si>
    <t>收益比率</t>
  </si>
  <si>
    <t>建筑面积</t>
  </si>
  <si>
    <t>分摊土地面积</t>
  </si>
  <si>
    <t>建筑物价值</t>
  </si>
  <si>
    <t>50-100</t>
    <phoneticPr fontId="32" type="noConversion"/>
  </si>
  <si>
    <t>100-200</t>
    <phoneticPr fontId="32" type="noConversion"/>
  </si>
  <si>
    <t>200-500</t>
    <phoneticPr fontId="32" type="noConversion"/>
  </si>
  <si>
    <t>500-1000</t>
    <phoneticPr fontId="32" type="noConversion"/>
  </si>
  <si>
    <t>1000-2000</t>
    <phoneticPr fontId="32" type="noConversion"/>
  </si>
  <si>
    <t>2000-3000</t>
    <phoneticPr fontId="32" type="noConversion"/>
  </si>
  <si>
    <t>3000-5000</t>
    <phoneticPr fontId="32" type="noConversion"/>
  </si>
  <si>
    <t>5000-8000</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</si>
  <si>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</si>
  <si>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</si>
  <si>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</si>
  <si>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2层</t>
  </si>
  <si>
    <t>3层</t>
  </si>
  <si>
    <t>平面位置、可视性</t>
    <phoneticPr fontId="4" type="noConversion"/>
  </si>
  <si>
    <t>套数</t>
    <phoneticPr fontId="144" type="noConversion"/>
  </si>
  <si>
    <t>1-101</t>
  </si>
  <si>
    <t>1-101</t>
    <phoneticPr fontId="8" type="noConversion"/>
  </si>
  <si>
    <t>统一街</t>
    <phoneticPr fontId="32" type="noConversion"/>
  </si>
  <si>
    <t>西亚和美附近</t>
    <phoneticPr fontId="4" type="noConversion"/>
  </si>
  <si>
    <t>渤海银行股份有限公司北京分行</t>
    <phoneticPr fontId="7" type="noConversion"/>
  </si>
  <si>
    <t>崔锴</t>
  </si>
  <si>
    <t>欧红伟</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</si>
</sst>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43" fontId="100" fillId="0" borderId="0" applyFont="0" applyFill="0" applyBorder="0" applyAlignment="0" applyProtection="0">
      <alignment vertical="center"/>
    </xf>
  </cellStyleXfs>
  <cellXfs count="33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65" fillId="7" borderId="54" xfId="0" applyFont="1" applyFill="1" applyBorder="1" applyAlignment="1" applyProtection="1">
      <alignment vertical="center"/>
      <protection locked="0"/>
    </xf>
    <xf numFmtId="0" fontId="100" fillId="0" borderId="0" xfId="0" applyFont="1">
      <alignment vertical="center"/>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176" fontId="53" fillId="0" borderId="37"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83" xfId="10" applyNumberFormat="1" applyFont="1" applyFill="1" applyBorder="1" applyAlignment="1" applyProtection="1">
      <alignment horizontal="center" vertical="center"/>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176" fontId="105"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10" applyNumberFormat="1" applyFont="1" applyFill="1" applyBorder="1" applyAlignment="1" applyProtection="1">
      <alignment horizontal="center" vertical="center" wrapText="1"/>
      <protection locked="0"/>
    </xf>
    <xf numFmtId="0" fontId="81" fillId="0" borderId="111" xfId="10" applyNumberFormat="1" applyFont="1" applyFill="1" applyBorder="1" applyAlignment="1" applyProtection="1">
      <alignment horizontal="center" vertical="center" wrapText="1"/>
      <protection locked="0"/>
    </xf>
    <xf numFmtId="0" fontId="131" fillId="0" borderId="111" xfId="10" applyNumberFormat="1" applyFont="1" applyFill="1" applyBorder="1" applyAlignment="1" applyProtection="1">
      <alignment horizontal="center" vertical="center" wrapText="1"/>
      <protection locked="0"/>
    </xf>
    <xf numFmtId="0" fontId="0" fillId="5" borderId="0" xfId="0"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千位分隔 2" xfId="14"/>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305767</xdr:colOff>
      <xdr:row>19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7967" cy="3314700"/>
        </a:xfrm>
        <a:prstGeom prst="rect">
          <a:avLst/>
        </a:prstGeom>
      </xdr:spPr>
    </xdr:pic>
    <xdr:clientData/>
  </xdr:twoCellAnchor>
  <xdr:twoCellAnchor editAs="oneCell">
    <xdr:from>
      <xdr:col>8</xdr:col>
      <xdr:colOff>304800</xdr:colOff>
      <xdr:row>8</xdr:row>
      <xdr:rowOff>66675</xdr:rowOff>
    </xdr:from>
    <xdr:to>
      <xdr:col>12</xdr:col>
      <xdr:colOff>294934</xdr:colOff>
      <xdr:row>17</xdr:row>
      <xdr:rowOff>161720</xdr:rowOff>
    </xdr:to>
    <xdr:pic>
      <xdr:nvPicPr>
        <xdr:cNvPr id="4" name="图片 3"/>
        <xdr:cNvPicPr>
          <a:picLocks noChangeAspect="1"/>
        </xdr:cNvPicPr>
      </xdr:nvPicPr>
      <xdr:blipFill>
        <a:blip xmlns:r="http://schemas.openxmlformats.org/officeDocument/2006/relationships" r:embed="rId2"/>
        <a:stretch>
          <a:fillRect/>
        </a:stretch>
      </xdr:blipFill>
      <xdr:spPr>
        <a:xfrm>
          <a:off x="5791200" y="1438275"/>
          <a:ext cx="2733334" cy="1638095"/>
        </a:xfrm>
        <a:prstGeom prst="rect">
          <a:avLst/>
        </a:prstGeom>
      </xdr:spPr>
    </xdr:pic>
    <xdr:clientData/>
  </xdr:twoCellAnchor>
  <xdr:twoCellAnchor editAs="oneCell">
    <xdr:from>
      <xdr:col>0</xdr:col>
      <xdr:colOff>190500</xdr:colOff>
      <xdr:row>19</xdr:row>
      <xdr:rowOff>123826</xdr:rowOff>
    </xdr:from>
    <xdr:to>
      <xdr:col>12</xdr:col>
      <xdr:colOff>200025</xdr:colOff>
      <xdr:row>44</xdr:row>
      <xdr:rowOff>91908</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0" y="3381376"/>
          <a:ext cx="8239125" cy="4254332"/>
        </a:xfrm>
        <a:prstGeom prst="rect">
          <a:avLst/>
        </a:prstGeom>
      </xdr:spPr>
    </xdr:pic>
    <xdr:clientData/>
  </xdr:twoCellAnchor>
  <xdr:twoCellAnchor editAs="oneCell">
    <xdr:from>
      <xdr:col>0</xdr:col>
      <xdr:colOff>180975</xdr:colOff>
      <xdr:row>45</xdr:row>
      <xdr:rowOff>19050</xdr:rowOff>
    </xdr:from>
    <xdr:to>
      <xdr:col>11</xdr:col>
      <xdr:colOff>503148</xdr:colOff>
      <xdr:row>68</xdr:row>
      <xdr:rowOff>66675</xdr:rowOff>
    </xdr:to>
    <xdr:pic>
      <xdr:nvPicPr>
        <xdr:cNvPr id="6" name="图片 5"/>
        <xdr:cNvPicPr>
          <a:picLocks noChangeAspect="1"/>
        </xdr:cNvPicPr>
      </xdr:nvPicPr>
      <xdr:blipFill>
        <a:blip xmlns:r="http://schemas.openxmlformats.org/officeDocument/2006/relationships" r:embed="rId4"/>
        <a:stretch>
          <a:fillRect/>
        </a:stretch>
      </xdr:blipFill>
      <xdr:spPr>
        <a:xfrm>
          <a:off x="180975" y="7734300"/>
          <a:ext cx="7865973" cy="3990975"/>
        </a:xfrm>
        <a:prstGeom prst="rect">
          <a:avLst/>
        </a:prstGeom>
      </xdr:spPr>
    </xdr:pic>
    <xdr:clientData/>
  </xdr:twoCellAnchor>
  <xdr:twoCellAnchor editAs="oneCell">
    <xdr:from>
      <xdr:col>12</xdr:col>
      <xdr:colOff>19050</xdr:colOff>
      <xdr:row>68</xdr:row>
      <xdr:rowOff>161925</xdr:rowOff>
    </xdr:from>
    <xdr:to>
      <xdr:col>22</xdr:col>
      <xdr:colOff>493952</xdr:colOff>
      <xdr:row>90</xdr:row>
      <xdr:rowOff>143850</xdr:rowOff>
    </xdr:to>
    <xdr:pic>
      <xdr:nvPicPr>
        <xdr:cNvPr id="7" name="图片 6"/>
        <xdr:cNvPicPr>
          <a:picLocks noChangeAspect="1"/>
        </xdr:cNvPicPr>
      </xdr:nvPicPr>
      <xdr:blipFill>
        <a:blip xmlns:r="http://schemas.openxmlformats.org/officeDocument/2006/relationships" r:embed="rId5"/>
        <a:stretch>
          <a:fillRect/>
        </a:stretch>
      </xdr:blipFill>
      <xdr:spPr>
        <a:xfrm>
          <a:off x="8248650" y="11820525"/>
          <a:ext cx="7332902" cy="3753825"/>
        </a:xfrm>
        <a:prstGeom prst="rect">
          <a:avLst/>
        </a:prstGeom>
      </xdr:spPr>
    </xdr:pic>
    <xdr:clientData/>
  </xdr:twoCellAnchor>
  <xdr:twoCellAnchor editAs="oneCell">
    <xdr:from>
      <xdr:col>0</xdr:col>
      <xdr:colOff>57151</xdr:colOff>
      <xdr:row>68</xdr:row>
      <xdr:rowOff>114301</xdr:rowOff>
    </xdr:from>
    <xdr:to>
      <xdr:col>11</xdr:col>
      <xdr:colOff>514351</xdr:colOff>
      <xdr:row>92</xdr:row>
      <xdr:rowOff>132191</xdr:rowOff>
    </xdr:to>
    <xdr:pic>
      <xdr:nvPicPr>
        <xdr:cNvPr id="8" name="图片 7"/>
        <xdr:cNvPicPr>
          <a:picLocks noChangeAspect="1"/>
        </xdr:cNvPicPr>
      </xdr:nvPicPr>
      <xdr:blipFill>
        <a:blip xmlns:r="http://schemas.openxmlformats.org/officeDocument/2006/relationships" r:embed="rId6"/>
        <a:stretch>
          <a:fillRect/>
        </a:stretch>
      </xdr:blipFill>
      <xdr:spPr>
        <a:xfrm>
          <a:off x="57151" y="11772901"/>
          <a:ext cx="8001000" cy="4132690"/>
        </a:xfrm>
        <a:prstGeom prst="rect">
          <a:avLst/>
        </a:prstGeom>
      </xdr:spPr>
    </xdr:pic>
    <xdr:clientData/>
  </xdr:twoCellAnchor>
  <xdr:twoCellAnchor editAs="oneCell">
    <xdr:from>
      <xdr:col>0</xdr:col>
      <xdr:colOff>171449</xdr:colOff>
      <xdr:row>91</xdr:row>
      <xdr:rowOff>161925</xdr:rowOff>
    </xdr:from>
    <xdr:to>
      <xdr:col>11</xdr:col>
      <xdr:colOff>352424</xdr:colOff>
      <xdr:row>115</xdr:row>
      <xdr:rowOff>76155</xdr:rowOff>
    </xdr:to>
    <xdr:pic>
      <xdr:nvPicPr>
        <xdr:cNvPr id="3" name="图片 2"/>
        <xdr:cNvPicPr>
          <a:picLocks noChangeAspect="1"/>
        </xdr:cNvPicPr>
      </xdr:nvPicPr>
      <xdr:blipFill>
        <a:blip xmlns:r="http://schemas.openxmlformats.org/officeDocument/2006/relationships" r:embed="rId7"/>
        <a:stretch>
          <a:fillRect/>
        </a:stretch>
      </xdr:blipFill>
      <xdr:spPr>
        <a:xfrm>
          <a:off x="171449" y="15763875"/>
          <a:ext cx="7724775" cy="4029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827;&#21335;&#20449;&#38451;&#21335;&#34425;&#24191;&#22330;5%23&#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3"/>
      <sheetName val="面积表"/>
      <sheetName val="存贷款利率"/>
      <sheetName val="Sheet2"/>
      <sheetName val="Sheet4"/>
    </sheetNames>
    <sheetDataSet>
      <sheetData sheetId="0"/>
      <sheetData sheetId="1"/>
      <sheetData sheetId="2"/>
      <sheetData sheetId="3"/>
      <sheetData sheetId="4"/>
      <sheetData sheetId="5"/>
      <sheetData sheetId="6"/>
      <sheetData sheetId="7"/>
      <sheetData sheetId="8"/>
      <sheetData sheetId="9">
        <row r="21">
          <cell r="C21">
            <v>10014</v>
          </cell>
        </row>
        <row r="22">
          <cell r="C22">
            <v>4105.6099999999997</v>
          </cell>
        </row>
      </sheetData>
      <sheetData sheetId="10"/>
      <sheetData sheetId="11"/>
      <sheetData sheetId="12"/>
      <sheetData sheetId="13"/>
      <sheetData sheetId="14"/>
      <sheetData sheetId="15"/>
      <sheetData sheetId="16">
        <row r="19">
          <cell r="G19">
            <v>3438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河南省信阳市浉河区车站街道办事处工区路135号富丽华城市花园南虹广场1、2、3号商业楼房地产抵押价值预评估</v>
      </c>
    </row>
    <row r="3" spans="1:2" s="1595" customFormat="1">
      <c r="A3" s="1593" t="s">
        <v>1221</v>
      </c>
      <c r="B3" s="1594" t="str">
        <f>'预评函-封皮'!B40</f>
        <v>河南华仪置业发展有限公司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受贵公司委托，我公司对河南省信阳市浉河区车站街道办事处工区路135号富丽华城市花园南虹广场1、2、3号商业楼房地产抵押价值进行了预评估。</v>
      </c>
    </row>
    <row r="7" spans="1:2" s="1595" customFormat="1">
      <c r="A7" s="1593" t="s">
        <v>1264</v>
      </c>
      <c r="B7" s="1594" t="str">
        <f>'预评函-1'!A7</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为估价委托人在向渤海银行股份有限公司北京分行办理贷款手续过程中，确定房地产抵押贷款额度提供参考依据而评估房地产抵押价值。</v>
      </c>
    </row>
    <row r="12" spans="1:2" s="1595" customFormat="1">
      <c r="A12" s="1593" t="s">
        <v>1226</v>
      </c>
      <c r="B12" s="1594" t="str">
        <f>'预评函-1'!A15</f>
        <v>2018年7月26日（评估专业人员实地查勘之日）</v>
      </c>
    </row>
    <row r="13" spans="1:2" s="1595" customFormat="1">
      <c r="A13" s="1593" t="s">
        <v>1227</v>
      </c>
      <c r="B13" s="1594" t="str">
        <f>'预评函-1'!A18</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4" spans="1:2" s="1595" customFormat="1">
      <c r="A14" s="1593" t="s">
        <v>1228</v>
      </c>
      <c r="B14" s="1594" t="str">
        <f>'预评函-1'!A19</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261</v>
      </c>
    </row>
    <row r="21" spans="1:2" s="1595" customFormat="1">
      <c r="A21" s="1593" t="s">
        <v>1235</v>
      </c>
      <c r="B21" s="1594">
        <f ca="1">'预评函-2'!D7</f>
        <v>25623</v>
      </c>
    </row>
    <row r="22" spans="1:2" s="1595" customFormat="1">
      <c r="A22" s="1593" t="s">
        <v>1236</v>
      </c>
      <c r="B22" s="1594" t="str">
        <f ca="1">'预评函-2'!D6</f>
        <v>贰佰陆拾壹万元整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261</v>
      </c>
    </row>
    <row r="31" spans="1:2" s="1595" customFormat="1">
      <c r="A31" s="1593" t="s">
        <v>1274</v>
      </c>
      <c r="B31" s="1594">
        <f ca="1">'预评函-2'!D15</f>
        <v>77</v>
      </c>
    </row>
    <row r="32" spans="1:2" s="1595" customFormat="1">
      <c r="A32" s="1593" t="s">
        <v>1241</v>
      </c>
      <c r="B32" s="1594" t="str">
        <f ca="1">'预评函-2'!D14</f>
        <v>贰佰陆拾壹万元整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河南省信阳市浉河区车站街道办事处工区路135号富丽华城市花园南虹广场1、2、3号商业楼房地产</v>
      </c>
    </row>
    <row r="42" spans="1:2" s="1595" customFormat="1">
      <c r="A42" s="1593" t="s">
        <v>1288</v>
      </c>
      <c r="B42" s="1594" t="str">
        <f>'预评函-3'!B2</f>
        <v>建筑面积</v>
      </c>
    </row>
    <row r="43" spans="1:2" s="1595" customFormat="1">
      <c r="A43" s="1593" t="s">
        <v>1289</v>
      </c>
      <c r="B43" s="1594">
        <f>'预评函-3'!B4</f>
        <v>34044.230000000003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f ca="1">'预评函-3'!D4</f>
        <v>186</v>
      </c>
    </row>
    <row r="48" spans="1:2" s="1595" customFormat="1">
      <c r="A48" s="1593" t="s">
        <v>1247</v>
      </c>
      <c r="B48" s="1594">
        <f ca="1">'预评函-3'!E4</f>
        <v>18260</v>
      </c>
    </row>
    <row r="49" spans="1:2" s="1595" customFormat="1">
      <c r="A49" s="1593" t="s">
        <v>1248</v>
      </c>
      <c r="B49" s="1594" t="str">
        <f ca="1">'预评函-3'!D5</f>
        <v>壹佰捌拾陆万元整</v>
      </c>
    </row>
    <row r="50" spans="1:2" s="1595" customFormat="1">
      <c r="A50" s="1593" t="s">
        <v>1272</v>
      </c>
      <c r="B50" s="1594" t="str">
        <f>'预评函-3'!F2</f>
        <v>建筑物价值</v>
      </c>
    </row>
    <row r="51" spans="1:2" s="1595" customFormat="1">
      <c r="A51" s="1593" t="s">
        <v>1249</v>
      </c>
      <c r="B51" s="1594">
        <f ca="1">'预评函-3'!F4</f>
        <v>75</v>
      </c>
    </row>
    <row r="52" spans="1:2" s="1595" customFormat="1">
      <c r="A52" s="1593" t="s">
        <v>1250</v>
      </c>
      <c r="B52" s="1594">
        <f ca="1">'预评函-3'!G4</f>
        <v>7363</v>
      </c>
    </row>
    <row r="53" spans="1:2" s="1595" customFormat="1">
      <c r="A53" s="1593" t="s">
        <v>1278</v>
      </c>
      <c r="B53" s="1594" t="str">
        <f ca="1">'预评函-3'!F5</f>
        <v>柒拾伍万元整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华仪置业发展有限公司拟使用河南省信阳市浉河区车站街道办事处工区路135号富丽华城市花园南虹广场1、2、3号商业楼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XX年(多用途剩余年限尾数不同时，可只体现小数点后一位)，假定未设立法定优先受偿款下的房地产市场价值。</v>
      </c>
    </row>
    <row r="54" spans="1:4">
      <c r="A54" s="3026"/>
      <c r="B54" s="2023" t="s">
        <v>864</v>
      </c>
      <c r="C54" s="2020" t="s">
        <v>1281</v>
      </c>
    </row>
    <row r="55" spans="1:4">
      <c r="A55" s="3026"/>
      <c r="B55" s="2023" t="s">
        <v>865</v>
      </c>
      <c r="C55" s="2020" t="s">
        <v>1282</v>
      </c>
    </row>
    <row r="56" spans="1:4">
      <c r="A56" s="3026"/>
      <c r="B56" s="2023" t="s">
        <v>866</v>
      </c>
      <c r="C56" s="2020" t="s">
        <v>1286</v>
      </c>
    </row>
    <row r="57" spans="1:4">
      <c r="A57" s="302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1776</v>
      </c>
      <c r="B1" s="3035" t="str">
        <f>IF(B10="北京市","北京市",C10)&amp;F10&amp;IF(结果表!G1="在建","出让国有建设用地使用权及在建建筑物",IF(结果表!G1="土地","出让国有建设用地使用权",))&amp;B9&amp;"预评估"</f>
        <v>河南省信阳市浉河区车站街道办事处工区路135号富丽华城市花园南虹广场1、2、3号商业楼房地产抵押价值预评估</v>
      </c>
      <c r="C1" s="3036"/>
      <c r="D1" s="3036"/>
      <c r="E1" s="3036"/>
      <c r="F1" s="3036"/>
      <c r="G1" s="3036"/>
      <c r="H1" s="3036"/>
      <c r="I1" s="303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河南省信阳市浉河区车站街道办事处工区路135号富丽华城市花园南虹广场1、2、3号商业楼房地产抵押价值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河南省信阳市浉河区车站街道办事处工区路135号富丽华城市花园南虹广场1、2、3号商业楼房地产</v>
      </c>
    </row>
    <row r="3" spans="1:19" ht="18" customHeight="1">
      <c r="A3" s="2036" t="s">
        <v>1778</v>
      </c>
      <c r="B3" s="2037">
        <v>43307</v>
      </c>
      <c r="C3" s="2038" t="s">
        <v>1779</v>
      </c>
      <c r="D3" s="2037">
        <f>B3</f>
        <v>43307</v>
      </c>
      <c r="E3" s="2027"/>
      <c r="F3" s="2027"/>
      <c r="G3" s="2027"/>
      <c r="H3" s="2027"/>
      <c r="I3" s="2027"/>
      <c r="J3" s="2027"/>
      <c r="K3" s="2028"/>
      <c r="L3" s="2029"/>
      <c r="M3" s="2029"/>
      <c r="N3" s="2030"/>
      <c r="O3" s="2031"/>
      <c r="P3" s="2030"/>
      <c r="Q3" s="2030"/>
      <c r="R3" s="2030"/>
      <c r="S3" s="2032"/>
    </row>
    <row r="4" spans="1:19" ht="18" customHeight="1" thickBot="1">
      <c r="A4" s="2039" t="s">
        <v>1780</v>
      </c>
      <c r="B4" s="2040" t="s">
        <v>4118</v>
      </c>
      <c r="C4" s="1039">
        <f ca="1">SUMIF(注册房地产估价师,B4,估价师及机构信息!B3:B24)</f>
        <v>1120000080</v>
      </c>
      <c r="D4" s="2040" t="s">
        <v>4117</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2943" t="s">
        <v>3044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4" t="s">
        <v>4116</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1783</v>
      </c>
      <c r="B7" s="2049" t="str">
        <f>B5</f>
        <v>河南华仪置业发展有限公司</v>
      </c>
      <c r="C7" s="2050"/>
      <c r="D7" s="2051"/>
      <c r="E7" s="2035"/>
      <c r="F7" s="2043"/>
      <c r="G7" s="2043"/>
      <c r="H7" s="2043"/>
      <c r="I7" s="2043"/>
      <c r="J7" s="2043"/>
      <c r="K7" s="2053"/>
      <c r="L7" s="2029"/>
      <c r="M7" s="2029"/>
      <c r="N7" s="2030"/>
      <c r="O7" s="2031"/>
      <c r="P7" s="2030"/>
      <c r="Q7" s="2030"/>
      <c r="R7" s="2030"/>
    </row>
    <row r="8" spans="1:19" ht="18" customHeight="1">
      <c r="A8" s="2048" t="s">
        <v>1784</v>
      </c>
      <c r="B8" s="2054" t="s">
        <v>3045</v>
      </c>
      <c r="C8" s="2055"/>
      <c r="D8" s="3038" t="s">
        <v>1785</v>
      </c>
      <c r="E8" s="2056" t="s">
        <v>3046</v>
      </c>
      <c r="F8" s="2057"/>
      <c r="G8" s="2027"/>
      <c r="H8" s="2027"/>
      <c r="I8" s="2027"/>
      <c r="J8" s="2043"/>
      <c r="K8" s="2044"/>
      <c r="L8" s="2029"/>
      <c r="M8" s="2029"/>
      <c r="N8" s="2030"/>
      <c r="O8" s="2031"/>
      <c r="P8" s="2030"/>
      <c r="Q8" s="2030"/>
      <c r="R8" s="2030"/>
    </row>
    <row r="9" spans="1:19" ht="18" customHeight="1" thickBot="1">
      <c r="A9" s="2041" t="s">
        <v>1786</v>
      </c>
      <c r="B9" s="2058" t="s">
        <v>3046</v>
      </c>
      <c r="C9" s="2059"/>
      <c r="D9" s="3039"/>
      <c r="E9" s="2058" t="s">
        <v>70</v>
      </c>
      <c r="F9" s="2060"/>
      <c r="G9" s="2061"/>
      <c r="H9" s="2061"/>
      <c r="I9" s="2061"/>
      <c r="J9" s="2043"/>
      <c r="K9" s="2053"/>
      <c r="L9" s="2029"/>
      <c r="M9" s="2029"/>
      <c r="N9" s="2030"/>
      <c r="O9" s="2031"/>
      <c r="P9" s="2030"/>
      <c r="Q9" s="2030"/>
      <c r="R9" s="2030"/>
    </row>
    <row r="10" spans="1:19" ht="18" customHeight="1" thickTop="1">
      <c r="A10" s="2062" t="s">
        <v>1787</v>
      </c>
      <c r="B10" s="2063"/>
      <c r="C10" s="2945" t="s">
        <v>3047</v>
      </c>
      <c r="D10" s="2047"/>
      <c r="E10" s="2064" t="s">
        <v>1788</v>
      </c>
      <c r="F10" s="2065" t="s">
        <v>4048</v>
      </c>
      <c r="G10" s="2066"/>
      <c r="H10" s="2067"/>
      <c r="I10" s="2047"/>
      <c r="J10" s="2043"/>
      <c r="K10" s="2053"/>
      <c r="L10" s="2029"/>
      <c r="M10" s="2029"/>
      <c r="N10" s="2030"/>
      <c r="O10" s="2031"/>
      <c r="P10" s="2030"/>
      <c r="Q10" s="2030"/>
      <c r="R10" s="2030"/>
    </row>
    <row r="11" spans="1:19" ht="18" customHeight="1">
      <c r="A11" s="2068" t="s">
        <v>1789</v>
      </c>
      <c r="B11" s="2069" t="s">
        <v>3048</v>
      </c>
      <c r="C11" s="2946" t="str">
        <f>B5</f>
        <v>河南华仪置业发展有限公司</v>
      </c>
      <c r="D11" s="2070"/>
      <c r="E11" s="2043"/>
      <c r="F11" s="2043"/>
      <c r="G11" s="2043"/>
      <c r="H11" s="2043"/>
      <c r="I11" s="2043"/>
      <c r="J11" s="2043"/>
      <c r="K11" s="2053"/>
      <c r="L11" s="2029"/>
      <c r="M11" s="2029"/>
      <c r="N11" s="2030"/>
      <c r="O11" s="2031"/>
      <c r="P11" s="2030"/>
      <c r="Q11" s="2030"/>
      <c r="R11" s="2030"/>
    </row>
    <row r="12" spans="1:19" ht="18" customHeight="1">
      <c r="A12" s="2071" t="s">
        <v>1790</v>
      </c>
      <c r="B12" s="2069" t="s">
        <v>3049</v>
      </c>
      <c r="C12" s="2072" t="s">
        <v>1791</v>
      </c>
      <c r="D12" s="2073" t="s">
        <v>1792</v>
      </c>
      <c r="E12" s="2073" t="s">
        <v>1793</v>
      </c>
      <c r="F12" s="2073" t="s">
        <v>1794</v>
      </c>
      <c r="G12" s="2073" t="s">
        <v>1795</v>
      </c>
      <c r="H12" s="2073" t="s">
        <v>1796</v>
      </c>
      <c r="I12" s="2073" t="s">
        <v>1797</v>
      </c>
      <c r="J12" s="2043"/>
      <c r="K12" s="2053"/>
      <c r="L12" s="2029"/>
      <c r="M12" s="2029"/>
      <c r="N12" s="2030"/>
      <c r="O12" s="2031"/>
      <c r="P12" s="2030"/>
      <c r="Q12" s="2030"/>
      <c r="R12" s="2030"/>
    </row>
    <row r="13" spans="1:19" ht="18" customHeight="1">
      <c r="A13" s="2074"/>
      <c r="B13" s="2075"/>
      <c r="C13" s="2076" t="s">
        <v>1798</v>
      </c>
      <c r="D13" s="2077"/>
      <c r="E13" s="2077">
        <v>56782</v>
      </c>
      <c r="F13" s="2077"/>
      <c r="G13" s="2077"/>
      <c r="H13" s="2077"/>
      <c r="I13" s="1049"/>
      <c r="J13" s="2043"/>
      <c r="K13" s="2053"/>
      <c r="L13" s="2029"/>
      <c r="M13" s="2029"/>
      <c r="N13" s="2030"/>
      <c r="O13" s="2031"/>
      <c r="P13" s="2030"/>
      <c r="Q13" s="2030"/>
      <c r="R13" s="2030"/>
    </row>
    <row r="14" spans="1:19" ht="18" customHeight="1">
      <c r="A14" s="2074"/>
      <c r="B14" s="2075"/>
      <c r="C14" s="2076" t="s">
        <v>1799</v>
      </c>
      <c r="D14" s="1052"/>
      <c r="E14" s="1052">
        <v>50</v>
      </c>
      <c r="F14" s="1052"/>
      <c r="G14" s="1052"/>
      <c r="H14" s="1052"/>
      <c r="I14" s="1052"/>
      <c r="J14" s="2043"/>
      <c r="K14" s="2078"/>
      <c r="L14" s="2029"/>
      <c r="M14" s="2029"/>
      <c r="N14" s="2030"/>
      <c r="O14" s="2031"/>
      <c r="P14" s="2030"/>
      <c r="Q14" s="2030"/>
      <c r="R14" s="2030"/>
    </row>
    <row r="15" spans="1:19" ht="18" customHeight="1">
      <c r="A15" s="2062"/>
      <c r="B15" s="2079"/>
      <c r="C15" s="2076" t="s">
        <v>1800</v>
      </c>
      <c r="D15" s="1051" t="str">
        <f>IF(B12="出让",IF(D13="","",ROUNDDOWN(MIN((D13-$D$3)/365,D14),2)),D14)</f>
        <v/>
      </c>
      <c r="E15" s="1051">
        <f>IF(B12="出让",IF(E13="","",ROUNDDOWN(MIN((E13-$D$3)/365,E14),2)),E14)</f>
        <v>36.909999999999997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1801</v>
      </c>
      <c r="B16" s="3045" t="s">
        <v>3050</v>
      </c>
      <c r="C16" s="3046"/>
      <c r="D16" s="3047"/>
      <c r="E16" s="2083" t="s">
        <v>1802</v>
      </c>
      <c r="F16" s="3048" t="s">
        <v>3051</v>
      </c>
      <c r="G16" s="3049"/>
      <c r="H16" s="3049"/>
      <c r="I16" s="3050"/>
      <c r="J16" s="2030"/>
      <c r="K16" s="2080"/>
      <c r="L16" s="2081"/>
      <c r="M16" s="2081"/>
      <c r="N16" s="2082"/>
      <c r="O16" s="2081"/>
      <c r="P16" s="2082"/>
      <c r="Q16" s="2030"/>
      <c r="R16" s="2030"/>
    </row>
    <row r="17" spans="1:22" ht="18" customHeight="1">
      <c r="A17" s="2084" t="s">
        <v>1803</v>
      </c>
      <c r="B17" s="2036" t="s">
        <v>1804</v>
      </c>
      <c r="C17" s="1056">
        <f>'数据-汇总表'!E3</f>
        <v>34044.230000000003</v>
      </c>
      <c r="D17" s="2085" t="s">
        <v>1805</v>
      </c>
      <c r="E17" s="3051" t="s">
        <v>3052</v>
      </c>
      <c r="F17" s="3052"/>
      <c r="G17" s="3052"/>
      <c r="H17" s="3052"/>
      <c r="I17" s="3053"/>
      <c r="J17" s="2030"/>
      <c r="K17" s="2086"/>
      <c r="L17" s="2081"/>
      <c r="M17" s="2081"/>
      <c r="N17" s="2082"/>
      <c r="O17" s="2081"/>
      <c r="P17" s="2082"/>
      <c r="Q17" s="2030"/>
      <c r="R17" s="2030"/>
      <c r="S17" s="2030"/>
      <c r="T17" s="2030"/>
      <c r="U17" s="2030"/>
      <c r="V17" s="2030"/>
    </row>
    <row r="18" spans="1:22" ht="36" customHeight="1" thickBot="1">
      <c r="A18" s="2087" t="s">
        <v>70</v>
      </c>
      <c r="B18" s="2039" t="s">
        <v>1806</v>
      </c>
      <c r="C18" s="1446">
        <f>'数据-汇总表'!D3</f>
        <v>0</v>
      </c>
      <c r="D18" s="2088" t="s">
        <v>1805</v>
      </c>
      <c r="E18" s="3054" t="s">
        <v>1807</v>
      </c>
      <c r="F18" s="3055"/>
      <c r="G18" s="3055"/>
      <c r="H18" s="3055"/>
      <c r="I18" s="3056"/>
      <c r="J18" s="2030"/>
      <c r="K18" s="2086"/>
      <c r="L18" s="2081"/>
      <c r="M18" s="2081"/>
      <c r="N18" s="2082"/>
      <c r="O18" s="2081"/>
      <c r="P18" s="2082"/>
      <c r="Q18" s="2030"/>
      <c r="R18" s="2030"/>
      <c r="S18" s="2030"/>
      <c r="T18" s="2030"/>
      <c r="U18" s="2030"/>
      <c r="V18" s="2030"/>
    </row>
    <row r="19" spans="1:22" ht="37.5" customHeight="1" thickTop="1" thickBot="1">
      <c r="A19" s="373" t="s">
        <v>1808</v>
      </c>
      <c r="B19" s="352" t="s">
        <v>1809</v>
      </c>
      <c r="C19" s="2089" t="s">
        <v>3053</v>
      </c>
      <c r="D19" s="2090" t="s">
        <v>1810</v>
      </c>
      <c r="E19" s="2091"/>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1811</v>
      </c>
      <c r="B20" s="3041" t="s">
        <v>1812</v>
      </c>
      <c r="C20" s="3042"/>
      <c r="D20" s="3043" t="s">
        <v>1813</v>
      </c>
      <c r="E20" s="3044"/>
      <c r="F20" s="2095" t="s">
        <v>1814</v>
      </c>
      <c r="G20" s="2043"/>
      <c r="H20" s="2043"/>
      <c r="I20" s="2043"/>
      <c r="J20" s="2043"/>
      <c r="K20" s="3040" t="s">
        <v>1815</v>
      </c>
      <c r="L20" s="747"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3054</v>
      </c>
      <c r="C21" s="2097" t="s">
        <v>1816</v>
      </c>
      <c r="D21" s="2098" t="s">
        <v>1817</v>
      </c>
      <c r="E21" s="2099" t="s">
        <v>70</v>
      </c>
      <c r="F21" s="2100"/>
      <c r="G21" s="2043"/>
      <c r="H21" s="2043"/>
      <c r="I21" s="2043"/>
      <c r="J21" s="2043"/>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1818</v>
      </c>
      <c r="C22" s="2097" t="s">
        <v>1819</v>
      </c>
      <c r="D22" s="2027"/>
      <c r="E22" s="2027"/>
      <c r="F22" s="2102"/>
      <c r="G22" s="2043"/>
      <c r="H22" s="2043"/>
      <c r="I22" s="2043"/>
      <c r="J22" s="2043"/>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3" t="s">
        <v>1821</v>
      </c>
      <c r="C23" s="2104"/>
      <c r="D23" s="2105" t="s">
        <v>1821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3" t="s">
        <v>1822</v>
      </c>
      <c r="C24" s="2109"/>
      <c r="D24" s="2103" t="s">
        <v>1822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3" t="s">
        <v>1823</v>
      </c>
      <c r="C25" s="2109"/>
      <c r="D25" s="2103" t="s">
        <v>1823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28" t="s">
        <v>1826</v>
      </c>
      <c r="B27" s="2062" t="s">
        <v>1827</v>
      </c>
      <c r="C27" s="2117" t="s">
        <v>3055</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8"/>
      <c r="B28" s="2036" t="s">
        <v>1828</v>
      </c>
      <c r="C28" s="2119" t="s">
        <v>3056</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28"/>
      <c r="B29" s="2036" t="s">
        <v>1829</v>
      </c>
      <c r="C29" s="2122" t="s">
        <v>3053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29"/>
      <c r="B30" s="2036" t="s">
        <v>1830</v>
      </c>
      <c r="C30" s="3030"/>
      <c r="D30" s="3031"/>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32" t="s">
        <v>1831</v>
      </c>
      <c r="B31" s="2124" t="s">
        <v>3057</v>
      </c>
      <c r="C31" s="2125" t="str">
        <f>IF(B31="现房","成新及维护状况正常否",IF(B31="在建","工程状态是否正常",IF(B31="土地","是否闲置","-")))</f>
        <v>成新及维护状况正常否</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33"/>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33"/>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1832</v>
      </c>
      <c r="B34" s="2131" t="s">
        <v>3058</v>
      </c>
      <c r="C34" s="2131" t="s">
        <v>3059</v>
      </c>
      <c r="D34" s="2131" t="s">
        <v>3060</v>
      </c>
      <c r="E34" s="2131" t="s">
        <v>3061</v>
      </c>
      <c r="F34" s="2131" t="s">
        <v>3062</v>
      </c>
      <c r="G34" s="2131" t="s">
        <v>3063</v>
      </c>
      <c r="H34" s="2131" t="s">
        <v>70</v>
      </c>
      <c r="I34" s="2043"/>
      <c r="J34" s="2043"/>
      <c r="K34" s="1796">
        <f>COUNTIF(B34:H34,"——")</f>
        <v>1</v>
      </c>
      <c r="L34" s="2072" t="s">
        <v>1833</v>
      </c>
      <c r="M34" s="2072" t="s">
        <v>1834</v>
      </c>
      <c r="N34" s="2072" t="s">
        <v>1835</v>
      </c>
      <c r="O34" s="2072" t="s">
        <v>1836</v>
      </c>
      <c r="P34" s="2072" t="s">
        <v>1837</v>
      </c>
      <c r="Q34" s="2072" t="s">
        <v>1838</v>
      </c>
      <c r="R34" s="2072" t="s">
        <v>1839</v>
      </c>
      <c r="S34" s="3027" t="s">
        <v>1840</v>
      </c>
      <c r="T34" s="2132" t="str">
        <f>NUMBERSTRING(7-K34,1)&amp;"通"</f>
        <v>六通</v>
      </c>
      <c r="U34" s="2030"/>
      <c r="V34" s="2030"/>
    </row>
    <row r="35" spans="1:22" ht="18" customHeight="1">
      <c r="A35" s="2133"/>
      <c r="B35" s="3034" t="s">
        <v>1841</v>
      </c>
      <c r="C35" s="3034"/>
      <c r="D35" s="3034"/>
      <c r="E35" s="3034"/>
      <c r="F35" s="2134" t="str">
        <f>C10</f>
        <v>河南省</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30"/>
      <c r="V35" s="2030"/>
    </row>
    <row r="36" spans="1:22" ht="18" customHeight="1">
      <c r="A36" s="2135"/>
      <c r="B36" s="2134" t="s">
        <v>1842</v>
      </c>
      <c r="C36" s="2134" t="s">
        <v>1843</v>
      </c>
      <c r="D36" s="2134" t="s">
        <v>1844</v>
      </c>
      <c r="E36" s="2134" t="s">
        <v>1845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1846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1847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34044.230000000003</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34044.230000000003</v>
      </c>
      <c r="H5" s="16">
        <f t="shared" ref="H5:AT5" si="0">SUM(H13:H656)</f>
        <v>34044.230000000003</v>
      </c>
      <c r="I5" s="16">
        <f t="shared" si="0"/>
        <v>34044.230000000003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34044.230000000003</v>
      </c>
      <c r="BA5" s="18">
        <f t="shared" si="1"/>
        <v>34044.230000000003</v>
      </c>
      <c r="BB5" s="18">
        <f t="shared" si="1"/>
        <v>34044.230000000003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3" t="s">
        <v>1892</v>
      </c>
      <c r="AD8" s="2186"/>
      <c r="AE8" s="2178"/>
      <c r="AF8" s="1819"/>
      <c r="AG8" s="1819"/>
      <c r="AH8" s="1819"/>
      <c r="AI8" s="1819"/>
      <c r="AJ8" s="1819"/>
      <c r="AK8" s="1819"/>
      <c r="AL8" s="1819"/>
      <c r="AM8" s="1819"/>
      <c r="AN8" s="1819"/>
      <c r="AO8" s="1819"/>
      <c r="AP8" s="1819"/>
      <c r="AQ8" s="1819"/>
      <c r="AR8" s="1819"/>
      <c r="AS8" s="1819"/>
      <c r="AT8" s="1294" t="s">
        <v>1893</v>
      </c>
      <c r="AU8" s="2180" t="s">
        <v>1894</v>
      </c>
      <c r="AV8" s="1294"/>
      <c r="AW8" s="2163"/>
      <c r="AX8" s="1294"/>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1897</v>
      </c>
      <c r="I9" s="2189" t="s">
        <v>4037</v>
      </c>
      <c r="J9" s="983"/>
      <c r="K9" s="2189"/>
      <c r="L9" s="983"/>
      <c r="M9" s="2189"/>
      <c r="N9" s="983"/>
      <c r="O9" s="2189"/>
      <c r="P9" s="983"/>
      <c r="Q9" s="2189"/>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19"/>
      <c r="BN9" s="2183"/>
      <c r="BO9" s="1819"/>
      <c r="BP9" s="1819"/>
      <c r="BQ9" s="1819"/>
      <c r="BR9" s="1819"/>
      <c r="BS9" s="1819"/>
      <c r="BT9" s="26"/>
    </row>
    <row r="10" spans="1:72" s="2187" customFormat="1" ht="12.75">
      <c r="A10" s="2180"/>
      <c r="B10" s="2180"/>
      <c r="C10" s="2180"/>
      <c r="D10" s="2180"/>
      <c r="E10" s="2180"/>
      <c r="F10" s="2180"/>
      <c r="G10" s="1294"/>
      <c r="H10" s="28"/>
      <c r="I10" s="2189" t="s">
        <v>1377</v>
      </c>
      <c r="J10" s="983"/>
      <c r="K10" s="2195"/>
      <c r="L10" s="983"/>
      <c r="M10" s="2195"/>
      <c r="N10" s="983"/>
      <c r="O10" s="2195"/>
      <c r="P10" s="983"/>
      <c r="Q10" s="2195"/>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4038</v>
      </c>
      <c r="J11" s="2201"/>
      <c r="K11" s="2200"/>
      <c r="L11" s="2201"/>
      <c r="M11" s="2200"/>
      <c r="N11" s="2201"/>
      <c r="O11" s="2200"/>
      <c r="P11" s="2201"/>
      <c r="Q11" s="2200"/>
      <c r="R11" s="2201"/>
      <c r="S11" s="2200"/>
      <c r="T11" s="2201"/>
      <c r="U11" s="2200"/>
      <c r="V11" s="2201"/>
      <c r="W11" s="2200"/>
      <c r="X11" s="2201"/>
      <c r="Y11" s="2200"/>
      <c r="Z11" s="2201"/>
      <c r="AA11" s="2200"/>
      <c r="AB11" s="2201"/>
      <c r="AC11" s="1294"/>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4"/>
      <c r="AW11" s="2163"/>
      <c r="AX11" s="1294"/>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t="s">
        <v>4033</v>
      </c>
      <c r="D13" s="2211" t="s">
        <v>4036</v>
      </c>
      <c r="E13" s="16">
        <f>IF($C$3="是",ROUND($A$3*G13/$B$3,2),ROUND($A$3*(G13-AT13)/$B$3,2))</f>
        <v>0</v>
      </c>
      <c r="F13" s="32"/>
      <c r="G13" s="33">
        <f>H13+AC13+AT13</f>
        <v>20875.95</v>
      </c>
      <c r="H13" s="20">
        <f>SUMIF(I$12:AB$12,"总值",I13:AB13)</f>
        <v>20875.95</v>
      </c>
      <c r="I13" s="2212">
        <f>面积表!C6</f>
        <v>20875.95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1号楼</v>
      </c>
      <c r="AY13" s="1807">
        <f>ROUND($AY$6*AZ13/$AZ$5,2)</f>
        <v>0</v>
      </c>
      <c r="AZ13" s="16">
        <f>BA13+BL13</f>
        <v>20875.95</v>
      </c>
      <c r="BA13" s="16">
        <f>SUM(BB13:BK13)</f>
        <v>20875.95</v>
      </c>
      <c r="BB13" s="16">
        <f>IF($D13="是",I13-J13,0)</f>
        <v>20875.95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1274" t="s">
        <v>4034</v>
      </c>
      <c r="D14" s="2211" t="s">
        <v>4036</v>
      </c>
      <c r="E14" s="16">
        <f>IF($C$3="是",ROUND($A$3*G14/$B$3,2),ROUND($A$3*(G14-AT14)/$B$3,2))</f>
        <v>0</v>
      </c>
      <c r="F14" s="32"/>
      <c r="G14" s="33">
        <f>H14+AC14+AT14</f>
        <v>6228.35</v>
      </c>
      <c r="H14" s="20">
        <f>SUMIF(I$12:AB$12,"总值",I14:AB14)</f>
        <v>6228.35</v>
      </c>
      <c r="I14" s="2212">
        <f>面积表!D6</f>
        <v>6228.35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2号楼</v>
      </c>
      <c r="AY14" s="1807">
        <f>ROUND($AY$6*AZ14/$AZ$5,2)</f>
        <v>0</v>
      </c>
      <c r="AZ14" s="16">
        <f>BA14+BL14</f>
        <v>6228.35</v>
      </c>
      <c r="BA14" s="16">
        <f>SUM(BB14:BK14)</f>
        <v>6228.35</v>
      </c>
      <c r="BB14" s="16">
        <f>IF($D14="是",I14-J14,0)</f>
        <v>6228.35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1274" t="s">
        <v>4035</v>
      </c>
      <c r="D15" s="2211" t="s">
        <v>4036</v>
      </c>
      <c r="E15" s="16">
        <f>IF($C$3="是",ROUND($A$3*G15/$B$3,2),ROUND($A$3*(G15-AT15)/$B$3,2))</f>
        <v>0</v>
      </c>
      <c r="F15" s="32"/>
      <c r="G15" s="33">
        <f>H15+AC15+AT15</f>
        <v>6939.9299999999976</v>
      </c>
      <c r="H15" s="20">
        <f>SUMIF(I$12:AB$12,"总值",I15:AB15)</f>
        <v>6939.9299999999976</v>
      </c>
      <c r="I15" s="2212">
        <f>面积表!E6</f>
        <v>6939.9299999999976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3号楼</v>
      </c>
      <c r="AY15" s="1807">
        <f>ROUND($AY$6*AZ15/$AZ$5,2)</f>
        <v>0</v>
      </c>
      <c r="AZ15" s="16">
        <f>BA15+BL15</f>
        <v>6939.9299999999976</v>
      </c>
      <c r="BA15" s="16">
        <f>SUM(BB15:BK15)</f>
        <v>6939.9299999999976</v>
      </c>
      <c r="BB15" s="16">
        <f>IF($D15="是",I15-J15,0)</f>
        <v>6939.9299999999976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68" t="s">
        <v>1937</v>
      </c>
      <c r="B2" s="3068"/>
      <c r="C2" s="3068"/>
      <c r="D2" s="969" t="s">
        <v>1913</v>
      </c>
      <c r="E2" s="2225" t="s">
        <v>1914</v>
      </c>
      <c r="F2" s="1394"/>
      <c r="G2" s="2226"/>
      <c r="H2" s="2227"/>
      <c r="I2" s="2228" t="s">
        <v>1938</v>
      </c>
      <c r="J2" s="1394"/>
      <c r="K2" s="1394"/>
      <c r="L2" s="1394"/>
      <c r="M2" s="1394"/>
      <c r="N2" s="1429"/>
      <c r="O2" s="1394"/>
      <c r="P2" s="1394"/>
    </row>
    <row r="3" spans="1:16" ht="15.75" thickBot="1">
      <c r="A3" s="3069" t="s">
        <v>1911</v>
      </c>
      <c r="B3" s="3069"/>
      <c r="C3" s="3069"/>
      <c r="D3" s="46">
        <f>'数据-基础表'!AY6</f>
        <v>0</v>
      </c>
      <c r="E3" s="46">
        <f>'数据-基础表'!AZ5</f>
        <v>34044.230000000003</v>
      </c>
      <c r="F3" s="1394"/>
      <c r="G3" s="1401"/>
      <c r="H3" s="1249" t="s">
        <v>1912</v>
      </c>
      <c r="I3" s="55" t="e">
        <f>ROUND('数据-基础表'!B3/'数据-基础表'!A3,2)</f>
        <v>#DIV/0!</v>
      </c>
      <c r="J3" s="1394"/>
      <c r="K3" s="1394"/>
      <c r="L3" s="1394"/>
      <c r="M3" s="1394"/>
      <c r="N3" s="1429"/>
      <c r="O3" s="1394"/>
      <c r="P3" s="1394"/>
    </row>
    <row r="4" spans="1:16" ht="15">
      <c r="A4" s="3070"/>
      <c r="B4" s="3071"/>
      <c r="C4" s="3072"/>
      <c r="D4" s="2229" t="s">
        <v>1913</v>
      </c>
      <c r="E4" s="2230" t="s">
        <v>1914</v>
      </c>
      <c r="F4" s="1394"/>
      <c r="G4" s="2231" t="s">
        <v>1939</v>
      </c>
      <c r="H4" s="1249" t="s">
        <v>1919</v>
      </c>
      <c r="I4" s="55" t="e">
        <f>ROUND(SUMIF('数据-基础表'!I9:AS9,"地上",'数据-基础表'!I5:AS5)/'数据-基础表'!A3,2)</f>
        <v>#DIV/0!</v>
      </c>
      <c r="J4" s="1394"/>
      <c r="K4" s="1394"/>
      <c r="L4" s="1394"/>
      <c r="M4" s="1394"/>
      <c r="N4" s="1429"/>
      <c r="O4" s="1394"/>
      <c r="P4" s="1394"/>
    </row>
    <row r="5" spans="1:16">
      <c r="A5" s="47" t="s">
        <v>1915</v>
      </c>
      <c r="B5" s="3073" t="s">
        <v>1916</v>
      </c>
      <c r="C5" s="3073"/>
      <c r="D5" s="48">
        <f>ROUND($D$3*E5/$E$3,2)</f>
        <v>0</v>
      </c>
      <c r="E5" s="49">
        <f>SUMIF('数据-基础表'!$11:$11,"住宅",'数据-基础表'!$5:$5)</f>
        <v>0</v>
      </c>
      <c r="F5" s="1394"/>
      <c r="G5" s="1401"/>
      <c r="H5" s="1249" t="s">
        <v>1912</v>
      </c>
      <c r="I5" s="55" t="e">
        <f>ROUND(E31/D31,2)</f>
        <v>#DIV/0!</v>
      </c>
      <c r="J5" s="1394"/>
      <c r="K5" s="1394"/>
      <c r="L5" s="1394"/>
      <c r="M5" s="1394"/>
      <c r="N5" s="1394"/>
      <c r="O5" s="1394"/>
      <c r="P5" s="1394"/>
    </row>
    <row r="6" spans="1:16" ht="15" thickBot="1">
      <c r="A6" s="2232"/>
      <c r="B6" s="3073" t="s">
        <v>1917</v>
      </c>
      <c r="C6" s="3073"/>
      <c r="D6" s="48">
        <f>ROUND($D$3*E6/$E$3,2)</f>
        <v>0</v>
      </c>
      <c r="E6" s="49">
        <f>E3-E5</f>
        <v>34044.230000000003</v>
      </c>
      <c r="F6" s="1394"/>
      <c r="G6" s="2233" t="s">
        <v>1918</v>
      </c>
      <c r="H6" s="1401" t="s">
        <v>1919</v>
      </c>
      <c r="I6" s="941" t="e">
        <f>ROUND(F31/D31,2)</f>
        <v>#DIV/0!</v>
      </c>
      <c r="J6" s="1394"/>
      <c r="K6" s="1394"/>
      <c r="L6" s="1394"/>
      <c r="M6" s="1394"/>
      <c r="N6" s="1394"/>
      <c r="O6" s="1394"/>
      <c r="P6" s="1394"/>
    </row>
    <row r="7" spans="1:16" ht="15">
      <c r="A7" s="3065"/>
      <c r="B7" s="3066"/>
      <c r="C7" s="3067"/>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0</v>
      </c>
      <c r="E8" s="51">
        <f>SUMIF('数据-基础表'!BB10:BK10,"地上",'数据-基础表'!BB5:BK5)</f>
        <v>34044.230000000003</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0</v>
      </c>
      <c r="E16" s="53">
        <f>SUM(E8:E15)</f>
        <v>34044.230000000003</v>
      </c>
      <c r="F16" s="1394"/>
      <c r="G16" s="2235"/>
      <c r="H16" s="2238" t="s">
        <v>1941</v>
      </c>
      <c r="I16" s="2239"/>
      <c r="J16" s="1394"/>
      <c r="K16" s="3062" t="s">
        <v>1941</v>
      </c>
      <c r="L16" s="3063"/>
      <c r="M16" s="3063"/>
      <c r="N16" s="3063"/>
      <c r="O16" s="3063"/>
      <c r="P16" s="3064"/>
    </row>
    <row r="17" spans="1:19" ht="15">
      <c r="A17" s="2240" t="s">
        <v>1942</v>
      </c>
      <c r="B17" s="2241" t="s">
        <v>1943</v>
      </c>
      <c r="C17" s="2242" t="s">
        <v>1944</v>
      </c>
      <c r="D17" s="2243" t="s">
        <v>1932</v>
      </c>
      <c r="E17" s="2244" t="s">
        <v>1933</v>
      </c>
      <c r="F17" s="2245"/>
      <c r="G17" s="2246"/>
      <c r="H17" s="2247" t="s">
        <v>1945</v>
      </c>
      <c r="I17" s="2248" t="s">
        <v>1930</v>
      </c>
      <c r="J17" s="1394"/>
      <c r="K17" s="3059" t="s">
        <v>1946</v>
      </c>
      <c r="L17" s="3060"/>
      <c r="M17" s="3061"/>
      <c r="N17" s="3059" t="s">
        <v>1947</v>
      </c>
      <c r="O17" s="3060"/>
      <c r="P17" s="3061"/>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51" t="s">
        <v>4113</v>
      </c>
      <c r="D19" s="48">
        <f>ROUND($D$3*E19/$E$3,2)</f>
        <v>0</v>
      </c>
      <c r="E19" s="56">
        <f t="shared" ref="E19:E26" si="1">SUM(F19:G19)</f>
        <v>101.86</v>
      </c>
      <c r="F19" s="57">
        <f>抵押物清单!E2</f>
        <v>101.86</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101.86</v>
      </c>
    </row>
    <row r="20" spans="1:19">
      <c r="A20" s="2261"/>
      <c r="B20" s="50" t="s">
        <v>1959</v>
      </c>
      <c r="C20" s="2951" t="s">
        <v>4041</v>
      </c>
      <c r="D20" s="48">
        <f t="shared" ref="D20:D26" si="6">ROUND($D$3*E20/$E$3,2)</f>
        <v>0</v>
      </c>
      <c r="E20" s="56">
        <f t="shared" si="1"/>
        <v>33942.369999999995</v>
      </c>
      <c r="F20" s="57">
        <f>面积表!F6-抵押物清单!E2</f>
        <v>33942.369999999995</v>
      </c>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33942.369999999995</v>
      </c>
    </row>
    <row r="21" spans="1:19">
      <c r="A21" s="2261"/>
      <c r="B21" s="50" t="s">
        <v>1959</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1960</v>
      </c>
      <c r="D27" s="1395">
        <f>SUM(D19:D26)</f>
        <v>0</v>
      </c>
      <c r="E27" s="1396">
        <f>IF(SUM(E19:E26)='数据-基础表'!BA5,SUM(E19:E26),IF(F27="地上面积有误","面积有误","地下面积有误"))</f>
        <v>34044.229999999996</v>
      </c>
      <c r="F27" s="1395">
        <f>IF(SUM(F19:F26)=E8,SUM(F19:F26),"地上面积有误")</f>
        <v>34044.229999999996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34044.229999999996</v>
      </c>
    </row>
    <row r="28" spans="1:19">
      <c r="A28" s="2261"/>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1961</v>
      </c>
      <c r="C29" s="2265"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1964</v>
      </c>
      <c r="D31" s="728">
        <f>D27+D30</f>
        <v>0</v>
      </c>
      <c r="E31" s="728">
        <f>E27+E30</f>
        <v>34044.229999999996</v>
      </c>
      <c r="F31" s="729">
        <f>F27+F30</f>
        <v>34044.229999999996</v>
      </c>
      <c r="G31" s="730">
        <f>G27+G30</f>
        <v>0</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B19" sqref="B1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1966</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4" t="s">
        <v>1967</v>
      </c>
      <c r="B2" s="1268">
        <f>项目基本情况!D3</f>
        <v>43307</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1968</v>
      </c>
      <c r="B4" s="2279"/>
      <c r="C4" s="2280"/>
      <c r="D4" s="2281"/>
      <c r="E4" s="2280" t="s">
        <v>1969</v>
      </c>
      <c r="F4" s="2280"/>
      <c r="G4" s="2280"/>
      <c r="H4" s="2280"/>
      <c r="I4" s="2280"/>
      <c r="J4" s="2282"/>
      <c r="K4" s="2283"/>
      <c r="L4" s="2284"/>
      <c r="M4" s="2280"/>
      <c r="N4" s="2280" t="s">
        <v>1970</v>
      </c>
      <c r="O4" s="2280"/>
      <c r="P4" s="2280"/>
      <c r="Q4" s="2280"/>
      <c r="R4" s="2280"/>
      <c r="S4" s="2282"/>
      <c r="T4" s="2285" t="str">
        <f>'数据-汇总表'!I17</f>
        <v>按面积比例</v>
      </c>
      <c r="U4" s="2279" t="s">
        <v>1971</v>
      </c>
      <c r="V4" s="2280"/>
      <c r="W4" s="2280"/>
      <c r="X4" s="2280"/>
      <c r="Y4" s="2282"/>
      <c r="Z4" s="2242" t="s">
        <v>1972</v>
      </c>
      <c r="AA4" s="2242"/>
      <c r="AB4" s="2242"/>
      <c r="AC4" s="2242"/>
      <c r="AD4" s="2242"/>
      <c r="AE4" s="2240" t="s">
        <v>1973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1974</v>
      </c>
      <c r="B5" s="2288" t="s">
        <v>1975</v>
      </c>
      <c r="C5" s="2289" t="s">
        <v>1976</v>
      </c>
      <c r="D5" s="2290" t="s">
        <v>1977</v>
      </c>
      <c r="E5" s="1270" t="s">
        <v>1978</v>
      </c>
      <c r="F5" s="2291" t="s">
        <v>1979</v>
      </c>
      <c r="G5" s="1270" t="s">
        <v>1980</v>
      </c>
      <c r="H5" s="1270" t="s">
        <v>1981</v>
      </c>
      <c r="I5" s="1270" t="s">
        <v>1982</v>
      </c>
      <c r="J5" s="2292" t="s">
        <v>1983</v>
      </c>
      <c r="K5" s="2293" t="s">
        <v>1984</v>
      </c>
      <c r="L5" s="2294" t="s">
        <v>1985</v>
      </c>
      <c r="M5" s="2295" t="s">
        <v>1986</v>
      </c>
      <c r="N5" s="2296" t="s">
        <v>4039</v>
      </c>
      <c r="O5" s="2294" t="s">
        <v>1987</v>
      </c>
      <c r="P5" s="2297" t="s">
        <v>1988</v>
      </c>
      <c r="Q5" s="69" t="s">
        <v>1989</v>
      </c>
      <c r="R5" s="2298" t="s">
        <v>1990</v>
      </c>
      <c r="S5" s="2299" t="s">
        <v>1991</v>
      </c>
      <c r="T5" s="2300" t="s">
        <v>1992</v>
      </c>
      <c r="U5" s="1269" t="s">
        <v>1993</v>
      </c>
      <c r="V5" s="1270" t="s">
        <v>1994</v>
      </c>
      <c r="W5" s="1270" t="s">
        <v>1995</v>
      </c>
      <c r="X5" s="71"/>
      <c r="Y5" s="70" t="s">
        <v>1996</v>
      </c>
      <c r="Z5" s="2301" t="s">
        <v>1993</v>
      </c>
      <c r="AA5" s="1270" t="s">
        <v>1994</v>
      </c>
      <c r="AB5" s="1270" t="s">
        <v>1995</v>
      </c>
      <c r="AC5" s="71"/>
      <c r="AD5" s="71" t="s">
        <v>1996</v>
      </c>
      <c r="AE5" s="1269" t="s">
        <v>1997</v>
      </c>
      <c r="AF5" s="1270" t="s">
        <v>1998</v>
      </c>
      <c r="AG5" s="70" t="s">
        <v>1999</v>
      </c>
      <c r="AH5" s="1269" t="s">
        <v>2000</v>
      </c>
      <c r="AI5" s="2301" t="s">
        <v>2001</v>
      </c>
      <c r="AJ5" s="2301" t="s">
        <v>2002</v>
      </c>
      <c r="AK5" s="1270" t="s">
        <v>2003</v>
      </c>
      <c r="AL5" s="1270" t="s">
        <v>2004</v>
      </c>
      <c r="AM5" s="70" t="s">
        <v>2005</v>
      </c>
      <c r="AN5" s="2302" t="s">
        <v>2006</v>
      </c>
      <c r="AO5" s="2072" t="s">
        <v>2007</v>
      </c>
      <c r="AP5" s="1251"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1-101</v>
      </c>
      <c r="B6" s="2305" t="str">
        <f>IF(A6=0,"","经营性")</f>
        <v>经营性</v>
      </c>
      <c r="C6" s="2306" t="s">
        <v>1377</v>
      </c>
      <c r="D6" s="1053">
        <f>SUMIF(项目基本情况!D$12:I$12,C6,项目基本情况!D$14:I$14)</f>
        <v>50</v>
      </c>
      <c r="E6" s="1050">
        <f>IF(B6="","",SUMIF(项目基本情况!D$12:I$12,C6,项目基本情况!D$13:I$13))</f>
        <v>56782</v>
      </c>
      <c r="F6" s="72">
        <f>SUMIF(项目基本情况!D$12:I$12,C6,项目基本情况!D$15:I$15)</f>
        <v>36.909999999999997</v>
      </c>
      <c r="G6" s="73">
        <f>IF(ISERROR(ROUND(POWER(1+H6,D6-F6)*(POWER(1+H6,F6)-1)/(POWER(1+H6,D6)-1),3)),0,ROUND(POWER(1+H6,D6-F6)*(POWER(1+H6,F6)-1)/(POWER(1+H6,D6)-1),3))</f>
        <v>0.91500000000000004</v>
      </c>
      <c r="H6" s="801">
        <v>0.05</v>
      </c>
      <c r="I6" s="801">
        <v>5.5E-2</v>
      </c>
      <c r="J6" s="74">
        <v>8.5000000000000006E-2</v>
      </c>
      <c r="K6" s="1253">
        <f>SUMIF('数据-汇总表'!C$19:C$33,A6,'数据-汇总表'!E$19:E$33)</f>
        <v>101.86</v>
      </c>
      <c r="L6" s="802">
        <v>2500</v>
      </c>
      <c r="M6" s="75">
        <f t="shared" ref="M6:M14" si="0">ROUND(K6*L6/10000,0)</f>
        <v>25</v>
      </c>
      <c r="N6" s="800">
        <f>ROUND(1-(2018-2016)/60,2)</f>
        <v>0.97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5</v>
      </c>
      <c r="V6" s="79">
        <v>2.5000000000000001E-2</v>
      </c>
      <c r="W6" s="79">
        <v>0.15</v>
      </c>
      <c r="X6" s="1263"/>
      <c r="Y6" s="80">
        <f>N6</f>
        <v>0.97</v>
      </c>
      <c r="Z6" s="81"/>
      <c r="AA6" s="74"/>
      <c r="AB6" s="74"/>
      <c r="AC6" s="1263"/>
      <c r="AD6" s="82"/>
      <c r="AE6" s="1264">
        <f ca="1">IF(AN6="",0,SUMIF(INDIRECT("'"&amp;AN6&amp;"'"&amp;"!E:E"),$AE$5,INDIRECT("'"&amp;AN6&amp;"'"&amp;"!F:F")))</f>
        <v>36.909999999999997</v>
      </c>
      <c r="AF6" s="1805"/>
      <c r="AG6" s="147">
        <f>IF(AF6="",0,AE6-AF6)</f>
        <v>0</v>
      </c>
      <c r="AH6" s="83"/>
      <c r="AI6" s="85">
        <v>365</v>
      </c>
      <c r="AJ6" s="86"/>
      <c r="AK6" s="87">
        <v>0.02</v>
      </c>
      <c r="AL6" s="88">
        <v>2E-3</v>
      </c>
      <c r="AM6" s="89">
        <v>0.02</v>
      </c>
      <c r="AN6" s="2307" t="s">
        <v>4085</v>
      </c>
      <c r="AO6" s="55">
        <f ca="1">SUMIF(INDIRECT("'"&amp;AN6&amp;"'"&amp;"!A:A"),"总价",INDIRECT("'"&amp;AN6&amp;"'"&amp;"!B:B"))</f>
        <v>259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其余商业用房</v>
      </c>
      <c r="B7" s="2305" t="str">
        <f t="shared" ref="B7:B13" si="1">IF(A7=0,"","经营性")</f>
        <v>经营性</v>
      </c>
      <c r="C7" s="2306" t="s">
        <v>1377</v>
      </c>
      <c r="D7" s="1053">
        <f>SUMIF(项目基本情况!D$12:I$12,C7,项目基本情况!D$14:I$14)</f>
        <v>50</v>
      </c>
      <c r="E7" s="1050">
        <f>IF(B7="","",SUMIF(项目基本情况!D$12:I$12,C7,项目基本情况!D$13:I$13))</f>
        <v>56782</v>
      </c>
      <c r="F7" s="72">
        <f>SUMIF(项目基本情况!D$12:I$12,C7,项目基本情况!D$15:I$15)</f>
        <v>36.909999999999997</v>
      </c>
      <c r="G7" s="73">
        <f t="shared" ref="G7:G11" si="2">IF(ISERROR(ROUND(POWER(1+H7,D7-F7)*(POWER(1+H7,F7)-1)/(POWER(1+H7,D7)-1),3)),0,ROUND(POWER(1+H7,D7-F7)*(POWER(1+H7,F7)-1)/(POWER(1+H7,D7)-1),3))</f>
        <v>0.91500000000000004</v>
      </c>
      <c r="H7" s="801">
        <f>H6</f>
        <v>0.05</v>
      </c>
      <c r="I7" s="801">
        <f>I6</f>
        <v>5.5E-2</v>
      </c>
      <c r="J7" s="74">
        <v>8.5000000000000006E-2</v>
      </c>
      <c r="K7" s="1253">
        <f>SUMIF('数据-汇总表'!C$19:C$33,A7,'数据-汇总表'!E$19:E$33)</f>
        <v>33942.369999999995</v>
      </c>
      <c r="L7" s="802">
        <f>L6</f>
        <v>2500</v>
      </c>
      <c r="M7" s="75">
        <f t="shared" si="0"/>
        <v>8486</v>
      </c>
      <c r="N7" s="800">
        <f>N6</f>
        <v>0.97</v>
      </c>
      <c r="O7" s="75" t="str">
        <f t="shared" ref="O7:O14" si="3">IF($N$5="成新度","——",ROUND(M7*N7,0))</f>
        <v>——</v>
      </c>
      <c r="P7" s="76" t="str">
        <f t="shared" ref="P7:P14" si="4">IF($N$5="成新度","——",M7-O7)</f>
        <v>——</v>
      </c>
      <c r="Q7" s="803">
        <f>Q6</f>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2011</v>
      </c>
      <c r="B14" s="2305" t="s">
        <v>2012</v>
      </c>
      <c r="C14" s="2310"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2013</v>
      </c>
      <c r="B15" s="2305" t="s">
        <v>2012</v>
      </c>
      <c r="C15" s="2310"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2015</v>
      </c>
      <c r="B16" s="97"/>
      <c r="C16" s="1007"/>
      <c r="D16" s="2312"/>
      <c r="E16" s="97"/>
      <c r="F16" s="97"/>
      <c r="G16" s="98">
        <f>ROUND(SUMPRODUCT(G6:G13,K6:K13)/SUMPRODUCT((G6:G13&gt;0)*(K6:K13)),3)</f>
        <v>0.91500000000000004</v>
      </c>
      <c r="H16" s="99">
        <f>ROUND(SUMPRODUCT(H6:H13,K6:K13)/SUMPRODUCT((H6:H13&gt;0)*(K6:K13)),3)</f>
        <v>0.05</v>
      </c>
      <c r="I16" s="100"/>
      <c r="J16" s="100"/>
      <c r="K16" s="101">
        <f>SUM(K6:K15)</f>
        <v>34044.229999999996</v>
      </c>
      <c r="L16" s="102">
        <f>ROUND(M16*10000/SUM(K6:K14),0)</f>
        <v>2500</v>
      </c>
      <c r="M16" s="102">
        <f>SUM(M6:M14)</f>
        <v>8511</v>
      </c>
      <c r="N16" s="103">
        <f>ROUND(SUMPRODUCT(M6:M14,N6:N14)/M16,3)</f>
        <v>0.97</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2017</v>
      </c>
      <c r="B19" s="112">
        <v>0</v>
      </c>
      <c r="C19" s="2275" t="s">
        <v>2018</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2019</v>
      </c>
      <c r="B20" s="113">
        <v>2</v>
      </c>
      <c r="C20" s="2275" t="s">
        <v>2020</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2021</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2022</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2023</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2024</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2025</v>
      </c>
      <c r="B26" s="2318" t="s">
        <v>2026</v>
      </c>
      <c r="C26" s="2319" t="s">
        <v>2027</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2028</v>
      </c>
      <c r="B27" s="116"/>
      <c r="C27" s="1765" t="s">
        <v>2029</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2030</v>
      </c>
      <c r="B28" s="119">
        <f>L6*0.08</f>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2031</v>
      </c>
      <c r="B29" s="121"/>
      <c r="C29" s="1765" t="s">
        <v>2032</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2033</v>
      </c>
      <c r="B30" s="723">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2034</v>
      </c>
      <c r="B31" s="120">
        <f>B30-B32</f>
        <v>200</v>
      </c>
      <c r="C31" s="1765"/>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2035</v>
      </c>
      <c r="B32" s="724">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2036</v>
      </c>
      <c r="B33" s="725">
        <v>0.03</v>
      </c>
      <c r="C33" s="1764" t="s">
        <v>2037</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2038</v>
      </c>
      <c r="B34" s="122">
        <v>0</v>
      </c>
      <c r="C34" s="1764" t="s">
        <v>2039</v>
      </c>
      <c r="D34" s="2276" t="s">
        <v>2040</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2041</v>
      </c>
      <c r="B35" s="119">
        <v>200</v>
      </c>
      <c r="C35" s="1764" t="s">
        <v>2042</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2043</v>
      </c>
      <c r="B36" s="123">
        <v>1.4999999999999999E-2</v>
      </c>
      <c r="C36" s="1764" t="s">
        <v>2044</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2045</v>
      </c>
      <c r="B37" s="124">
        <v>0.02</v>
      </c>
      <c r="C37" s="1764" t="s">
        <v>2046</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2047</v>
      </c>
      <c r="B38" s="122">
        <v>0.02</v>
      </c>
      <c r="C38" s="1764" t="s">
        <v>2046</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2048</v>
      </c>
      <c r="B39" s="362">
        <f ca="1">存贷款利率!I1</f>
        <v>1.4999999999999999E-2</v>
      </c>
      <c r="C39" s="1764"/>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2049</v>
      </c>
      <c r="B40" s="1302">
        <f ca="1">存贷款利率!G1</f>
        <v>4.7500000000000001E-2</v>
      </c>
      <c r="C40" s="1764" t="s">
        <v>2050</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2051</v>
      </c>
      <c r="B41" s="125">
        <f>B42+B43</f>
        <v>5.6000000000000001E-2</v>
      </c>
      <c r="C41" s="1765"/>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2052</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2053</v>
      </c>
      <c r="B43" s="127">
        <f>B42*(B44+B45+B46)+B47</f>
        <v>6.000000000000001E-3</v>
      </c>
      <c r="C43" s="1765"/>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2054</v>
      </c>
      <c r="B44" s="128">
        <v>7.0000000000000007E-2</v>
      </c>
      <c r="C44" s="1764" t="s">
        <v>2055</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2056</v>
      </c>
      <c r="B45" s="126">
        <v>0.03</v>
      </c>
      <c r="C45" s="1765" t="s">
        <v>2057</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2058</v>
      </c>
      <c r="B46" s="126">
        <v>0.02</v>
      </c>
      <c r="C46" s="1765" t="s">
        <v>2059</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2060</v>
      </c>
      <c r="B47" s="129">
        <v>0</v>
      </c>
      <c r="C47" s="1765" t="s">
        <v>2061</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2062</v>
      </c>
      <c r="B48" s="130">
        <v>0.04</v>
      </c>
      <c r="C48" s="1772" t="s">
        <v>2063</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2064</v>
      </c>
      <c r="B49" s="126">
        <v>5.0000000000000001E-4</v>
      </c>
      <c r="C49" s="1772" t="s">
        <v>2065</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2066</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2067</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2068</v>
      </c>
      <c r="B52" s="133">
        <f>SUMIF(A54:A63,B53,B54:B63)</f>
        <v>10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2069</v>
      </c>
      <c r="B53" s="2334" t="s">
        <v>212</v>
      </c>
      <c r="C53" s="1429" t="s">
        <v>2070</v>
      </c>
      <c r="D53" s="2335" t="s">
        <v>2071</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2072</v>
      </c>
      <c r="B54" s="84">
        <v>10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2073</v>
      </c>
      <c r="B55" s="84">
        <v>6</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2074</v>
      </c>
      <c r="B56" s="84">
        <v>3</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2075</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2076</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2077</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2078</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2079</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2080</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2081</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4" t="s">
        <v>2082</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2083</v>
      </c>
      <c r="D2" s="2364"/>
      <c r="E2" s="2365"/>
      <c r="F2" s="2284"/>
      <c r="G2" s="2363" t="s">
        <v>2084</v>
      </c>
      <c r="H2" s="2366"/>
      <c r="I2" s="2366"/>
      <c r="J2" s="2366"/>
      <c r="K2" s="2366"/>
      <c r="L2" s="2366"/>
      <c r="M2" s="2366"/>
      <c r="N2" s="2366"/>
      <c r="O2" s="2366"/>
      <c r="P2" s="2366"/>
      <c r="Q2" s="2366"/>
      <c r="R2" s="2366"/>
    </row>
    <row r="3" spans="1:29" ht="54">
      <c r="A3" s="415" t="s">
        <v>2085</v>
      </c>
      <c r="B3" s="1270" t="s">
        <v>2086</v>
      </c>
      <c r="C3" s="2368" t="s">
        <v>2087</v>
      </c>
      <c r="D3" s="2369"/>
      <c r="E3" s="431" t="s">
        <v>2085</v>
      </c>
      <c r="F3" s="2370" t="s">
        <v>2088</v>
      </c>
      <c r="G3" s="2371" t="s">
        <v>2089</v>
      </c>
      <c r="H3" s="2366"/>
      <c r="I3" s="2366"/>
      <c r="J3" s="2366"/>
      <c r="K3" s="2366"/>
      <c r="L3" s="2366"/>
      <c r="M3" s="2366"/>
      <c r="N3" s="2366"/>
      <c r="O3" s="2366"/>
      <c r="P3" s="2366"/>
      <c r="Q3" s="2366"/>
      <c r="R3" s="2366"/>
    </row>
    <row r="4" spans="1:29" ht="40.5">
      <c r="A4" s="431"/>
      <c r="B4" s="1796" t="s">
        <v>2090</v>
      </c>
      <c r="C4" s="2953" t="s">
        <v>4046</v>
      </c>
      <c r="D4" s="2369"/>
      <c r="E4" s="2373"/>
      <c r="F4" s="42" t="s">
        <v>2091</v>
      </c>
      <c r="G4" s="2374" t="s">
        <v>2092</v>
      </c>
      <c r="H4" s="2366"/>
      <c r="I4" s="2366"/>
      <c r="J4" s="2366"/>
      <c r="K4" s="2366"/>
      <c r="L4" s="2366"/>
      <c r="M4" s="2366"/>
      <c r="N4" s="2366"/>
      <c r="O4" s="2366"/>
      <c r="P4" s="2366"/>
      <c r="Q4" s="2366"/>
      <c r="R4" s="2366"/>
    </row>
    <row r="5" spans="1:29" ht="41.25">
      <c r="A5" s="431"/>
      <c r="B5" s="1796" t="s">
        <v>2093</v>
      </c>
      <c r="C5" s="2372" t="s">
        <v>2094</v>
      </c>
      <c r="D5" s="2369"/>
      <c r="E5" s="2373"/>
      <c r="F5" s="1796" t="s">
        <v>2095</v>
      </c>
      <c r="G5" s="2374" t="s">
        <v>2096</v>
      </c>
      <c r="H5" s="2366"/>
      <c r="I5" s="2366"/>
      <c r="J5" s="2366"/>
      <c r="K5" s="2366"/>
      <c r="L5" s="2366"/>
      <c r="M5" s="2366"/>
      <c r="N5" s="2366"/>
      <c r="O5" s="2366"/>
      <c r="P5" s="2366"/>
      <c r="Q5" s="2366"/>
      <c r="R5" s="2366"/>
    </row>
    <row r="6" spans="1:29" ht="54">
      <c r="A6" s="431"/>
      <c r="B6" s="1796" t="s">
        <v>2097</v>
      </c>
      <c r="C6" s="2954" t="s">
        <v>4050</v>
      </c>
      <c r="D6" s="2369"/>
      <c r="E6" s="2373"/>
      <c r="F6" s="1796" t="s">
        <v>2098</v>
      </c>
      <c r="G6" s="2374" t="s">
        <v>2099</v>
      </c>
      <c r="H6" s="2366"/>
      <c r="I6" s="2366"/>
      <c r="J6" s="2366"/>
      <c r="K6" s="2366"/>
      <c r="L6" s="2366"/>
      <c r="M6" s="2366"/>
      <c r="N6" s="2366"/>
      <c r="O6" s="2366"/>
      <c r="P6" s="2366"/>
      <c r="Q6" s="2366"/>
      <c r="R6" s="2366"/>
    </row>
    <row r="7" spans="1:29" ht="41.25" thickBot="1">
      <c r="A7" s="431"/>
      <c r="B7" s="1796"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6" t="s">
        <v>2098</v>
      </c>
      <c r="C8" s="2374" t="s">
        <v>2099</v>
      </c>
      <c r="D8" s="2375"/>
      <c r="E8" s="2375"/>
      <c r="F8" s="1135"/>
      <c r="G8" s="1135"/>
      <c r="H8" s="2366"/>
      <c r="I8" s="2366"/>
      <c r="J8" s="2366"/>
      <c r="K8" s="2366"/>
      <c r="L8" s="2366"/>
      <c r="M8" s="2366"/>
      <c r="N8" s="2366"/>
      <c r="O8" s="2366"/>
      <c r="P8" s="2366"/>
      <c r="Q8" s="2366"/>
      <c r="R8" s="2366"/>
    </row>
    <row r="9" spans="1:29" ht="27">
      <c r="A9" s="431"/>
      <c r="B9" s="1796" t="s">
        <v>2102</v>
      </c>
      <c r="C9" s="2372" t="s">
        <v>2103</v>
      </c>
      <c r="D9" s="2369"/>
      <c r="E9" s="2375"/>
      <c r="F9" s="1135"/>
      <c r="G9" s="1135"/>
      <c r="H9" s="2366"/>
      <c r="I9" s="2366"/>
      <c r="J9" s="2366"/>
      <c r="K9" s="2366"/>
      <c r="L9" s="2366"/>
      <c r="M9" s="2366"/>
      <c r="N9" s="2366"/>
      <c r="O9" s="2366"/>
      <c r="P9" s="2366"/>
      <c r="Q9" s="2366"/>
      <c r="R9" s="2366"/>
    </row>
    <row r="10" spans="1:29" s="117" customFormat="1" ht="15.75" thickBot="1">
      <c r="A10" s="2379"/>
      <c r="B10" s="2380" t="s">
        <v>2104</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9" t="s">
        <v>2086</v>
      </c>
      <c r="C15" s="2401" t="str">
        <f>C3</f>
        <v>估价对象周边居住用地比例、居住小区规模和社区发展完善程度，综合评价居住社区成熟度一般</v>
      </c>
      <c r="D15" s="2369"/>
      <c r="E15" s="2402" t="s">
        <v>2109</v>
      </c>
      <c r="F15" s="1269" t="s">
        <v>2110</v>
      </c>
      <c r="G15" s="135" t="str">
        <f>G3</f>
        <v>估价对象位于XX开发区，园区建设成熟度XX，产业集聚程度XX</v>
      </c>
    </row>
    <row r="16" spans="1:29" ht="42.75">
      <c r="A16" s="644"/>
      <c r="B16" s="2403" t="s">
        <v>2090</v>
      </c>
      <c r="C16" s="2404" t="str">
        <f>C4</f>
        <v>估价对象位于浉河区，周边商业氛围较好，人流量较大，商业繁华度较好</v>
      </c>
      <c r="D16" s="2369"/>
      <c r="E16" s="2405"/>
      <c r="F16" s="2406" t="s">
        <v>2091</v>
      </c>
      <c r="G16" s="136"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71"/>
    </row>
    <row r="18" spans="1:18" ht="57">
      <c r="A18" s="644"/>
      <c r="B18" s="2406" t="s">
        <v>2097</v>
      </c>
      <c r="C18" s="136" t="str">
        <f>C6</f>
        <v>估价对象周边道路状况一般、公共交通通达情况一般、停车便捷程度一般，综合评价交通便捷度一般。</v>
      </c>
      <c r="D18" s="2375"/>
      <c r="E18" s="2405"/>
      <c r="F18" s="2406" t="s">
        <v>2100</v>
      </c>
      <c r="G18" s="136" t="str">
        <f>G7</f>
        <v>该园区内是否有污染型企业，绿化情况，卫生条件，整体环境状况判断</v>
      </c>
    </row>
    <row r="19" spans="1:18" ht="28.5">
      <c r="A19" s="644"/>
      <c r="B19" s="2406" t="s">
        <v>2112</v>
      </c>
      <c r="C19" s="1571"/>
      <c r="D19" s="2369"/>
      <c r="E19" s="2405"/>
      <c r="F19" s="1796" t="s">
        <v>2095</v>
      </c>
      <c r="G19" s="136" t="str">
        <f>G5</f>
        <v>估价对象所在区域公共配套设施齐备情况</v>
      </c>
    </row>
    <row r="20" spans="1:18" ht="28.5">
      <c r="A20" s="644"/>
      <c r="B20" s="2406" t="s">
        <v>2113</v>
      </c>
      <c r="C20" s="2404" t="str">
        <f>C9</f>
        <v>区域自然环境：；人文环境；综合评价环境状况一般</v>
      </c>
      <c r="D20" s="2375"/>
      <c r="E20" s="2405"/>
      <c r="F20" s="1796" t="s">
        <v>2114</v>
      </c>
      <c r="G20" s="136" t="str">
        <f>G6</f>
        <v>估价对象所在区域基础设施水平</v>
      </c>
    </row>
    <row r="21" spans="1:18" ht="28.5">
      <c r="A21" s="644"/>
      <c r="B21" s="1796" t="s">
        <v>2095</v>
      </c>
      <c r="C21" s="136" t="str">
        <f>C7</f>
        <v>估价对象所在区域公共配套设施齐备情况</v>
      </c>
      <c r="D21" s="2369"/>
      <c r="E21" s="2405"/>
      <c r="F21" s="2406" t="s">
        <v>2115</v>
      </c>
      <c r="G21" s="2407"/>
    </row>
    <row r="22" spans="1:18" ht="13.5" customHeight="1">
      <c r="A22" s="644"/>
      <c r="B22" s="1796" t="s">
        <v>2098</v>
      </c>
      <c r="C22" s="136" t="str">
        <f>C8</f>
        <v>估价对象所在区域基础设施水平</v>
      </c>
      <c r="D22" s="2369"/>
      <c r="E22" s="2405"/>
      <c r="F22" s="2406" t="s">
        <v>2104</v>
      </c>
      <c r="G22" s="1571"/>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8" sqref="E8"/>
    </sheetView>
  </sheetViews>
  <sheetFormatPr defaultRowHeight="13.5"/>
  <cols>
    <col min="1" max="1" width="23.375" style="1739" customWidth="1"/>
    <col min="2" max="9" width="15.75" style="1739" customWidth="1"/>
    <col min="10" max="16384" width="9" style="1739"/>
  </cols>
  <sheetData>
    <row r="1" spans="1:10" ht="16.5">
      <c r="A1" s="1744" t="s">
        <v>1365</v>
      </c>
      <c r="B1" s="1744">
        <f>SUM(B14:B23)</f>
        <v>44058.229999999996</v>
      </c>
      <c r="C1" s="1743"/>
      <c r="D1" s="1743"/>
      <c r="E1" s="1743"/>
      <c r="F1" s="1743"/>
      <c r="G1" s="1741"/>
    </row>
    <row r="2" spans="1:10" ht="16.5">
      <c r="A2" s="1744" t="s">
        <v>1353</v>
      </c>
      <c r="B2" s="1744">
        <f>SUM(C14:C23)</f>
        <v>4105.6099999999997</v>
      </c>
      <c r="C2" s="1743"/>
      <c r="D2" s="1743"/>
      <c r="E2" s="1743"/>
      <c r="F2" s="1743"/>
      <c r="G2" s="1741"/>
    </row>
    <row r="3" spans="1:10" ht="16.5">
      <c r="A3" s="1744" t="s">
        <v>1362</v>
      </c>
      <c r="B3" s="1745">
        <f>项目基本情况!D3</f>
        <v>43307</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57508</v>
      </c>
      <c r="C5" s="1744">
        <f ca="1">ROUND(B5*10000/$B$1,0)</f>
        <v>13053</v>
      </c>
      <c r="D5" s="1744">
        <f ca="1">ROUND(B5*10000/$B$2,0)</f>
        <v>140072</v>
      </c>
      <c r="E5" s="1743"/>
      <c r="F5" s="1741"/>
      <c r="G5" s="1741"/>
    </row>
    <row r="6" spans="1:10" ht="16.5">
      <c r="A6" s="1744" t="s">
        <v>1356</v>
      </c>
      <c r="B6" s="1744">
        <f ca="1">SUM(G14:G23)</f>
        <v>57508</v>
      </c>
      <c r="C6" s="1744">
        <f ca="1">ROUND(B6*10000/$B$1,0)</f>
        <v>13053</v>
      </c>
      <c r="D6" s="1744">
        <f ca="1">ROUND(B6*10000/$B$2,0)</f>
        <v>140072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101.86</v>
      </c>
      <c r="C14" s="1742">
        <f>结果表!C118</f>
        <v>0</v>
      </c>
      <c r="D14" s="1742">
        <f ca="1">结果表!H118</f>
        <v>261</v>
      </c>
      <c r="E14" s="1742">
        <f ca="1">ROUND(D14*10000/B14,0)</f>
        <v>25623</v>
      </c>
      <c r="F14" s="1742" t="e">
        <f ca="1">ROUND(D14*10000/C14,0)</f>
        <v>#DIV/0!</v>
      </c>
      <c r="G14" s="1742">
        <f ca="1">结果表!D122</f>
        <v>261</v>
      </c>
      <c r="H14" s="1742" t="str">
        <f>结果表!D124</f>
        <v>——</v>
      </c>
      <c r="I14" s="1742" t="str">
        <f>结果表!D126</f>
        <v>——</v>
      </c>
      <c r="J14" s="1741"/>
    </row>
    <row r="15" spans="1:10" ht="16.5">
      <c r="A15" s="1740" t="s">
        <v>1349</v>
      </c>
      <c r="B15" s="1747">
        <f>'数据-汇总表'!F20</f>
        <v>33942.369999999995</v>
      </c>
      <c r="C15" s="1747"/>
      <c r="D15" s="1747">
        <f ca="1">典型户型修正!B20-典型户型修正!S24</f>
        <v>53809</v>
      </c>
      <c r="E15" s="1742">
        <f t="shared" ref="E15:E23" ca="1" si="0">ROUND(D15*10000/B15,0)</f>
        <v>15853</v>
      </c>
      <c r="F15" s="1742" t="e">
        <f t="shared" ref="F15:F23" ca="1" si="1">ROUND(D15*10000/C15,0)</f>
        <v>#DIV/0!</v>
      </c>
      <c r="G15" s="1748">
        <f ca="1">D15</f>
        <v>53809</v>
      </c>
      <c r="H15" s="1748"/>
      <c r="I15" s="1747"/>
      <c r="J15" s="1741"/>
    </row>
    <row r="16" spans="1:10" ht="16.5">
      <c r="A16" s="1740" t="s">
        <v>1348</v>
      </c>
      <c r="B16" s="1747">
        <f>[1]项目基本情况!$C$21</f>
        <v>10014</v>
      </c>
      <c r="C16" s="1747">
        <f>[1]项目基本情况!$C$22</f>
        <v>4105.6099999999997</v>
      </c>
      <c r="D16" s="1747">
        <f ca="1">[1]结果表!$G$19</f>
        <v>3438</v>
      </c>
      <c r="E16" s="1742">
        <f t="shared" ca="1" si="0"/>
        <v>3433</v>
      </c>
      <c r="F16" s="1742">
        <f t="shared" ca="1" si="1"/>
        <v>8374</v>
      </c>
      <c r="G16" s="1748">
        <f ca="1">D16</f>
        <v>3438</v>
      </c>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4" sqref="J24"/>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t="s">
        <v>4112</v>
      </c>
      <c r="D1" s="2417"/>
      <c r="E1" s="2417"/>
      <c r="F1" s="2419" t="s">
        <v>2119</v>
      </c>
      <c r="G1" s="2069" t="s">
        <v>3057</v>
      </c>
      <c r="H1" s="2420" t="str">
        <f>IF(G1="现房","——","估价对象范围")</f>
        <v>——</v>
      </c>
      <c r="I1" s="2421" t="s">
        <v>70</v>
      </c>
    </row>
    <row r="2" spans="1:12" ht="21.75" customHeight="1" thickBot="1">
      <c r="A2" s="3109" t="str">
        <f>项目基本情况!S2</f>
        <v>河南省信阳市浉河区车站街道办事处工区路135号富丽华城市花园南虹广场1、2、3号商业楼房地产</v>
      </c>
      <c r="B2" s="3110"/>
      <c r="C2" s="3110"/>
      <c r="D2" s="3110"/>
      <c r="E2" s="3110"/>
      <c r="F2" s="3110"/>
      <c r="G2" s="3110"/>
      <c r="H2" s="3110"/>
      <c r="I2" s="3111"/>
    </row>
    <row r="3" spans="1:12" ht="12.75">
      <c r="A3" s="3113" t="s">
        <v>2120</v>
      </c>
      <c r="B3" s="3114"/>
      <c r="C3" s="3114"/>
      <c r="D3" s="3114"/>
      <c r="E3" s="3114"/>
      <c r="F3" s="3114"/>
      <c r="G3" s="3114"/>
      <c r="H3" s="3114"/>
      <c r="I3" s="3114"/>
    </row>
    <row r="4" spans="1:12" ht="14.25">
      <c r="A4" s="2424" t="s">
        <v>2121</v>
      </c>
      <c r="B4" s="2425" t="s">
        <v>2122</v>
      </c>
      <c r="C4" s="2426" t="s">
        <v>4089</v>
      </c>
      <c r="D4" s="2426" t="s">
        <v>4085</v>
      </c>
      <c r="E4" s="3106" t="s">
        <v>2123</v>
      </c>
      <c r="F4" s="3107"/>
      <c r="G4" s="3107"/>
      <c r="H4" s="3107"/>
      <c r="I4" s="311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9" t="s">
        <v>2124</v>
      </c>
      <c r="B5" s="3027">
        <v>25</v>
      </c>
      <c r="C5" s="3092"/>
      <c r="D5" s="3112"/>
      <c r="E5" s="140" t="s">
        <v>2125</v>
      </c>
      <c r="F5" s="2428"/>
      <c r="G5" s="2428"/>
      <c r="H5" s="2428"/>
      <c r="I5" s="1832"/>
    </row>
    <row r="6" spans="1:12" ht="12.75">
      <c r="A6" s="3089"/>
      <c r="B6" s="3027"/>
      <c r="C6" s="3093"/>
      <c r="D6" s="3112"/>
      <c r="E6" s="140" t="s">
        <v>2126</v>
      </c>
      <c r="F6" s="2428"/>
      <c r="G6" s="2428"/>
      <c r="H6" s="2428"/>
      <c r="I6" s="1832"/>
    </row>
    <row r="7" spans="1:12" ht="12.75">
      <c r="A7" s="3089"/>
      <c r="B7" s="3027"/>
      <c r="C7" s="3094"/>
      <c r="D7" s="3112"/>
      <c r="E7" s="140" t="s">
        <v>2127</v>
      </c>
      <c r="F7" s="2428"/>
      <c r="G7" s="2428"/>
      <c r="H7" s="2428"/>
      <c r="I7" s="1832"/>
    </row>
    <row r="8" spans="1:12" ht="12.75">
      <c r="A8" s="3089" t="s">
        <v>2128</v>
      </c>
      <c r="B8" s="3027">
        <v>15</v>
      </c>
      <c r="C8" s="3092"/>
      <c r="D8" s="3112"/>
      <c r="E8" s="140" t="s">
        <v>2129</v>
      </c>
      <c r="F8" s="2428"/>
      <c r="G8" s="2428"/>
      <c r="H8" s="2428"/>
      <c r="I8" s="1832"/>
    </row>
    <row r="9" spans="1:12" ht="12.75">
      <c r="A9" s="3089"/>
      <c r="B9" s="3027"/>
      <c r="C9" s="3094"/>
      <c r="D9" s="3112"/>
      <c r="E9" s="140" t="s">
        <v>2130</v>
      </c>
      <c r="F9" s="2428"/>
      <c r="G9" s="2428"/>
      <c r="H9" s="2428"/>
      <c r="I9" s="1832"/>
    </row>
    <row r="10" spans="1:12" ht="12.75">
      <c r="A10" s="3089" t="s">
        <v>2131</v>
      </c>
      <c r="B10" s="3027">
        <v>15</v>
      </c>
      <c r="C10" s="3092"/>
      <c r="D10" s="3112"/>
      <c r="E10" s="140" t="s">
        <v>2132</v>
      </c>
      <c r="F10" s="2428"/>
      <c r="G10" s="2428"/>
      <c r="H10" s="2428"/>
      <c r="I10" s="1832"/>
    </row>
    <row r="11" spans="1:12" ht="12.75">
      <c r="A11" s="3089"/>
      <c r="B11" s="3027"/>
      <c r="C11" s="3094"/>
      <c r="D11" s="3112"/>
      <c r="E11" s="140" t="s">
        <v>2133</v>
      </c>
      <c r="F11" s="2428"/>
      <c r="G11" s="2428"/>
      <c r="H11" s="2428"/>
      <c r="I11" s="1832"/>
    </row>
    <row r="12" spans="1:12" ht="12.75">
      <c r="A12" s="3089" t="s">
        <v>2134</v>
      </c>
      <c r="B12" s="3027">
        <v>15</v>
      </c>
      <c r="C12" s="3092"/>
      <c r="D12" s="3112"/>
      <c r="E12" s="140" t="s">
        <v>2135</v>
      </c>
      <c r="F12" s="2428"/>
      <c r="G12" s="2428"/>
      <c r="H12" s="2428"/>
      <c r="I12" s="1832"/>
    </row>
    <row r="13" spans="1:12" ht="12.75">
      <c r="A13" s="3089"/>
      <c r="B13" s="3027"/>
      <c r="C13" s="3094"/>
      <c r="D13" s="3112"/>
      <c r="E13" s="140" t="s">
        <v>2136</v>
      </c>
      <c r="F13" s="2428"/>
      <c r="G13" s="2428"/>
      <c r="H13" s="2428"/>
      <c r="I13" s="1832"/>
    </row>
    <row r="14" spans="1:12" ht="12.75">
      <c r="A14" s="3089" t="s">
        <v>2137</v>
      </c>
      <c r="B14" s="3027">
        <v>30</v>
      </c>
      <c r="C14" s="3092">
        <v>5</v>
      </c>
      <c r="D14" s="3112">
        <v>5</v>
      </c>
      <c r="E14" s="140" t="s">
        <v>2138</v>
      </c>
      <c r="F14" s="2428"/>
      <c r="G14" s="2428"/>
      <c r="H14" s="2428"/>
      <c r="I14" s="1832"/>
    </row>
    <row r="15" spans="1:12" ht="12.75">
      <c r="A15" s="3089"/>
      <c r="B15" s="3027"/>
      <c r="C15" s="3093"/>
      <c r="D15" s="3112"/>
      <c r="E15" s="140" t="s">
        <v>2139</v>
      </c>
      <c r="F15" s="2428"/>
      <c r="G15" s="2428"/>
      <c r="H15" s="2428"/>
      <c r="I15" s="1832"/>
    </row>
    <row r="16" spans="1:12" ht="12.75">
      <c r="A16" s="3089"/>
      <c r="B16" s="3027"/>
      <c r="C16" s="3094"/>
      <c r="D16" s="3112"/>
      <c r="E16" s="140" t="s">
        <v>2140</v>
      </c>
      <c r="F16" s="2428"/>
      <c r="G16" s="2428"/>
      <c r="H16" s="2428"/>
      <c r="I16" s="1832"/>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101.86</v>
      </c>
      <c r="M18" s="2427">
        <f>IF(C1="",'数据-汇总表'!E3,SUMIF(项目类型,C1,'数据-汇总表'!E17:E26))</f>
        <v>101.86</v>
      </c>
    </row>
    <row r="19" spans="1:35" ht="15">
      <c r="A19" s="2433" t="s">
        <v>2146</v>
      </c>
      <c r="B19" s="2434" t="s">
        <v>2147</v>
      </c>
      <c r="C19" s="143">
        <f ca="1">SUMIF(INDIRECT("'"&amp;C4&amp;"'"&amp;"!A:A"),结果表!B19,INDIRECT("'"&amp;C4&amp;"'"&amp;"!B:B"))</f>
        <v>263</v>
      </c>
      <c r="D19" s="144">
        <f ca="1">SUMIF(INDIRECT("'"&amp;D4&amp;"'"&amp;"!A:A"),结果表!B19,INDIRECT("'"&amp;D4&amp;"'"&amp;"!B:B"))</f>
        <v>259</v>
      </c>
      <c r="E19" s="2433" t="s">
        <v>2148</v>
      </c>
      <c r="F19" s="2434" t="s">
        <v>2147</v>
      </c>
      <c r="G19" s="145">
        <f ca="1">ROUND(C19*$C$18+D19*$D$18,0)</f>
        <v>261</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9" t="s">
        <v>2151</v>
      </c>
      <c r="C20" s="146">
        <f ca="1">SUMIF(INDIRECT("'"&amp;C4&amp;"'"&amp;"!A:A"),结果表!B20,INDIRECT("'"&amp;C4&amp;"'"&amp;"!B:B"))</f>
        <v>25774</v>
      </c>
      <c r="D20" s="147">
        <f ca="1">SUMIF(INDIRECT("'"&amp;D4&amp;"'"&amp;"!A:A"),结果表!B20,INDIRECT("'"&amp;D4&amp;"'"&amp;"!B:B"))</f>
        <v>25426</v>
      </c>
      <c r="E20" s="2436"/>
      <c r="F20" s="1249" t="s">
        <v>2151</v>
      </c>
      <c r="G20" s="148">
        <f ca="1">ROUND(C20*$C$18+D20*$D$18,0)</f>
        <v>25600</v>
      </c>
      <c r="H20" s="982" t="s">
        <v>2152</v>
      </c>
      <c r="I20" s="138"/>
    </row>
    <row r="21" spans="1:35" ht="15" customHeight="1" thickBot="1">
      <c r="A21" s="1002"/>
      <c r="B21" s="2437" t="s">
        <v>2153</v>
      </c>
      <c r="C21" s="788" t="e">
        <f ca="1">ROUND(C19*10000/L19,0)</f>
        <v>#DIV/0!</v>
      </c>
      <c r="D21" s="789" t="e">
        <f ca="1">ROUND(D19*10000/L19,0)</f>
        <v>#DIV/0!</v>
      </c>
      <c r="E21" s="1002"/>
      <c r="F21" s="2437" t="s">
        <v>2153</v>
      </c>
      <c r="G21" s="149" t="e">
        <f ca="1">ROUND(G19*10000/L19,0)</f>
        <v>#DIV/0!</v>
      </c>
      <c r="H21" s="2438" t="s">
        <v>2152</v>
      </c>
      <c r="I21" s="138"/>
    </row>
    <row r="22" spans="1:35" ht="15" thickBot="1">
      <c r="A22" s="2279" t="s">
        <v>2154</v>
      </c>
      <c r="B22" s="2439"/>
      <c r="C22" s="2440"/>
      <c r="D22" s="790">
        <f ca="1">IF(C19&lt;D19,D19/C19-1,C19/D19-1)</f>
        <v>1.5444015444015413E-2</v>
      </c>
      <c r="E22" s="138"/>
      <c r="F22" s="138"/>
      <c r="G22" s="138"/>
      <c r="H22" s="138"/>
      <c r="I22" s="138"/>
    </row>
    <row r="23" spans="1:35" ht="13.5" thickBot="1">
      <c r="A23" s="2417"/>
      <c r="B23" s="2417"/>
      <c r="C23" s="2417"/>
      <c r="D23" s="2417"/>
      <c r="E23" s="138"/>
      <c r="F23" s="138"/>
      <c r="G23" s="138"/>
      <c r="H23" s="138"/>
      <c r="I23" s="138"/>
    </row>
    <row r="24" spans="1:35" ht="14.25">
      <c r="A24" s="3083" t="s">
        <v>2155</v>
      </c>
      <c r="B24" s="2434" t="s">
        <v>2147</v>
      </c>
      <c r="C24" s="145">
        <f>IF(B30=0,0,D30)</f>
        <v>0</v>
      </c>
      <c r="D24" s="2441"/>
      <c r="E24" s="138"/>
      <c r="F24" s="138"/>
      <c r="G24" s="138"/>
      <c r="H24" s="138"/>
      <c r="I24" s="138"/>
    </row>
    <row r="25" spans="1:35" ht="14.25">
      <c r="A25" s="3084"/>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3033</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3">
        <f ca="1">IF(D32="总价",G19-C24,G20-C25)</f>
        <v>261</v>
      </c>
      <c r="D32" s="2448" t="s">
        <v>2162</v>
      </c>
      <c r="E32" s="138"/>
      <c r="F32" s="138"/>
      <c r="G32" s="138"/>
      <c r="H32" s="138"/>
      <c r="I32" s="138"/>
    </row>
    <row r="33" spans="1:15" ht="15">
      <c r="A33" s="959" t="s">
        <v>2163</v>
      </c>
      <c r="B33" s="2449"/>
      <c r="C33" s="2450" t="s">
        <v>4093</v>
      </c>
      <c r="D33" s="2451" t="s">
        <v>4085</v>
      </c>
      <c r="E33" s="2452" t="s">
        <v>2164</v>
      </c>
      <c r="F33" s="2453" t="str">
        <f>IF(D32="楼面单价","取值（单价）","取值（总价）")</f>
        <v>取值（总价）</v>
      </c>
      <c r="G33" s="138"/>
      <c r="H33" s="138"/>
      <c r="I33" s="138"/>
    </row>
    <row r="34" spans="1:15" ht="15">
      <c r="A34" s="2454"/>
      <c r="B34" s="2455" t="s">
        <v>2165</v>
      </c>
      <c r="C34" s="157">
        <f ca="1">IF(C33="自定义",F34,C32-C35)</f>
        <v>186</v>
      </c>
      <c r="D34" s="1057">
        <f ca="1">IF(C33="自定义",ROUND(C34/C32,3),IF(C33="收益比率",SUMIF(INDIRECT("'"&amp;D33&amp;"'"&amp;"!b:b"),"土地收益比率",INDIRECT("'"&amp;D33&amp;"'"&amp;"!c:c")),SUMIF(INDIRECT("'"&amp;D33&amp;"'"&amp;"!b:b"),"土地成本比率",INDIRECT("'"&amp;D33&amp;"'"&amp;"!c:c"))))</f>
        <v>0.71399999999999997</v>
      </c>
      <c r="E34" s="2456" t="s">
        <v>2166</v>
      </c>
      <c r="F34" s="1737"/>
      <c r="G34" s="138"/>
      <c r="H34" s="138"/>
      <c r="I34" s="138"/>
    </row>
    <row r="35" spans="1:15" ht="15.75" thickBot="1">
      <c r="A35" s="2457"/>
      <c r="B35" s="2458" t="s">
        <v>2167</v>
      </c>
      <c r="C35" s="1443">
        <f ca="1">IF(C33="自定义",F35,ROUND(C32*D35,0))</f>
        <v>75</v>
      </c>
      <c r="D35" s="1444">
        <f ca="1">IF(C33="自定义",ROUND(C35/C32,3),IF(C33="收益比率",SUMIF(INDIRECT("'"&amp;D33&amp;"'"&amp;"!b:b"),"建筑物收益比率",INDIRECT("'"&amp;D33&amp;"'"&amp;"!c:c")),SUMIF(INDIRECT("'"&amp;D33&amp;"'"&amp;"!b:b"),"建筑物成本比率",INDIRECT("'"&amp;D33&amp;"'"&amp;"!c:c"))))</f>
        <v>0.28599999999999998</v>
      </c>
      <c r="E35" s="2459" t="s">
        <v>2168</v>
      </c>
      <c r="F35" s="163"/>
      <c r="G35" s="138"/>
      <c r="H35" s="138"/>
      <c r="I35" s="138"/>
    </row>
    <row r="36" spans="1:15" ht="15.75" thickBot="1">
      <c r="A36" s="3101" t="s">
        <v>2169</v>
      </c>
      <c r="B36" s="2460" t="s">
        <v>2170</v>
      </c>
      <c r="C36" s="154"/>
      <c r="D36" s="2461"/>
      <c r="E36" s="2462"/>
      <c r="F36" s="2463"/>
      <c r="G36" s="138"/>
      <c r="H36" s="138"/>
      <c r="I36" s="138"/>
    </row>
    <row r="37" spans="1:15" ht="15.75" thickBot="1">
      <c r="A37" s="3102"/>
      <c r="B37" s="2265" t="s">
        <v>2171</v>
      </c>
      <c r="C37" s="156"/>
      <c r="D37" s="1394"/>
      <c r="E37" s="1394"/>
      <c r="F37" s="2463"/>
      <c r="G37" s="138"/>
      <c r="H37" s="138"/>
      <c r="I37" s="138"/>
    </row>
    <row r="38" spans="1:15" ht="15.75" thickBot="1">
      <c r="A38" s="3103"/>
      <c r="B38" s="2464" t="s">
        <v>2172</v>
      </c>
      <c r="C38" s="726"/>
      <c r="D38" s="2465" t="s">
        <v>2173</v>
      </c>
      <c r="E38" s="1394"/>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80" t="s">
        <v>2183</v>
      </c>
      <c r="B45" s="3081"/>
      <c r="C45" s="3082"/>
      <c r="D45" s="164">
        <f ca="1">ROUND(H101*F45,0)</f>
        <v>261</v>
      </c>
      <c r="E45" s="165" t="s">
        <v>2184</v>
      </c>
      <c r="F45" s="166">
        <v>1</v>
      </c>
      <c r="G45" s="167" t="s">
        <v>2185</v>
      </c>
      <c r="H45" s="138"/>
      <c r="I45" s="138"/>
      <c r="J45" s="3140" t="s">
        <v>2186</v>
      </c>
      <c r="K45" s="3140"/>
      <c r="L45" s="3140"/>
      <c r="M45" s="3140"/>
      <c r="N45" s="3140"/>
      <c r="O45" s="3140"/>
    </row>
    <row r="46" spans="1:15" ht="14.25" customHeight="1">
      <c r="A46" s="3077" t="s">
        <v>2187</v>
      </c>
      <c r="B46" s="3078"/>
      <c r="C46" s="3078"/>
      <c r="D46" s="3078"/>
      <c r="E46" s="3078"/>
      <c r="F46" s="3078"/>
      <c r="G46" s="3079"/>
      <c r="H46" s="2479"/>
      <c r="I46" s="168"/>
      <c r="J46" s="1810">
        <v>1</v>
      </c>
      <c r="K46" s="3140" t="s">
        <v>2188</v>
      </c>
      <c r="L46" s="3140"/>
      <c r="M46" s="3160"/>
      <c r="N46" s="3160"/>
      <c r="O46" s="3160"/>
    </row>
    <row r="47" spans="1:15" ht="12" customHeight="1">
      <c r="A47" s="169" t="s">
        <v>2189</v>
      </c>
      <c r="B47" s="170"/>
      <c r="C47" s="171"/>
      <c r="D47" s="172" t="s">
        <v>2190</v>
      </c>
      <c r="E47" s="24" t="s">
        <v>2191</v>
      </c>
      <c r="F47" s="173" t="s">
        <v>2192</v>
      </c>
      <c r="G47" s="174" t="s">
        <v>2193</v>
      </c>
      <c r="H47" s="2479"/>
      <c r="I47" s="168"/>
      <c r="J47" s="1810">
        <v>2</v>
      </c>
      <c r="K47" s="3140" t="s">
        <v>2194</v>
      </c>
      <c r="L47" s="3140"/>
      <c r="M47" s="3161">
        <f>'数据-取费表'!B2</f>
        <v>43307</v>
      </c>
      <c r="N47" s="3161"/>
      <c r="O47" s="3161"/>
    </row>
    <row r="48" spans="1:15" ht="25.5">
      <c r="A48" s="3108" t="s">
        <v>2195</v>
      </c>
      <c r="B48" s="3091"/>
      <c r="C48" s="3091"/>
      <c r="D48" s="140">
        <f>IF(H48="情况1",0,IF(H48="情况2",D52,IF(H48="情况3",D53,IF(H48="情况4",D54))))</f>
        <v>0</v>
      </c>
      <c r="E48" s="1799" t="str">
        <f>IF(H48="情况4","(销售额-原购置价)×税（费）率","销售额×税（费）率")</f>
        <v>销售额×税（费）率</v>
      </c>
      <c r="F48" s="175" t="str">
        <f>IF(H48="情况1","免征",'数据-取费表'!B41)</f>
        <v>免征</v>
      </c>
      <c r="G48" s="2480" t="s">
        <v>2196</v>
      </c>
      <c r="H48" s="2481" t="s">
        <v>2197</v>
      </c>
      <c r="I48" s="2479"/>
      <c r="J48" s="1810">
        <v>3</v>
      </c>
      <c r="K48" s="3140" t="s">
        <v>2198</v>
      </c>
      <c r="L48" s="3140"/>
      <c r="M48" s="3162">
        <f ca="1">H101</f>
        <v>261</v>
      </c>
      <c r="N48" s="3162"/>
      <c r="O48" s="3162"/>
    </row>
    <row r="49" spans="1:35" ht="25.5" customHeight="1">
      <c r="A49" s="176" t="s">
        <v>2199</v>
      </c>
      <c r="B49" s="3076" t="s">
        <v>2200</v>
      </c>
      <c r="C49" s="3076"/>
      <c r="D49" s="177">
        <v>0</v>
      </c>
      <c r="E49" s="23" t="s">
        <v>2201</v>
      </c>
      <c r="F49" s="28" t="s">
        <v>34</v>
      </c>
      <c r="G49" s="3146"/>
      <c r="H49" s="138"/>
      <c r="I49" s="2482"/>
      <c r="J49" s="1810">
        <v>4</v>
      </c>
      <c r="K49" s="3140" t="str">
        <f>IF(项目基本情况!E8="房地产抵押价值","房地产抵押价值","抵押担保权已注销时的房地产抵押价值")</f>
        <v>房地产抵押价值</v>
      </c>
      <c r="L49" s="3140"/>
      <c r="M49" s="3162">
        <f ca="1">IF(项目基本情况!E8="房地产抵押价值",H107,H109)</f>
        <v>261</v>
      </c>
      <c r="N49" s="3162"/>
      <c r="O49" s="3162"/>
    </row>
    <row r="50" spans="1:35" ht="25.5" customHeight="1">
      <c r="A50" s="178"/>
      <c r="B50" s="3076" t="s">
        <v>2202</v>
      </c>
      <c r="C50" s="3076"/>
      <c r="D50" s="179"/>
      <c r="E50" s="31"/>
      <c r="F50" s="180"/>
      <c r="G50" s="3147"/>
      <c r="H50" s="138"/>
      <c r="I50" s="2482"/>
      <c r="J50" s="3140" t="s">
        <v>2203</v>
      </c>
      <c r="K50" s="3140"/>
      <c r="L50" s="3140"/>
      <c r="M50" s="3140"/>
      <c r="N50" s="3140"/>
      <c r="O50" s="3140"/>
    </row>
    <row r="51" spans="1:35" ht="12" customHeight="1">
      <c r="A51" s="181"/>
      <c r="B51" s="3076" t="s">
        <v>2204</v>
      </c>
      <c r="C51" s="3076"/>
      <c r="D51" s="182"/>
      <c r="E51" s="30"/>
      <c r="F51" s="180"/>
      <c r="G51" s="3148"/>
      <c r="H51" s="138"/>
      <c r="I51" s="2482"/>
      <c r="J51" s="2483" t="s">
        <v>2205</v>
      </c>
      <c r="K51" s="3140" t="s">
        <v>2206</v>
      </c>
      <c r="L51" s="3140"/>
      <c r="M51" s="2483" t="s">
        <v>2207</v>
      </c>
      <c r="N51" s="2483" t="s">
        <v>2208</v>
      </c>
      <c r="O51" s="2483" t="s">
        <v>2209</v>
      </c>
    </row>
    <row r="52" spans="1:35" ht="24" customHeight="1">
      <c r="A52" s="183" t="s">
        <v>2210</v>
      </c>
      <c r="B52" s="3076" t="s">
        <v>2211</v>
      </c>
      <c r="C52" s="3076"/>
      <c r="D52" s="182">
        <f ca="1">ROUND(D45*'数据-取费表'!B41/(1+'数据-取费表'!C42),0)</f>
        <v>14</v>
      </c>
      <c r="E52" s="11" t="s">
        <v>2212</v>
      </c>
      <c r="F52" s="184">
        <f>'数据-取费表'!B41</f>
        <v>5.6000000000000001E-2</v>
      </c>
      <c r="G52" s="2484"/>
      <c r="H52" s="138"/>
      <c r="I52" s="2482"/>
      <c r="J52" s="1810">
        <v>1</v>
      </c>
      <c r="K52" s="3141" t="s">
        <v>2213</v>
      </c>
      <c r="L52" s="3141"/>
      <c r="M52" s="1752">
        <f>D48</f>
        <v>0</v>
      </c>
      <c r="N52" s="1810" t="str">
        <f>E48</f>
        <v>销售额×税（费）率</v>
      </c>
      <c r="O52" s="1753" t="str">
        <f>F48</f>
        <v>免征</v>
      </c>
    </row>
    <row r="53" spans="1:35" ht="12" customHeight="1">
      <c r="A53" s="183" t="s">
        <v>2214</v>
      </c>
      <c r="B53" s="3099" t="s">
        <v>2215</v>
      </c>
      <c r="C53" s="3100"/>
      <c r="D53" s="182">
        <f ca="1">ROUND(D45*'数据-取费表'!B41/(1+'数据-取费表'!C42),0)</f>
        <v>14</v>
      </c>
      <c r="E53" s="11" t="s">
        <v>2212</v>
      </c>
      <c r="F53" s="184">
        <f>'数据-取费表'!B41</f>
        <v>5.6000000000000001E-2</v>
      </c>
      <c r="G53" s="2484"/>
      <c r="H53" s="138"/>
      <c r="I53" s="2482"/>
      <c r="J53" s="1810">
        <v>2</v>
      </c>
      <c r="K53" s="3141" t="s">
        <v>2216</v>
      </c>
      <c r="L53" s="3141"/>
      <c r="M53" s="1752">
        <f t="shared" ref="M53:O54" ca="1" si="0">D55</f>
        <v>0</v>
      </c>
      <c r="N53" s="1810" t="str">
        <f t="shared" si="0"/>
        <v>销售额×税（费）率</v>
      </c>
      <c r="O53" s="1753">
        <f t="shared" si="0"/>
        <v>5.0000000000000001E-4</v>
      </c>
    </row>
    <row r="54" spans="1:35" ht="12" customHeight="1">
      <c r="A54" s="183" t="s">
        <v>2217</v>
      </c>
      <c r="B54" s="3099" t="s">
        <v>2218</v>
      </c>
      <c r="C54" s="3100"/>
      <c r="D54" s="182">
        <f ca="1">C68</f>
        <v>14</v>
      </c>
      <c r="E54" s="30" t="s">
        <v>2219</v>
      </c>
      <c r="F54" s="184">
        <f>'数据-取费表'!B41</f>
        <v>5.6000000000000001E-2</v>
      </c>
      <c r="G54" s="2484"/>
      <c r="H54" s="2485"/>
      <c r="I54" s="2482"/>
      <c r="J54" s="1810">
        <v>3</v>
      </c>
      <c r="K54" s="3141" t="s">
        <v>2220</v>
      </c>
      <c r="L54" s="3141"/>
      <c r="M54" s="1752">
        <f t="shared" ca="1" si="0"/>
        <v>148</v>
      </c>
      <c r="N54" s="1810" t="str">
        <f t="shared" si="0"/>
        <v>增值额×税（费）率</v>
      </c>
      <c r="O54" s="1754" t="str">
        <f t="shared" si="0"/>
        <v>——</v>
      </c>
    </row>
    <row r="55" spans="1:35" ht="24" customHeight="1">
      <c r="A55" s="3090" t="s">
        <v>2221</v>
      </c>
      <c r="B55" s="3091"/>
      <c r="C55" s="3091"/>
      <c r="D55" s="185">
        <f ca="1">IF(H55="个人住宅",0,ROUND(D45*I55,0))</f>
        <v>0</v>
      </c>
      <c r="E55" s="11" t="s">
        <v>2222</v>
      </c>
      <c r="F55" s="184">
        <f>IF(H55="正常",I55,"免征")</f>
        <v>5.0000000000000001E-4</v>
      </c>
      <c r="G55" s="2484"/>
      <c r="H55" s="2481" t="s">
        <v>2223</v>
      </c>
      <c r="I55" s="186">
        <f>'数据-取费表'!B49</f>
        <v>5.0000000000000001E-4</v>
      </c>
      <c r="J55" s="1810" t="str">
        <f>IF(H59="非个人房产","",4)</f>
        <v/>
      </c>
      <c r="K55" s="3141" t="str">
        <f>IF(H59="非个人房产","——","个人所得税")</f>
        <v>——</v>
      </c>
      <c r="L55" s="3141"/>
      <c r="M55" s="1755" t="str">
        <f>D59</f>
        <v>——</v>
      </c>
      <c r="N55" s="1808" t="str">
        <f>E59</f>
        <v>——</v>
      </c>
      <c r="O55" s="1756" t="str">
        <f>F59</f>
        <v>——</v>
      </c>
    </row>
    <row r="56" spans="1:35" ht="24.75">
      <c r="A56" s="3090" t="s">
        <v>2224</v>
      </c>
      <c r="B56" s="3091"/>
      <c r="C56" s="3091"/>
      <c r="D56" s="185">
        <f ca="1">IF(H56="个人住宅",D57,D58)</f>
        <v>148</v>
      </c>
      <c r="E56" s="11" t="s">
        <v>2225</v>
      </c>
      <c r="F56" s="184" t="str">
        <f>IF(H56="正常",F58,"免征")</f>
        <v>——</v>
      </c>
      <c r="G56" s="2486" t="s">
        <v>2226</v>
      </c>
      <c r="H56" s="2487" t="s">
        <v>2223</v>
      </c>
      <c r="I56" s="2488"/>
      <c r="J56" s="1810" t="str">
        <f>IF(项目基本情况!K6="上海银行",IF(J55="",4,J55+1),"")</f>
        <v/>
      </c>
      <c r="K56" s="3164" t="str">
        <f>IF(项目基本情况!K6="上海银行","其他处置费用","")</f>
        <v/>
      </c>
      <c r="L56" s="3165"/>
      <c r="M56" s="1752" t="str">
        <f>IF(项目基本情况!K6="上海银行",M69,"")</f>
        <v/>
      </c>
      <c r="N56" s="3167" t="str">
        <f>IF(项目基本情况!K6="上海银行","包含处置中涉及的律师、诉讼、拍卖、评估等费用","")</f>
        <v/>
      </c>
      <c r="O56" s="3168"/>
    </row>
    <row r="57" spans="1:35" ht="12.75">
      <c r="A57" s="183" t="s">
        <v>2199</v>
      </c>
      <c r="B57" s="3106" t="s">
        <v>2227</v>
      </c>
      <c r="C57" s="3115"/>
      <c r="D57" s="187">
        <v>0</v>
      </c>
      <c r="E57" s="23" t="s">
        <v>2201</v>
      </c>
      <c r="F57" s="155"/>
      <c r="G57" s="2484"/>
      <c r="H57" s="2488"/>
      <c r="I57" s="2488"/>
      <c r="J57" s="3141">
        <f>IF(AND(J55="",J56=""),4,IF(项目基本情况!K6="上海银行",结果表!J56+1,结果表!J55+1))</f>
        <v>4</v>
      </c>
      <c r="K57" s="3141" t="s">
        <v>2228</v>
      </c>
      <c r="L57" s="2489" t="s">
        <v>2229</v>
      </c>
      <c r="M57" s="1757"/>
      <c r="N57" s="1758">
        <f ca="1">SUMIF(M52:M56,"&lt;9e307")</f>
        <v>148</v>
      </c>
      <c r="O57" s="2490"/>
      <c r="P57" s="1751">
        <f ca="1">N57/M49</f>
        <v>0.56704980842911878</v>
      </c>
    </row>
    <row r="58" spans="1:35" ht="24.75">
      <c r="A58" s="183" t="s">
        <v>2210</v>
      </c>
      <c r="B58" s="3106" t="s">
        <v>2230</v>
      </c>
      <c r="C58" s="3107"/>
      <c r="D58" s="185">
        <f ca="1">IF(H58="转让取得",C81,C97)</f>
        <v>148</v>
      </c>
      <c r="E58" s="11" t="s">
        <v>2225</v>
      </c>
      <c r="F58" s="24" t="s">
        <v>34</v>
      </c>
      <c r="G58" s="2484"/>
      <c r="H58" s="2487" t="s">
        <v>2231</v>
      </c>
      <c r="I58" s="2488"/>
      <c r="J58" s="3141"/>
      <c r="K58" s="3141"/>
      <c r="L58" s="2489" t="s">
        <v>2232</v>
      </c>
      <c r="M58" s="1759"/>
      <c r="N58" s="2491" t="str">
        <f ca="1">NUMBERSTRING(INT(N57*10000),2)&amp;"元整"</f>
        <v>壹佰肆拾捌万元整</v>
      </c>
      <c r="O58" s="2492"/>
    </row>
    <row r="59" spans="1:35" ht="24.75" thickBot="1">
      <c r="A59" s="3144" t="s">
        <v>2233</v>
      </c>
      <c r="B59" s="3145"/>
      <c r="C59" s="314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42">
        <f>J57+1</f>
        <v>5</v>
      </c>
      <c r="K59" s="3141" t="s">
        <v>2235</v>
      </c>
      <c r="L59" s="1810" t="s">
        <v>2229</v>
      </c>
      <c r="M59" s="1760"/>
      <c r="N59" s="1761">
        <f ca="1">M49-N57</f>
        <v>113</v>
      </c>
      <c r="O59" s="2494"/>
    </row>
    <row r="60" spans="1:35" ht="12" customHeight="1">
      <c r="A60" s="2495"/>
      <c r="B60" s="2417"/>
      <c r="C60" s="2417"/>
      <c r="D60" s="2417"/>
      <c r="E60" s="2164"/>
      <c r="F60" s="2488"/>
      <c r="G60" s="2488"/>
      <c r="H60" s="2496"/>
      <c r="I60" s="138"/>
      <c r="J60" s="3143"/>
      <c r="K60" s="3141"/>
      <c r="L60" s="2489" t="s">
        <v>2232</v>
      </c>
      <c r="M60" s="1759"/>
      <c r="N60" s="2491" t="str">
        <f ca="1">NUMBERSTRING(INT(N59*10000),2)&amp;"元整"</f>
        <v>壹佰壹拾叁万元整</v>
      </c>
      <c r="O60" s="2492"/>
    </row>
    <row r="61" spans="1:35" ht="13.5" thickBot="1">
      <c r="A61" s="3088" t="s">
        <v>2236</v>
      </c>
      <c r="B61" s="3088"/>
      <c r="C61" s="3088"/>
      <c r="D61" s="3088"/>
      <c r="E61" s="3088"/>
      <c r="F61" s="2488"/>
      <c r="G61" s="2488"/>
      <c r="H61" s="2496"/>
      <c r="I61" s="138"/>
      <c r="J61" s="1810">
        <f>J59+1</f>
        <v>6</v>
      </c>
      <c r="K61" s="3141" t="s">
        <v>2237</v>
      </c>
      <c r="L61" s="3141"/>
      <c r="M61" s="1762"/>
      <c r="N61" s="1763">
        <f ca="1">ROUND(N59*10000/'数据-汇总表'!E3,0)</f>
        <v>33</v>
      </c>
      <c r="O61" s="2497"/>
    </row>
    <row r="62" spans="1:35" ht="12.75">
      <c r="A62" s="3104" t="s">
        <v>2238</v>
      </c>
      <c r="B62" s="3105"/>
      <c r="C62" s="1802"/>
      <c r="D62" s="1802" t="s">
        <v>2239</v>
      </c>
      <c r="E62" s="192" t="s">
        <v>2240</v>
      </c>
      <c r="F62" s="2488"/>
      <c r="G62" s="2488"/>
      <c r="H62" s="2496"/>
      <c r="I62" s="138"/>
    </row>
    <row r="63" spans="1:35" ht="12.75">
      <c r="A63" s="203" t="s">
        <v>775</v>
      </c>
      <c r="B63" s="193" t="s">
        <v>2241</v>
      </c>
      <c r="C63" s="194">
        <f ca="1">ROUND((C64+C65)/(1+'数据-取费表'!C42),0)</f>
        <v>249</v>
      </c>
      <c r="D63" s="195"/>
      <c r="E63" s="196"/>
      <c r="F63" s="2488"/>
      <c r="G63" s="2488"/>
      <c r="H63" s="2496"/>
      <c r="I63" s="138"/>
      <c r="J63" s="3166" t="s">
        <v>2242</v>
      </c>
      <c r="K63" s="2498" t="s">
        <v>2243</v>
      </c>
      <c r="L63" s="1750">
        <f ca="1">IF(M49&gt;10000,M49*0.5%,IF(AND(M49&gt;1000,M49&lt;=10000),M49*1%,IF(AND(M49&gt;100,M49&lt;=1000),M49*3%,IF(AND(M49&gt;10,M49&lt;=100),M49*5%,M49*8%))))</f>
        <v>7.83</v>
      </c>
      <c r="M63" s="24">
        <f ca="1">ROUND(L63,1)</f>
        <v>7.8</v>
      </c>
      <c r="Z63" s="2422"/>
      <c r="AI63" s="2423"/>
    </row>
    <row r="64" spans="1:35" ht="14.25" customHeight="1">
      <c r="A64" s="197" t="s">
        <v>770</v>
      </c>
      <c r="B64" s="198" t="s">
        <v>2244</v>
      </c>
      <c r="C64" s="199">
        <f ca="1">D45</f>
        <v>261</v>
      </c>
      <c r="D64" s="200" t="s">
        <v>32</v>
      </c>
      <c r="E64" s="201"/>
      <c r="F64" s="2488"/>
      <c r="G64" s="2488"/>
      <c r="H64" s="2496"/>
      <c r="I64" s="138"/>
      <c r="J64" s="3166"/>
      <c r="K64" s="2498" t="s">
        <v>2245</v>
      </c>
      <c r="L64" s="1750">
        <f ca="1">IF(M49&gt;2000,M49*0.5%,IF(AND(M49&gt;1000,M49&lt;=2000),M49*0.6%,IF(AND(M49&gt;500,M49&lt;=1000),M49*0.7%,IF(AND(M49&gt;200,M49&lt;=500),M49*0.8%,IF(AND(M49&gt;100,M49&lt;=200),M49*0.9%,IF(AND(M49&gt;50,M49&lt;=100),M49*1%,IF(AND(M49&gt;20,M49&lt;=50),M49*1.5%,IF(AND(M49&gt;10,M49&lt;=20),M49*2%,IF(AND(M49&gt;1,M49&lt;=10),M49*2.5%)))))))))</f>
        <v>2.0880000000000001</v>
      </c>
      <c r="M64" s="24">
        <f t="shared" ref="M64:M65" ca="1" si="1">ROUND(L64,1)</f>
        <v>2.1</v>
      </c>
      <c r="N64" s="138" t="s">
        <v>2246</v>
      </c>
      <c r="Z64" s="2422"/>
      <c r="AI64" s="2423"/>
    </row>
    <row r="65" spans="1:35" ht="14.25" customHeight="1">
      <c r="A65" s="197" t="s">
        <v>771</v>
      </c>
      <c r="B65" s="198" t="s">
        <v>2247</v>
      </c>
      <c r="C65" s="202"/>
      <c r="D65" s="200"/>
      <c r="E65" s="201"/>
      <c r="F65" s="2488"/>
      <c r="G65" s="2488"/>
      <c r="H65" s="2496"/>
      <c r="I65" s="138"/>
      <c r="J65" s="3166"/>
      <c r="K65" s="2498" t="s">
        <v>2248</v>
      </c>
      <c r="L65" s="1750">
        <f ca="1">IF(M49&gt;1000,M49*0.1%,IF(AND(M49&gt;500,M49&lt;=1000),M49*0.5%,IF(AND(M49&gt;50,M49&lt;=500),M49*1%,IF(AND(M49&gt;1,M49&lt;=50),M49*1.5%))))</f>
        <v>2.61</v>
      </c>
      <c r="M65" s="24">
        <f t="shared" ca="1" si="1"/>
        <v>2.6</v>
      </c>
      <c r="N65" s="138" t="s">
        <v>2246</v>
      </c>
      <c r="Z65" s="2422"/>
      <c r="AI65" s="2423"/>
    </row>
    <row r="66" spans="1:35" ht="14.25" customHeight="1">
      <c r="A66" s="203" t="s">
        <v>772</v>
      </c>
      <c r="B66" s="204" t="s">
        <v>2249</v>
      </c>
      <c r="C66" s="205"/>
      <c r="D66" s="206" t="s">
        <v>32</v>
      </c>
      <c r="E66" s="1774" t="s">
        <v>1371</v>
      </c>
      <c r="F66" s="2488"/>
      <c r="G66" s="2488"/>
      <c r="H66" s="2496"/>
      <c r="I66" s="138"/>
      <c r="J66" s="3166"/>
      <c r="K66" s="2498" t="s">
        <v>2250</v>
      </c>
      <c r="L66" s="1750">
        <f ca="1">M49*0.5%</f>
        <v>1.3049999999999999</v>
      </c>
      <c r="M66" s="24">
        <f ca="1">IF(L66&gt;0.5,0.5,ROUND(L66,0))</f>
        <v>0.5</v>
      </c>
      <c r="N66" s="138" t="s">
        <v>2251</v>
      </c>
      <c r="Z66" s="2422"/>
      <c r="AI66" s="2423"/>
    </row>
    <row r="67" spans="1:35" ht="14.25" customHeight="1">
      <c r="A67" s="203" t="s">
        <v>773</v>
      </c>
      <c r="B67" s="204" t="s">
        <v>2252</v>
      </c>
      <c r="C67" s="207">
        <f ca="1">C63-C66</f>
        <v>249</v>
      </c>
      <c r="D67" s="200" t="s">
        <v>32</v>
      </c>
      <c r="E67" s="201"/>
      <c r="F67" s="2488"/>
      <c r="G67" s="2488"/>
      <c r="H67" s="2496"/>
      <c r="I67" s="138"/>
      <c r="J67" s="3166"/>
      <c r="K67" s="2498" t="s">
        <v>2253</v>
      </c>
      <c r="L67" s="1750">
        <f ca="1">IF(M49&gt;=10000,(8.25+(M49-10000)*0.01%),IF(AND(M49&gt;=8000,M49&lt;10000),(7.85+(M49-8000)*0.02%),IF(AND(M49&gt;=5000,M49&lt;8000),(6.65+(M49-5000)*0.04%),IF(AND(M49&gt;=2000,M49&lt;5000),(4.25+(PM49-2000)*0.08%),IF(AND(M49&gt;=1000,M49&lt;2000),(2.75+(M49-1000)*0.15%),IF(AND(M49&gt;=100,M49&lt;1000),(0.5+(M49-100)*0.25%),IF(AND(M49&gt;0,M49&lt;100),M49*0.5%)))))))</f>
        <v>0.90250000000000008</v>
      </c>
      <c r="M67" s="24">
        <f ca="1">ROUND(L67*0.9,1)</f>
        <v>0.8</v>
      </c>
      <c r="Z67" s="2422"/>
      <c r="AI67" s="2423"/>
    </row>
    <row r="68" spans="1:35" ht="14.25" customHeight="1" thickBot="1">
      <c r="A68" s="208" t="s">
        <v>774</v>
      </c>
      <c r="B68" s="209" t="s">
        <v>2254</v>
      </c>
      <c r="C68" s="210">
        <f ca="1">IF(C67&lt;=0,0,ROUND(C67*D68,0))</f>
        <v>14</v>
      </c>
      <c r="D68" s="211">
        <f>'数据-取费表'!B41</f>
        <v>5.6000000000000001E-2</v>
      </c>
      <c r="E68" s="212"/>
      <c r="F68" s="2488"/>
      <c r="G68" s="2488"/>
      <c r="H68" s="2496"/>
      <c r="I68" s="138"/>
      <c r="J68" s="3166"/>
      <c r="K68" s="2498" t="s">
        <v>2255</v>
      </c>
      <c r="L68" s="1750">
        <f ca="1">IF(M49&gt;10000,M49*0.5%,IF(AND(M49&gt;5000,M49&lt;=10000),M49*1%,IF(AND(M49&gt;1000,M49&lt;=5000),M49*2%,IF(AND(M49&gt;200,M49&lt;=1000),M49*3%,M49*5%))))</f>
        <v>7.83</v>
      </c>
      <c r="M68" s="24">
        <f ca="1">ROUND(L68,1)</f>
        <v>7.8</v>
      </c>
      <c r="Z68" s="2422"/>
      <c r="AI68" s="2423"/>
    </row>
    <row r="69" spans="1:35" s="2445" customFormat="1" ht="16.5" customHeight="1">
      <c r="A69" s="2499"/>
      <c r="B69" s="2500"/>
      <c r="C69" s="2501"/>
      <c r="D69" s="2502"/>
      <c r="E69" s="2503"/>
      <c r="F69" s="2164"/>
      <c r="G69" s="2164"/>
      <c r="H69" s="2163"/>
      <c r="I69" s="2417"/>
      <c r="J69" s="3166"/>
      <c r="K69" s="2498" t="s">
        <v>2256</v>
      </c>
      <c r="L69" s="2504"/>
      <c r="M69" s="24">
        <f ca="1">ROUND(SUM(M63:M68),0)</f>
        <v>22</v>
      </c>
      <c r="N69" s="1751">
        <f ca="1">M69/M49</f>
        <v>8.4291187739463605E-2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25" t="s">
        <v>2257</v>
      </c>
      <c r="B70" s="3126"/>
      <c r="C70" s="3126"/>
      <c r="D70" s="3126"/>
      <c r="E70" s="3126"/>
      <c r="F70" s="3126"/>
      <c r="G70" s="3126"/>
      <c r="H70" s="312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4" t="s">
        <v>2238</v>
      </c>
      <c r="B71" s="3105"/>
      <c r="C71" s="1802"/>
      <c r="D71" s="180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249</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099" t="s">
        <v>2266</v>
      </c>
      <c r="F76" s="3076"/>
      <c r="G76" s="3076"/>
      <c r="H76" s="312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2" t="s">
        <v>2269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v>
      </c>
      <c r="D78" s="226">
        <f>'数据-取费表'!B43</f>
        <v>6.000000000000001E-3</v>
      </c>
      <c r="E78" s="3085" t="s">
        <v>2271</v>
      </c>
      <c r="F78" s="3086"/>
      <c r="G78" s="3086"/>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248</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248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5" t="s">
        <v>2275</v>
      </c>
      <c r="B83" s="3126"/>
      <c r="C83" s="3126"/>
      <c r="D83" s="3126"/>
      <c r="E83" s="3126"/>
      <c r="F83" s="3126"/>
      <c r="G83" s="3126"/>
      <c r="H83" s="312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4" t="s">
        <v>2238</v>
      </c>
      <c r="B84" s="3105"/>
      <c r="C84" s="1802"/>
      <c r="D84" s="180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249</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4.0500000000000001E-2</v>
      </c>
      <c r="E89" s="237" t="s">
        <v>2280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85" t="s">
        <v>2284</v>
      </c>
      <c r="F91" s="3086"/>
      <c r="G91" s="3086"/>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85" t="s">
        <v>2288</v>
      </c>
      <c r="F92" s="3086"/>
      <c r="G92" s="3086"/>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v>
      </c>
      <c r="D93" s="226">
        <f>'数据-取费表'!B43</f>
        <v>6.000000000000001E-3</v>
      </c>
      <c r="E93" s="3085" t="s">
        <v>2271</v>
      </c>
      <c r="F93" s="3086"/>
      <c r="G93" s="3086"/>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096" t="s">
        <v>2292</v>
      </c>
      <c r="F94" s="3097"/>
      <c r="G94" s="3097"/>
      <c r="H94" s="30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248</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248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0" t="s">
        <v>2294</v>
      </c>
      <c r="B100" s="3071"/>
      <c r="C100" s="3071"/>
      <c r="D100" s="3087"/>
      <c r="E100" s="3071" t="s">
        <v>2295</v>
      </c>
      <c r="F100" s="3071"/>
      <c r="G100" s="3071"/>
      <c r="H100" s="3087"/>
      <c r="I100" s="138"/>
    </row>
    <row r="101" spans="1:35" ht="18.75" customHeight="1">
      <c r="A101" s="3149" t="s">
        <v>2296</v>
      </c>
      <c r="B101" s="3150"/>
      <c r="C101" s="735" t="str">
        <f>C4</f>
        <v>比较法-商业</v>
      </c>
      <c r="D101" s="736" t="str">
        <f>D4</f>
        <v>收益法 (元)</v>
      </c>
      <c r="E101" s="3163" t="s">
        <v>2297</v>
      </c>
      <c r="F101" s="3117"/>
      <c r="G101" s="2519" t="s">
        <v>2298</v>
      </c>
      <c r="H101" s="1047">
        <f ca="1">H118</f>
        <v>261</v>
      </c>
      <c r="I101" s="138"/>
    </row>
    <row r="102" spans="1:35" ht="18.75" customHeight="1">
      <c r="A102" s="3119" t="s">
        <v>2299</v>
      </c>
      <c r="B102" s="2519" t="s">
        <v>2298</v>
      </c>
      <c r="C102" s="735">
        <f ca="1">C19</f>
        <v>263</v>
      </c>
      <c r="D102" s="736">
        <f ca="1">D19</f>
        <v>259</v>
      </c>
      <c r="E102" s="3163"/>
      <c r="F102" s="3117"/>
      <c r="G102" s="2519" t="s">
        <v>2300</v>
      </c>
      <c r="H102" s="371">
        <f ca="1">I118</f>
        <v>25623</v>
      </c>
      <c r="I102" s="138"/>
    </row>
    <row r="103" spans="1:35" ht="42.75" customHeight="1">
      <c r="A103" s="3119"/>
      <c r="B103" s="2519" t="s">
        <v>2300</v>
      </c>
      <c r="C103" s="737">
        <f ca="1">C20</f>
        <v>25774</v>
      </c>
      <c r="D103" s="738">
        <f ca="1">D20</f>
        <v>25426</v>
      </c>
      <c r="E103" s="3158" t="s">
        <v>2301</v>
      </c>
      <c r="F103" s="3159"/>
      <c r="G103" s="2520" t="s">
        <v>2302</v>
      </c>
      <c r="H103" s="1047">
        <f>IF(D36="正常操作",H104+H105+H106,H105+H106)</f>
        <v>0</v>
      </c>
      <c r="I103" s="138"/>
    </row>
    <row r="104" spans="1:35" ht="18.75" customHeight="1">
      <c r="A104" s="3119" t="s">
        <v>2303</v>
      </c>
      <c r="B104" s="2521" t="s">
        <v>2298</v>
      </c>
      <c r="C104" s="739">
        <f ca="1">H118</f>
        <v>261</v>
      </c>
      <c r="D104" s="740"/>
      <c r="E104" s="2265" t="s">
        <v>2304</v>
      </c>
      <c r="F104" s="2256"/>
      <c r="G104" s="2520" t="s">
        <v>2302</v>
      </c>
      <c r="H104" s="1048">
        <f>IF(D36="同一抵押权人同一抵押物续贷",C36&amp;"（未扣减，详见特别提示）",C36)</f>
        <v>0</v>
      </c>
      <c r="I104" s="138"/>
    </row>
    <row r="105" spans="1:35" ht="18.75" customHeight="1" thickBot="1">
      <c r="A105" s="3120"/>
      <c r="B105" s="2522" t="s">
        <v>2300</v>
      </c>
      <c r="C105" s="741">
        <f ca="1">I118</f>
        <v>25623</v>
      </c>
      <c r="D105" s="742"/>
      <c r="E105" s="2265" t="s">
        <v>2305</v>
      </c>
      <c r="F105" s="2256"/>
      <c r="G105" s="2520" t="s">
        <v>2302</v>
      </c>
      <c r="H105" s="1048">
        <f>C37</f>
        <v>0</v>
      </c>
      <c r="I105" s="138"/>
    </row>
    <row r="106" spans="1:35" ht="18.75" customHeight="1">
      <c r="A106" s="2417" t="s">
        <v>2306</v>
      </c>
      <c r="B106" s="2417"/>
      <c r="C106" s="2417"/>
      <c r="D106" s="2417"/>
      <c r="E106" s="2523" t="s">
        <v>2307</v>
      </c>
      <c r="F106" s="2256"/>
      <c r="G106" s="2520" t="s">
        <v>2302</v>
      </c>
      <c r="H106" s="1048">
        <f>C38</f>
        <v>0</v>
      </c>
      <c r="I106" s="138"/>
    </row>
    <row r="107" spans="1:35" ht="18.75" customHeight="1">
      <c r="A107" s="138"/>
      <c r="B107" s="138"/>
      <c r="C107" s="138"/>
      <c r="D107" s="138"/>
      <c r="E107" s="3116" t="str">
        <f>IF(项目基本情况!E8="已注销","——","3.房地产抵押价值")</f>
        <v>3.房地产抵押价值</v>
      </c>
      <c r="F107" s="3117"/>
      <c r="G107" s="2519" t="s">
        <v>2298</v>
      </c>
      <c r="H107" s="1047">
        <f ca="1">IF(E107="——","——",H101-H103)</f>
        <v>261</v>
      </c>
      <c r="I107" s="138"/>
    </row>
    <row r="108" spans="1:35" ht="18.75" customHeight="1">
      <c r="A108" s="138"/>
      <c r="B108" s="138"/>
      <c r="C108" s="138"/>
      <c r="D108" s="138"/>
      <c r="E108" s="3116"/>
      <c r="F108" s="3117"/>
      <c r="G108" s="2519" t="s">
        <v>2300</v>
      </c>
      <c r="H108" s="371">
        <f ca="1">ROUND(H107*10000/'数据-汇总表'!E3,0)</f>
        <v>77</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19" t="s">
        <v>2298</v>
      </c>
      <c r="H109" s="348" t="str">
        <f>IF(E109="——","——",H101-H105-H106)</f>
        <v>——</v>
      </c>
      <c r="I109" s="138"/>
    </row>
    <row r="110" spans="1:35" ht="18.75" customHeight="1">
      <c r="A110" s="138"/>
      <c r="B110" s="138"/>
      <c r="C110" s="138"/>
      <c r="D110" s="138"/>
      <c r="E110" s="3116"/>
      <c r="F110" s="3117"/>
      <c r="G110" s="2519" t="s">
        <v>2300</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9" t="s">
        <v>2298</v>
      </c>
      <c r="H111" s="1047" t="str">
        <f>IF(E111="——","——",N59)</f>
        <v>——</v>
      </c>
      <c r="I111" s="138"/>
    </row>
    <row r="112" spans="1:35" ht="18.75" customHeight="1" thickBot="1">
      <c r="A112" s="138"/>
      <c r="B112" s="138"/>
      <c r="C112" s="138"/>
      <c r="D112" s="138"/>
      <c r="E112" s="3153"/>
      <c r="F112" s="3154"/>
      <c r="G112" s="2524" t="s">
        <v>2300</v>
      </c>
      <c r="H112" s="789" t="str">
        <f>IF(E111="——","——",N61)</f>
        <v>——</v>
      </c>
      <c r="I112" s="138"/>
    </row>
    <row r="113" spans="1:11" ht="18.75" customHeight="1">
      <c r="A113" s="138"/>
      <c r="B113" s="138"/>
      <c r="C113" s="138"/>
      <c r="D113" s="138"/>
      <c r="E113" s="3121" t="s">
        <v>2306</v>
      </c>
      <c r="F113" s="3121"/>
      <c r="G113" s="3121"/>
      <c r="H113" s="3121"/>
      <c r="I113" s="138"/>
    </row>
    <row r="114" spans="1:11" ht="3.75" customHeight="1">
      <c r="A114" s="2417"/>
      <c r="B114" s="2417"/>
      <c r="C114" s="2417"/>
      <c r="D114" s="2417"/>
      <c r="E114" s="2495"/>
      <c r="F114" s="2495"/>
      <c r="G114" s="2495"/>
      <c r="H114" s="2495"/>
      <c r="I114" s="2417"/>
    </row>
    <row r="115" spans="1:11" ht="18.75" customHeight="1">
      <c r="A115" s="3134" t="s">
        <v>2308</v>
      </c>
      <c r="B115" s="3135"/>
      <c r="C115" s="3135"/>
      <c r="D115" s="3135"/>
      <c r="E115" s="3135"/>
      <c r="F115" s="3135"/>
      <c r="G115" s="3135"/>
      <c r="H115" s="3135"/>
      <c r="I115" s="3136"/>
    </row>
    <row r="116" spans="1:11" ht="27" customHeight="1">
      <c r="A116" s="3027" t="s">
        <v>2309</v>
      </c>
      <c r="B116" s="3122" t="s">
        <v>4094</v>
      </c>
      <c r="C116" s="3122" t="s">
        <v>4095</v>
      </c>
      <c r="D116" s="3138" t="s">
        <v>2310</v>
      </c>
      <c r="E116" s="3139"/>
      <c r="F116" s="3130" t="s">
        <v>4096</v>
      </c>
      <c r="G116" s="3130"/>
      <c r="H116" s="3027" t="s">
        <v>2311</v>
      </c>
      <c r="I116" s="3027"/>
    </row>
    <row r="117" spans="1:11" ht="18.75" customHeight="1">
      <c r="A117" s="3027"/>
      <c r="B117" s="3123"/>
      <c r="C117" s="3123"/>
      <c r="D117" s="1796" t="s">
        <v>2312</v>
      </c>
      <c r="E117" s="1796" t="s">
        <v>2313</v>
      </c>
      <c r="F117" s="1796" t="s">
        <v>2312</v>
      </c>
      <c r="G117" s="1796" t="s">
        <v>2314</v>
      </c>
      <c r="H117" s="1796" t="s">
        <v>2312</v>
      </c>
      <c r="I117" s="1796" t="s">
        <v>2314</v>
      </c>
    </row>
    <row r="118" spans="1:11" ht="24.75" customHeight="1">
      <c r="A118" s="2525" t="str">
        <f>项目基本情况!S2</f>
        <v>河南省信阳市浉河区车站街道办事处工区路135号富丽华城市花园南虹广场1、2、3号商业楼房地产</v>
      </c>
      <c r="B118" s="1796">
        <f>M18</f>
        <v>101.86</v>
      </c>
      <c r="C118" s="1796">
        <f>M19</f>
        <v>0</v>
      </c>
      <c r="D118" s="1796">
        <f ca="1">ROUND(IF(D32="总价",C34,E118*B118/10000),0)</f>
        <v>186</v>
      </c>
      <c r="E118" s="1796">
        <f ca="1">ROUND(IF(C33="自定义",IF(D32="楼面单价",C34,D118*10000/B118),I118-G118),0)</f>
        <v>18260</v>
      </c>
      <c r="F118" s="1796">
        <f ca="1">ROUND(IF(D32="总价",C35,G118*B118/10000),0)</f>
        <v>75</v>
      </c>
      <c r="G118" s="1796">
        <f ca="1">ROUND(IF(D32="楼面单价",C35,F118*10000/B118),0)</f>
        <v>7363</v>
      </c>
      <c r="H118" s="1796">
        <f ca="1">ROUND(IF(D32="总价",C32,I118*B118/10000),0)</f>
        <v>261</v>
      </c>
      <c r="I118" s="1796">
        <f ca="1">ROUND(IF(D32="楼面单价",C32,H118*10000/B118),0)</f>
        <v>25623</v>
      </c>
    </row>
    <row r="119" spans="1:11" ht="18.75" customHeight="1">
      <c r="A119" s="3027" t="s">
        <v>2315</v>
      </c>
      <c r="B119" s="3027"/>
      <c r="C119" s="3027"/>
      <c r="D119" s="3127" t="str">
        <f ca="1">NUMBERSTRING(INT(D118*10000),2)&amp;"元整"</f>
        <v>壹佰捌拾陆万元整</v>
      </c>
      <c r="E119" s="3129"/>
      <c r="F119" s="3127" t="str">
        <f ca="1">NUMBERSTRING(INT(F118*10000),2)&amp;"元整"</f>
        <v>柒拾伍万元整</v>
      </c>
      <c r="G119" s="3129"/>
      <c r="H119" s="3127" t="str">
        <f ca="1">NUMBERSTRING(INT(H118*10000),2)&amp;"元整"</f>
        <v>贰佰陆拾壹万元整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2" t="str">
        <f>IF(D120=0,"故，本次评估不存在"&amp;A120,"故，本次评估"&amp;A120&amp;"为人民币"&amp;D120&amp;"万元整。")</f>
        <v>故，本次评估不存在估价师知悉的法定优先受偿款</v>
      </c>
    </row>
    <row r="121" spans="1:11" ht="18.75" customHeight="1">
      <c r="A121" s="3131" t="s">
        <v>2315</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261</v>
      </c>
      <c r="E122" s="3156"/>
      <c r="F122" s="3156"/>
      <c r="G122" s="3156"/>
      <c r="H122" s="3156"/>
      <c r="I122" s="3157"/>
    </row>
    <row r="123" spans="1:11" ht="18.75" customHeight="1">
      <c r="A123" s="3027" t="s">
        <v>2315</v>
      </c>
      <c r="B123" s="3027"/>
      <c r="C123" s="3027"/>
      <c r="D123" s="3127" t="str">
        <f ca="1">NUMBERSTRING(INT(D122*10000),2)&amp;"元整"</f>
        <v>贰佰陆拾壹万元整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2315</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2315</v>
      </c>
      <c r="B127" s="3027"/>
      <c r="C127" s="3027"/>
      <c r="D127" s="3127" t="e">
        <f>NUMBERSTRING(INT(D126*10000),2)&amp;"元整"</f>
        <v>#VALUE!</v>
      </c>
      <c r="E127" s="3128"/>
      <c r="F127" s="3128"/>
      <c r="G127" s="3128"/>
      <c r="H127" s="3128"/>
      <c r="I127" s="3129"/>
    </row>
    <row r="128" spans="1:11" ht="21.75" customHeight="1">
      <c r="A128" s="3137" t="s">
        <v>2316</v>
      </c>
      <c r="B128" s="3137"/>
      <c r="C128" s="3137"/>
      <c r="D128" s="3137"/>
      <c r="E128" s="3137"/>
      <c r="F128" s="3137"/>
      <c r="G128" s="3137"/>
      <c r="H128" s="3137"/>
      <c r="I128" s="313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1">
        <f>MATCH(B1,'数据-取费表'!A6:A16,0)+5</f>
        <v>8</v>
      </c>
    </row>
    <row r="2" spans="1:9" s="244" customFormat="1" ht="18" customHeight="1">
      <c r="A2" s="245" t="s">
        <v>2325</v>
      </c>
      <c r="B2" s="246">
        <f ca="1">IF(D2="——",C52,C52-E2)</f>
        <v>14369</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4221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4.0500000000000001E-2</v>
      </c>
      <c r="G7" s="263"/>
    </row>
    <row r="8" spans="1:9" s="267" customFormat="1">
      <c r="A8" s="951" t="s">
        <v>2339</v>
      </c>
      <c r="B8" s="259" t="s">
        <v>2340</v>
      </c>
      <c r="C8" s="264">
        <f>IF(G8="已包含在土地购买价格中","0",IF(B1="",'数据-取费表'!B29,IF(G9="全部缴纳",C9+C10,H9)))</f>
        <v>0</v>
      </c>
      <c r="D8" s="266"/>
      <c r="E8" s="264"/>
      <c r="F8" s="265"/>
      <c r="G8" s="2551"/>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0</v>
      </c>
      <c r="F9" s="265"/>
      <c r="G9" s="2552"/>
      <c r="H9" s="1392"/>
      <c r="I9" s="2553" t="s">
        <v>2342</v>
      </c>
    </row>
    <row r="10" spans="1:9" s="258" customFormat="1" ht="13.5" customHeight="1">
      <c r="A10" s="952" t="s">
        <v>801</v>
      </c>
      <c r="B10" s="268" t="s">
        <v>2343</v>
      </c>
      <c r="C10" s="269">
        <f ca="1">ROUND(D10*E10/10000,0)</f>
        <v>681</v>
      </c>
      <c r="D10" s="1034">
        <f ca="1">IF(B1="",'数据-汇总表'!E6,IF(INDIRECT("'数据-取费表'!c"&amp;$G$1)="住宅",INDIRECT("'数据-取费表'!s"&amp;$G$1),INDIRECT("'数据-取费表'!k"&amp;$G$1)+INDIRECT("'数据-取费表'!s"&amp;$G$1)))</f>
        <v>34044.230000000003</v>
      </c>
      <c r="E10" s="269">
        <f>'数据-取费表'!B28</f>
        <v>200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681</v>
      </c>
      <c r="D19" s="1038">
        <f ca="1">D9+D10</f>
        <v>34044.230000000003</v>
      </c>
      <c r="E19" s="255">
        <f>'数据-取费表'!B31</f>
        <v>200</v>
      </c>
      <c r="F19" s="275"/>
      <c r="G19" s="2551"/>
    </row>
    <row r="20" spans="1:7" s="258" customFormat="1" ht="13.5" customHeight="1">
      <c r="A20" s="299" t="s">
        <v>2356</v>
      </c>
      <c r="B20" s="254" t="s">
        <v>2357</v>
      </c>
      <c r="C20" s="276">
        <f ca="1">ROUND((C5+C19)*F20,0)</f>
        <v>14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67</v>
      </c>
      <c r="D22" s="279">
        <f ca="1">C26</f>
        <v>1E-3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66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174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174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9575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8511</v>
      </c>
      <c r="D34" s="261"/>
      <c r="E34" s="264"/>
      <c r="F34" s="301">
        <f ca="1">IF('数据-取费表'!B24=0,1,IF(B1="",'数据-取费表'!N16,INDIRECT("'数据-取费表'!n"&amp;$G$1)))</f>
        <v>1</v>
      </c>
      <c r="G34" s="263" t="s">
        <v>2389</v>
      </c>
    </row>
    <row r="35" spans="1:7" ht="13.5" customHeight="1">
      <c r="A35" s="953" t="s">
        <v>796</v>
      </c>
      <c r="B35" s="259" t="s">
        <v>2390</v>
      </c>
      <c r="C35" s="264">
        <f ca="1">ROUND(C34*F35,0)</f>
        <v>255</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3" t="s">
        <v>798</v>
      </c>
      <c r="B37" s="259" t="s">
        <v>2394</v>
      </c>
      <c r="C37" s="293">
        <f ca="1">ROUND(E37*D37*F34/10000,0)</f>
        <v>681</v>
      </c>
      <c r="D37" s="261">
        <f ca="1">D19</f>
        <v>34044.230000000003</v>
      </c>
      <c r="E37" s="293">
        <f>'数据-取费表'!B35</f>
        <v>200</v>
      </c>
      <c r="F37" s="303"/>
      <c r="G37" s="305" t="s">
        <v>2395</v>
      </c>
    </row>
    <row r="38" spans="1:7" ht="13.5" customHeight="1">
      <c r="A38" s="953" t="s">
        <v>799</v>
      </c>
      <c r="B38" s="259" t="s">
        <v>2396</v>
      </c>
      <c r="C38" s="264">
        <f ca="1">ROUND(C34*F38,0)</f>
        <v>128</v>
      </c>
      <c r="D38" s="264"/>
      <c r="E38" s="264"/>
      <c r="F38" s="303">
        <f>'数据-取费表'!B36</f>
        <v>1.4999999999999999E-2</v>
      </c>
      <c r="G38" s="263" t="s">
        <v>2391</v>
      </c>
    </row>
    <row r="39" spans="1:7" s="258" customFormat="1" ht="13.5" customHeight="1">
      <c r="A39" s="299" t="s">
        <v>2397</v>
      </c>
      <c r="B39" s="254" t="s">
        <v>2398</v>
      </c>
      <c r="C39" s="276">
        <f ca="1">ROUND(C33*F20,0)</f>
        <v>192</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464</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455</v>
      </c>
      <c r="D42" s="282"/>
      <c r="E42" s="282"/>
      <c r="F42" s="283"/>
      <c r="G42" s="3169" t="s">
        <v>2407</v>
      </c>
    </row>
    <row r="43" spans="1:7" ht="13.5" customHeight="1">
      <c r="A43" s="953" t="s">
        <v>792</v>
      </c>
      <c r="B43" s="259" t="s">
        <v>2408</v>
      </c>
      <c r="C43" s="282">
        <f ca="1">ROUND(IF('数据-取费表'!B22&lt;=1,C39*F22*'数据-取费表'!B21/2,C39*(POWER((1+F22),'数据-取费表'!B21/2)-1)),0)</f>
        <v>9</v>
      </c>
      <c r="D43" s="282"/>
      <c r="E43" s="282"/>
      <c r="F43" s="283"/>
      <c r="G43" s="3170"/>
    </row>
    <row r="44" spans="1:7" ht="13.5" customHeight="1">
      <c r="A44" s="953" t="s">
        <v>793</v>
      </c>
      <c r="B44" s="259" t="s">
        <v>2409</v>
      </c>
      <c r="C44" s="282">
        <f ca="1">ROUND(IF('数据-取费表'!B22&lt;=1,C40*F22*'数据-取费表'!B21/2,C40*(POWER((1+F22),'数据-取费表'!B21/2)-1)),4)</f>
        <v>1E-3</v>
      </c>
      <c r="D44" s="282"/>
      <c r="E44" s="282"/>
      <c r="F44" s="283"/>
      <c r="G44" s="3171"/>
    </row>
    <row r="45" spans="1:7" s="258" customFormat="1" ht="13.5" customHeight="1">
      <c r="A45" s="299" t="s">
        <v>2410</v>
      </c>
      <c r="B45" s="288" t="s">
        <v>2376</v>
      </c>
      <c r="C45" s="289">
        <f ca="1">C46</f>
        <v>2442</v>
      </c>
      <c r="D45" s="279">
        <f ca="1">C47</f>
        <v>5.0000000000000001E-3</v>
      </c>
      <c r="E45" s="280" t="s">
        <v>2402</v>
      </c>
      <c r="F45" s="290"/>
      <c r="G45" s="291" t="s">
        <v>2411</v>
      </c>
    </row>
    <row r="46" spans="1:7" s="258" customFormat="1" ht="13.5" customHeight="1">
      <c r="A46" s="953" t="s">
        <v>791</v>
      </c>
      <c r="B46" s="292" t="s">
        <v>2412</v>
      </c>
      <c r="C46" s="293">
        <f ca="1">ROUND((C33+C39)*F27,0)</f>
        <v>2442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13765</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13352</v>
      </c>
      <c r="D51" s="276"/>
      <c r="E51" s="276"/>
      <c r="F51" s="308"/>
      <c r="G51" s="278" t="s">
        <v>2423</v>
      </c>
    </row>
    <row r="52" spans="1:7" s="252" customFormat="1" ht="16.5" thickBot="1">
      <c r="A52" s="309" t="s">
        <v>2424</v>
      </c>
      <c r="B52" s="310"/>
      <c r="C52" s="311">
        <f ca="1">C31+C51</f>
        <v>14369</v>
      </c>
      <c r="D52" s="310"/>
      <c r="E52" s="310"/>
      <c r="F52" s="310"/>
      <c r="G52" s="312"/>
    </row>
    <row r="55" spans="1:7" ht="15">
      <c r="B55" s="314" t="s">
        <v>2425</v>
      </c>
      <c r="C55" s="315"/>
    </row>
    <row r="56" spans="1:7">
      <c r="B56" s="317" t="s">
        <v>1513</v>
      </c>
      <c r="C56" s="319">
        <f ca="1">1-C57</f>
        <v>7.0999999999999952E-2</v>
      </c>
    </row>
    <row r="57" spans="1:7">
      <c r="B57" s="317" t="s">
        <v>1514</v>
      </c>
      <c r="C57" s="318">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河南省信阳市浉河区车站街道办事处工区路135号富丽华城市花园南虹广场1、2、3号商业楼房地产抵押价值预评估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3" t="str">
        <f>项目基本情况!B5</f>
        <v>河南华仪置业发展有限公司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15382</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4518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6808846</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4.0500000000000001E-2</v>
      </c>
      <c r="G7" s="263"/>
    </row>
    <row r="8" spans="1:8" s="267" customFormat="1">
      <c r="A8" s="951" t="s">
        <v>2339</v>
      </c>
      <c r="B8" s="259" t="s">
        <v>2340</v>
      </c>
      <c r="C8" s="264">
        <f ca="1">IF(G8="已包含在土地购买价格中",0,C9+C10)</f>
        <v>6808846</v>
      </c>
      <c r="D8" s="266"/>
      <c r="E8" s="264"/>
      <c r="F8" s="265"/>
      <c r="G8" s="2551"/>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2343</v>
      </c>
      <c r="C10" s="269">
        <f ca="1">ROUND(D10*E10,0)</f>
        <v>6808846</v>
      </c>
      <c r="D10" s="1034">
        <f ca="1">IF(B1="",'数据-汇总表'!E6,IF(INDIRECT("'数据-取费表'!c"&amp;$G$1)="住宅",INDIRECT("'数据-取费表'!s"&amp;$G$1),INDIRECT("'数据-取费表'!k"&amp;$G$1)+INDIRECT("'数据-取费表'!s"&amp;$G$1)))</f>
        <v>34044.230000000003</v>
      </c>
      <c r="E10" s="269">
        <f>'数据-取费表'!B28</f>
        <v>200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6808846</v>
      </c>
      <c r="D19" s="1038">
        <f ca="1">D9+D10</f>
        <v>34044.230000000003</v>
      </c>
      <c r="E19" s="255">
        <f>'数据-取费表'!B31</f>
        <v>200</v>
      </c>
      <c r="F19" s="275"/>
      <c r="G19" s="2551"/>
    </row>
    <row r="20" spans="1:7" s="258" customFormat="1" ht="13.5" customHeight="1">
      <c r="A20" s="299" t="s">
        <v>2437</v>
      </c>
      <c r="B20" s="254" t="s">
        <v>2438</v>
      </c>
      <c r="C20" s="276">
        <f ca="1">ROUND((C5+C19)*F20,0)</f>
        <v>272354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1337343</v>
      </c>
      <c r="D22" s="279">
        <f ca="1">C26</f>
        <v>1E-3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662203</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662203</v>
      </c>
      <c r="D24" s="282"/>
      <c r="E24" s="282"/>
      <c r="F24" s="283"/>
      <c r="G24" s="284" t="s">
        <v>2449</v>
      </c>
    </row>
    <row r="25" spans="1:7" s="258" customFormat="1" ht="24">
      <c r="A25" s="953" t="s">
        <v>2339</v>
      </c>
      <c r="B25" s="259" t="s">
        <v>2450</v>
      </c>
      <c r="C25" s="1383">
        <f ca="1">ROUND(IF('数据-取费表'!B22&lt;=1,C20*F22*'数据-取费表'!B22/2,C20*(POWER((1+F22),'数据-取费表'!B22/2)-1)),0)</f>
        <v>12937</v>
      </c>
      <c r="D25" s="282"/>
      <c r="E25" s="285"/>
      <c r="F25" s="283"/>
      <c r="G25" s="286" t="s">
        <v>2451</v>
      </c>
    </row>
    <row r="26" spans="1:7" s="258" customFormat="1">
      <c r="A26" s="953"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3472512</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3472512</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20310526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95749397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85110575</v>
      </c>
      <c r="D34" s="261"/>
      <c r="E34" s="264"/>
      <c r="F34" s="301"/>
      <c r="G34" s="263"/>
    </row>
    <row r="35" spans="1:7" ht="13.5" customHeight="1">
      <c r="A35" s="953" t="s">
        <v>796</v>
      </c>
      <c r="B35" s="259" t="s">
        <v>2390</v>
      </c>
      <c r="C35" s="264">
        <f ca="1">ROUND(C34*F35,0)</f>
        <v>2553317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3" t="s">
        <v>798</v>
      </c>
      <c r="B37" s="259" t="s">
        <v>2394</v>
      </c>
      <c r="C37" s="293">
        <f ca="1">ROUND(E37*D37,0)</f>
        <v>6808846</v>
      </c>
      <c r="D37" s="261">
        <f ca="1">D19</f>
        <v>34044.230000000003</v>
      </c>
      <c r="E37" s="293">
        <f>'数据-取费表'!B35</f>
        <v>200</v>
      </c>
      <c r="F37" s="303"/>
      <c r="G37" s="305"/>
    </row>
    <row r="38" spans="1:7" ht="13.5" customHeight="1">
      <c r="A38" s="953" t="s">
        <v>799</v>
      </c>
      <c r="B38" s="259" t="s">
        <v>2396</v>
      </c>
      <c r="C38" s="264">
        <f ca="1">ROUND(C34*F38,0)</f>
        <v>1276659</v>
      </c>
      <c r="D38" s="264"/>
      <c r="E38" s="264"/>
      <c r="F38" s="303">
        <f>'数据-取费表'!B36</f>
        <v>1.4999999999999999E-2</v>
      </c>
      <c r="G38" s="263" t="s">
        <v>2391</v>
      </c>
    </row>
    <row r="39" spans="1:7" s="258" customFormat="1" ht="13.5" customHeight="1">
      <c r="A39" s="299" t="s">
        <v>2397</v>
      </c>
      <c r="B39" s="254" t="s">
        <v>2398</v>
      </c>
      <c r="C39" s="276">
        <f ca="1">ROUND(C33*F20,0)</f>
        <v>1914988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4639058</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4548096</v>
      </c>
      <c r="D42" s="282"/>
      <c r="E42" s="282"/>
      <c r="F42" s="283"/>
      <c r="G42" s="3169" t="s">
        <v>2454</v>
      </c>
    </row>
    <row r="43" spans="1:7" ht="13.5" customHeight="1">
      <c r="A43" s="953" t="s">
        <v>792</v>
      </c>
      <c r="B43" s="259" t="s">
        <v>2408</v>
      </c>
      <c r="C43" s="282">
        <f ca="1">ROUND(IF('数据-取费表'!B22&lt;=1,C39*F22*'数据-取费表'!B20/2,C39*(POWER((1+F22),'数据-取费表'!B20/2)-1)),0)</f>
        <v>90962</v>
      </c>
      <c r="D43" s="282"/>
      <c r="E43" s="282"/>
      <c r="F43" s="283"/>
      <c r="G43" s="3170"/>
    </row>
    <row r="44" spans="1:7" ht="13.5" customHeight="1">
      <c r="A44" s="953" t="s">
        <v>793</v>
      </c>
      <c r="B44" s="259" t="s">
        <v>2409</v>
      </c>
      <c r="C44" s="282">
        <f ca="1">ROUND(IF('数据-取费表'!B22&lt;=1,C40*F22*'数据-取费表'!B20/2,C40*(POWER((1+F22),'数据-取费表'!B20/2)-1)),4)</f>
        <v>1E-3</v>
      </c>
      <c r="D44" s="282"/>
      <c r="E44" s="282"/>
      <c r="F44" s="283"/>
      <c r="G44" s="3171"/>
    </row>
    <row r="45" spans="1:7" s="258" customFormat="1" ht="13.5" customHeight="1">
      <c r="A45" s="299" t="s">
        <v>2410</v>
      </c>
      <c r="B45" s="288" t="s">
        <v>2376</v>
      </c>
      <c r="C45" s="289">
        <f ca="1">C46</f>
        <v>24416096</v>
      </c>
      <c r="D45" s="279">
        <f ca="1">C47</f>
        <v>5.0000000000000001E-3</v>
      </c>
      <c r="E45" s="280" t="s">
        <v>2402</v>
      </c>
      <c r="F45" s="290"/>
      <c r="G45" s="291" t="s">
        <v>2411</v>
      </c>
    </row>
    <row r="46" spans="1:7" s="258" customFormat="1" ht="13.5" customHeight="1">
      <c r="A46" s="953" t="s">
        <v>791</v>
      </c>
      <c r="B46" s="292" t="s">
        <v>2412</v>
      </c>
      <c r="C46" s="293">
        <f ca="1">ROUND((C33+C39)*F27,0)</f>
        <v>24416096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137633908</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133504891</v>
      </c>
      <c r="D51" s="276"/>
      <c r="E51" s="276"/>
      <c r="F51" s="308"/>
      <c r="G51" s="278" t="s">
        <v>2423</v>
      </c>
    </row>
    <row r="52" spans="1:7" s="252" customFormat="1" ht="16.5" thickBot="1">
      <c r="A52" s="309" t="s">
        <v>2424</v>
      </c>
      <c r="B52" s="310"/>
      <c r="C52" s="311">
        <f ca="1">C31+C51</f>
        <v>153815417</v>
      </c>
      <c r="D52" s="310"/>
      <c r="E52" s="310"/>
      <c r="F52" s="310"/>
      <c r="G52" s="312"/>
    </row>
    <row r="55" spans="1:7" ht="15">
      <c r="B55" s="314" t="s">
        <v>2425</v>
      </c>
      <c r="C55" s="315"/>
    </row>
    <row r="56" spans="1:7">
      <c r="B56" s="317" t="s">
        <v>1513</v>
      </c>
      <c r="C56" s="319">
        <f ca="1">1-C57</f>
        <v>0.13200000000000001</v>
      </c>
    </row>
    <row r="57" spans="1:7">
      <c r="B57" s="317" t="s">
        <v>1514</v>
      </c>
      <c r="C57" s="318">
        <f ca="1">ROUND(C51/C52,3)</f>
        <v>0.86799999999999999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-837</v>
      </c>
      <c r="C2" s="320" t="s">
        <v>2458</v>
      </c>
      <c r="D2" s="320"/>
      <c r="E2" s="320"/>
      <c r="F2" s="320"/>
      <c r="G2" s="320"/>
      <c r="H2" s="320"/>
      <c r="I2" s="320"/>
      <c r="J2" s="320"/>
      <c r="K2" s="320"/>
    </row>
    <row r="3" spans="1:33" ht="18" customHeight="1" thickBot="1">
      <c r="A3" s="247" t="s">
        <v>2327</v>
      </c>
      <c r="B3" s="248">
        <f ca="1">ROUND(B2*10000/IF(C1="",'数据-汇总表'!E3,INDIRECT("'数据-取费表'!K"&amp;$K$1)),0)</f>
        <v>-246</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5" t="s">
        <v>2463</v>
      </c>
      <c r="D5" s="2555" t="s">
        <v>2464</v>
      </c>
      <c r="E5" s="2555" t="s">
        <v>2465</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34044.230000000003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34044.230000000003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681</v>
      </c>
      <c r="D18" s="1035"/>
      <c r="E18" s="24"/>
      <c r="F18" s="978"/>
      <c r="G18" s="2557"/>
      <c r="H18" s="1579"/>
      <c r="I18" s="2558"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2493</v>
      </c>
      <c r="C20" s="24">
        <f ca="1">ROUND(D20*E20/10000,0)</f>
        <v>681</v>
      </c>
      <c r="D20" s="1035">
        <f ca="1">IF(C1="",'数据-汇总表'!E6,IF(INDIRECT("'数据-取费表'!c"&amp;$K$1)="住宅",INDIRECT("'数据-取费表'!s"&amp;$K$1),INDIRECT("'数据-取费表'!k"&amp;$K$1)+INDIRECT("'数据-取费表'!s"&amp;$K$1)))</f>
        <v>34044.230000000003</v>
      </c>
      <c r="E20" s="24">
        <f>'数据-取费表'!B28</f>
        <v>200</v>
      </c>
      <c r="F20" s="978"/>
      <c r="G20" s="15"/>
      <c r="H20" s="983"/>
      <c r="I20" s="983"/>
      <c r="J20" s="983"/>
      <c r="K20" s="984"/>
    </row>
    <row r="21" spans="1:33" s="977" customFormat="1" ht="13.5" customHeight="1">
      <c r="A21" s="963" t="s">
        <v>802</v>
      </c>
      <c r="B21" s="987" t="s">
        <v>2494</v>
      </c>
      <c r="C21" s="988">
        <f ca="1">C16+C17+C18</f>
        <v>681</v>
      </c>
      <c r="D21" s="989"/>
      <c r="E21" s="325"/>
      <c r="F21" s="325"/>
      <c r="G21" s="140" t="s">
        <v>2495</v>
      </c>
      <c r="H21" s="981"/>
      <c r="I21" s="981"/>
      <c r="J21" s="981"/>
      <c r="K21" s="982"/>
    </row>
    <row r="22" spans="1:33" s="977" customFormat="1" ht="13.5" customHeight="1">
      <c r="A22" s="963" t="s">
        <v>2467</v>
      </c>
      <c r="B22" s="987" t="s">
        <v>2496</v>
      </c>
      <c r="C22" s="988">
        <f ca="1">ROUND(C21*F22,0)</f>
        <v>14</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3.8600000000000002E-2</v>
      </c>
      <c r="D24" s="325" t="s">
        <v>15</v>
      </c>
      <c r="E24" s="325"/>
      <c r="F24" s="990">
        <f>'数据-取费表'!B48+'数据-取费表'!B49</f>
        <v>4.0500000000000001E-2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2507</v>
      </c>
      <c r="B28" s="2560" t="s">
        <v>2508</v>
      </c>
      <c r="C28" s="331">
        <f ca="1">C30</f>
        <v>174</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174</v>
      </c>
      <c r="D30" s="328"/>
      <c r="E30" s="329"/>
      <c r="F30" s="334"/>
      <c r="G30" s="140"/>
      <c r="H30" s="981"/>
      <c r="I30" s="981"/>
      <c r="J30" s="981"/>
      <c r="K30" s="982"/>
    </row>
    <row r="31" spans="1:33" s="977" customFormat="1" ht="13.5" customHeight="1" thickBot="1">
      <c r="A31" s="2561"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-837</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I47" sqref="I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t="s">
        <v>4112</v>
      </c>
      <c r="E1" s="2658"/>
      <c r="F1" s="2585" t="s">
        <v>4042</v>
      </c>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f>IF(C2="——",ROUND(C49*D3/10000,0),ROUND(C49*D3/10000,0)-D2)</f>
        <v>263</v>
      </c>
      <c r="C2" s="2587" t="s">
        <v>70</v>
      </c>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f>IF(C2="——",C49,ROUND(B2*10000/D3,0))</f>
        <v>25774</v>
      </c>
      <c r="C3" s="400" t="s">
        <v>2642</v>
      </c>
      <c r="D3" s="399">
        <f>IF(D1="",'数据-汇总表'!E3,SUMIF('数据-汇总表'!$C19:$C33,D1,'数据-汇总表'!$E19:$E33))</f>
        <v>101.86</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6" t="s">
        <v>2646</v>
      </c>
      <c r="AC4" s="3188" t="s">
        <v>2647</v>
      </c>
    </row>
    <row r="5" spans="1:29" ht="15">
      <c r="A5" s="404"/>
      <c r="B5" s="405"/>
      <c r="C5" s="3209" t="s">
        <v>4043</v>
      </c>
      <c r="D5" s="3210"/>
      <c r="E5" s="3217" t="s">
        <v>4114</v>
      </c>
      <c r="F5" s="3218"/>
      <c r="G5" s="3209" t="s">
        <v>4083</v>
      </c>
      <c r="H5" s="3210"/>
      <c r="I5" s="3209" t="s">
        <v>4090</v>
      </c>
      <c r="J5" s="3210"/>
      <c r="K5" s="610"/>
      <c r="L5" s="1132"/>
      <c r="M5" s="1133"/>
      <c r="N5" s="1133"/>
      <c r="O5" s="1133"/>
      <c r="P5" s="3197"/>
      <c r="Q5" s="3198"/>
      <c r="R5" s="3203"/>
      <c r="S5" s="3204"/>
      <c r="T5" s="3203"/>
      <c r="U5" s="3204"/>
      <c r="V5" s="3186"/>
      <c r="W5" s="3186"/>
      <c r="X5" s="1814"/>
      <c r="Y5" s="3203"/>
      <c r="Z5" s="3204"/>
      <c r="AA5" s="3189"/>
      <c r="AB5" s="3186"/>
      <c r="AC5" s="3189"/>
    </row>
    <row r="6" spans="1:29" ht="46.5" customHeight="1" thickBot="1">
      <c r="A6" s="406"/>
      <c r="B6" s="407"/>
      <c r="C6" s="3214" t="str">
        <f>抵押物清单!B2</f>
        <v>河南省信阳市浉河区车站街道办事处工区路135号富丽华城市花园南虹广场1号楼商业楼101号</v>
      </c>
      <c r="D6" s="3208"/>
      <c r="E6" s="3215" t="s">
        <v>4115</v>
      </c>
      <c r="F6" s="3216"/>
      <c r="G6" s="3215" t="s">
        <v>4084</v>
      </c>
      <c r="H6" s="3216"/>
      <c r="I6" s="3207" t="s">
        <v>4091</v>
      </c>
      <c r="J6" s="3208"/>
      <c r="K6" s="610" t="s">
        <v>2545</v>
      </c>
      <c r="L6" s="1132"/>
      <c r="M6" s="1133"/>
      <c r="N6" s="1133"/>
      <c r="O6" s="1133"/>
      <c r="P6" s="3199"/>
      <c r="Q6" s="3200"/>
      <c r="R6" s="3203"/>
      <c r="S6" s="3204"/>
      <c r="T6" s="3205"/>
      <c r="U6" s="3206"/>
      <c r="V6" s="3186"/>
      <c r="W6" s="3186"/>
      <c r="X6" s="1814"/>
      <c r="Y6" s="3205"/>
      <c r="Z6" s="3206"/>
      <c r="AA6" s="3190"/>
      <c r="AB6" s="3186"/>
      <c r="AC6" s="3190"/>
    </row>
    <row r="7" spans="1:29" s="117" customFormat="1" ht="15.75" thickBot="1">
      <c r="A7" s="408" t="s">
        <v>2546</v>
      </c>
      <c r="B7" s="409"/>
      <c r="C7" s="410">
        <f>'数据-取费表'!B2</f>
        <v>43307</v>
      </c>
      <c r="D7" s="411">
        <v>100</v>
      </c>
      <c r="E7" s="412">
        <f>C7</f>
        <v>43307</v>
      </c>
      <c r="F7" s="413">
        <f>SUMIF(58:58,YEAR(E7)&amp;"-"&amp;MONTH(E7),59:59)</f>
        <v>100</v>
      </c>
      <c r="G7" s="412">
        <f>C7</f>
        <v>43307</v>
      </c>
      <c r="H7" s="411">
        <f>SUMIF(58:58,YEAR(G7)&amp;"-"&amp;MONTH(G7),59:59)</f>
        <v>100</v>
      </c>
      <c r="I7" s="412">
        <f>C7</f>
        <v>43307</v>
      </c>
      <c r="J7" s="411">
        <f>SUMIF(58:58,YEAR(I7)&amp;"-"&amp;MONTH(I7),59:59)</f>
        <v>100</v>
      </c>
      <c r="K7" s="611"/>
      <c r="L7" s="1134"/>
      <c r="M7" s="1135"/>
      <c r="N7" s="1135"/>
      <c r="O7" s="1135"/>
      <c r="P7" s="3211" t="s">
        <v>2547</v>
      </c>
      <c r="Q7" s="3213"/>
      <c r="R7" s="769" t="s">
        <v>17</v>
      </c>
      <c r="S7" s="770">
        <f t="shared" ref="S7:S15" si="0">F7</f>
        <v>100</v>
      </c>
      <c r="T7" s="769" t="s">
        <v>17</v>
      </c>
      <c r="U7" s="770">
        <f t="shared" ref="U7:U15" si="1">H7</f>
        <v>100</v>
      </c>
      <c r="V7" s="769" t="s">
        <v>17</v>
      </c>
      <c r="W7" s="770">
        <f t="shared" ref="W7:W15" si="2">J7</f>
        <v>100</v>
      </c>
      <c r="X7" s="771"/>
      <c r="Y7" s="3211" t="s">
        <v>2547</v>
      </c>
      <c r="Z7" s="3212"/>
      <c r="AA7" s="772">
        <f>D7/F7</f>
        <v>1</v>
      </c>
      <c r="AB7" s="772">
        <f>D7/H7</f>
        <v>1</v>
      </c>
      <c r="AC7" s="772">
        <f>D7/J7</f>
        <v>1</v>
      </c>
    </row>
    <row r="8" spans="1:29" s="117" customFormat="1" ht="15.75" thickBot="1">
      <c r="A8" s="408" t="s">
        <v>2548</v>
      </c>
      <c r="B8" s="409"/>
      <c r="C8" s="414" t="s">
        <v>2650</v>
      </c>
      <c r="D8" s="411">
        <v>100</v>
      </c>
      <c r="E8" s="414" t="s">
        <v>4081</v>
      </c>
      <c r="F8" s="413">
        <f>SUMIF(61:61,E8,62:62)-SUMIF(61:61,C8,62:62)+100</f>
        <v>100</v>
      </c>
      <c r="G8" s="414" t="s">
        <v>4081</v>
      </c>
      <c r="H8" s="411">
        <f>SUMIF(61:61,G8,62:62)-SUMIF(61:61,C8,62:62)+100</f>
        <v>100</v>
      </c>
      <c r="I8" s="414" t="s">
        <v>4081</v>
      </c>
      <c r="J8" s="411">
        <f>SUMIF(61:61,I8,62:62)-SUMIF(61:61,C8,62:62)+100</f>
        <v>100</v>
      </c>
      <c r="K8" s="611"/>
      <c r="L8" s="1134"/>
      <c r="M8" s="1135"/>
      <c r="N8" s="1135"/>
      <c r="O8" s="1135"/>
      <c r="P8" s="3211" t="s">
        <v>2550</v>
      </c>
      <c r="Q8" s="3212"/>
      <c r="R8" s="769" t="s">
        <v>17</v>
      </c>
      <c r="S8" s="770">
        <f t="shared" si="0"/>
        <v>100</v>
      </c>
      <c r="T8" s="769" t="s">
        <v>17</v>
      </c>
      <c r="U8" s="770">
        <f t="shared" si="1"/>
        <v>100</v>
      </c>
      <c r="V8" s="769" t="s">
        <v>17</v>
      </c>
      <c r="W8" s="770">
        <f t="shared" si="2"/>
        <v>100</v>
      </c>
      <c r="X8" s="771"/>
      <c r="Y8" s="3211" t="s">
        <v>2550</v>
      </c>
      <c r="Z8" s="3212"/>
      <c r="AA8" s="772">
        <f t="shared" ref="AA8:AA46" si="3">D8/F8</f>
        <v>1</v>
      </c>
      <c r="AB8" s="772">
        <f t="shared" ref="AB8:AB46" si="4">D8/H8</f>
        <v>1</v>
      </c>
      <c r="AC8" s="772">
        <f t="shared" ref="AC8:AC46" si="5">D8/J8</f>
        <v>1</v>
      </c>
    </row>
    <row r="9" spans="1:29" s="117" customFormat="1">
      <c r="A9" s="415" t="s">
        <v>2551</v>
      </c>
      <c r="B9" s="71" t="s">
        <v>2552</v>
      </c>
      <c r="C9" s="2952" t="s">
        <v>4044</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87"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7" customFormat="1" ht="27.75" thickBot="1">
      <c r="A10" s="421"/>
      <c r="B10" s="422" t="s">
        <v>2555</v>
      </c>
      <c r="C10" s="423" t="s">
        <v>4045</v>
      </c>
      <c r="D10" s="136">
        <v>100</v>
      </c>
      <c r="E10" s="424" t="s">
        <v>4092</v>
      </c>
      <c r="F10" s="425">
        <f>SUMIF(65:65,E10,66:66)-SUMIF(65:65,C10,66:66)+100</f>
        <v>98</v>
      </c>
      <c r="G10" s="423" t="s">
        <v>4045</v>
      </c>
      <c r="H10" s="136">
        <f>SUMIF(65:65,G10,66:66)-SUMIF(65:65,C10,66:66)+100</f>
        <v>100</v>
      </c>
      <c r="I10" s="423" t="s">
        <v>4092</v>
      </c>
      <c r="J10" s="136">
        <f>SUMIF(65:65,I10,66:66)-SUMIF(65:65,C10,66:66)+100</f>
        <v>98</v>
      </c>
      <c r="K10" s="612">
        <v>2</v>
      </c>
      <c r="L10" s="1137"/>
      <c r="M10" s="1138"/>
      <c r="N10" s="1138"/>
      <c r="O10" s="1138"/>
      <c r="P10" s="3187"/>
      <c r="Q10" s="1796" t="str">
        <f t="shared" si="6"/>
        <v>土地使用年限（年）</v>
      </c>
      <c r="R10" s="769" t="s">
        <v>17</v>
      </c>
      <c r="S10" s="770">
        <f t="shared" si="0"/>
        <v>98</v>
      </c>
      <c r="T10" s="769" t="s">
        <v>17</v>
      </c>
      <c r="U10" s="770">
        <f t="shared" si="1"/>
        <v>100</v>
      </c>
      <c r="V10" s="769" t="s">
        <v>17</v>
      </c>
      <c r="W10" s="770">
        <f t="shared" si="2"/>
        <v>98</v>
      </c>
      <c r="X10" s="771"/>
      <c r="Y10" s="3027"/>
      <c r="Z10" s="55" t="str">
        <f t="shared" si="7"/>
        <v>土地使用年限（年）</v>
      </c>
      <c r="AA10" s="772">
        <f t="shared" si="3"/>
        <v>1.0204081632653061</v>
      </c>
      <c r="AB10" s="772">
        <f t="shared" si="4"/>
        <v>1</v>
      </c>
      <c r="AC10" s="772">
        <f t="shared" si="5"/>
        <v>1.0204081632653061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187"/>
      <c r="Q11" s="1796" t="str">
        <f t="shared" si="6"/>
        <v>容积率</v>
      </c>
      <c r="R11" s="769" t="s">
        <v>17</v>
      </c>
      <c r="S11" s="770">
        <f t="shared" si="0"/>
        <v>100</v>
      </c>
      <c r="T11" s="769" t="s">
        <v>17</v>
      </c>
      <c r="U11" s="770">
        <f t="shared" si="1"/>
        <v>100</v>
      </c>
      <c r="V11" s="769" t="s">
        <v>17</v>
      </c>
      <c r="W11" s="770">
        <f t="shared" si="2"/>
        <v>100</v>
      </c>
      <c r="X11" s="771"/>
      <c r="Y11" s="3027"/>
      <c r="Z11" s="55" t="str">
        <f t="shared" si="7"/>
        <v>容积率</v>
      </c>
      <c r="AA11" s="772">
        <f t="shared" si="3"/>
        <v>1</v>
      </c>
      <c r="AB11" s="772">
        <f t="shared" si="4"/>
        <v>1</v>
      </c>
      <c r="AC11" s="772">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7"/>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40" t="s">
        <v>2557</v>
      </c>
      <c r="B15" s="69" t="s">
        <v>2651</v>
      </c>
      <c r="C15" s="2604" t="str">
        <f>估价对象房地状况!C4</f>
        <v>估价对象位于浉河区，周边商业氛围较好，人流量较大，商业繁华度较好</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177" t="s">
        <v>2558</v>
      </c>
      <c r="Q15" s="1811" t="str">
        <f t="shared" si="6"/>
        <v>商业繁华度</v>
      </c>
      <c r="R15" s="773" t="s">
        <v>17</v>
      </c>
      <c r="S15" s="774">
        <f t="shared" si="0"/>
        <v>102</v>
      </c>
      <c r="T15" s="773" t="s">
        <v>17</v>
      </c>
      <c r="U15" s="774">
        <f t="shared" si="1"/>
        <v>102</v>
      </c>
      <c r="V15" s="773" t="s">
        <v>17</v>
      </c>
      <c r="W15" s="774">
        <f t="shared" si="2"/>
        <v>102</v>
      </c>
      <c r="X15" s="1814"/>
      <c r="Y15" s="3179" t="s">
        <v>2558</v>
      </c>
      <c r="Z15" s="1815" t="str">
        <f t="shared" si="7"/>
        <v>商业繁华度</v>
      </c>
      <c r="AA15" s="1812">
        <f t="shared" si="3"/>
        <v>0.98039215686274506</v>
      </c>
      <c r="AB15" s="1812">
        <f t="shared" si="4"/>
        <v>0.98039215686274506</v>
      </c>
      <c r="AC15" s="1812">
        <f t="shared" si="5"/>
        <v>0.98039215686274506</v>
      </c>
    </row>
    <row r="16" spans="1:29" ht="15">
      <c r="A16" s="428"/>
      <c r="B16" s="446"/>
      <c r="C16" s="447" t="s">
        <v>4047</v>
      </c>
      <c r="D16" s="448"/>
      <c r="E16" s="447" t="s">
        <v>4056</v>
      </c>
      <c r="F16" s="449"/>
      <c r="G16" s="447" t="s">
        <v>4056</v>
      </c>
      <c r="H16" s="450"/>
      <c r="I16" s="447" t="s">
        <v>4056</v>
      </c>
      <c r="J16" s="448"/>
      <c r="K16" s="615"/>
      <c r="L16" s="1142"/>
      <c r="M16" s="1133"/>
      <c r="N16" s="1133"/>
      <c r="O16" s="1133"/>
      <c r="P16" s="3178"/>
      <c r="Q16" s="1811"/>
      <c r="R16" s="773"/>
      <c r="S16" s="774"/>
      <c r="T16" s="773"/>
      <c r="U16" s="774"/>
      <c r="V16" s="773"/>
      <c r="W16" s="774"/>
      <c r="X16" s="1814"/>
      <c r="Y16" s="3180"/>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178"/>
      <c r="Q17" s="1811" t="str">
        <f>B17</f>
        <v>交通便捷度</v>
      </c>
      <c r="R17" s="773" t="s">
        <v>17</v>
      </c>
      <c r="S17" s="774">
        <f>F17</f>
        <v>102</v>
      </c>
      <c r="T17" s="773" t="s">
        <v>17</v>
      </c>
      <c r="U17" s="774">
        <f>H17</f>
        <v>102</v>
      </c>
      <c r="V17" s="773" t="s">
        <v>17</v>
      </c>
      <c r="W17" s="774">
        <f>J17</f>
        <v>102</v>
      </c>
      <c r="X17" s="1814"/>
      <c r="Y17" s="3180"/>
      <c r="Z17" s="1815" t="str">
        <f>Q17</f>
        <v>交通便捷度</v>
      </c>
      <c r="AA17" s="1812">
        <f t="shared" si="3"/>
        <v>0.98039215686274506</v>
      </c>
      <c r="AB17" s="1812">
        <f t="shared" si="4"/>
        <v>0.98039215686274506</v>
      </c>
      <c r="AC17" s="1812">
        <f t="shared" si="5"/>
        <v>0.98039215686274506</v>
      </c>
    </row>
    <row r="18" spans="1:29" ht="15">
      <c r="A18" s="428"/>
      <c r="B18" s="456"/>
      <c r="C18" s="2609" t="s">
        <v>4047</v>
      </c>
      <c r="D18" s="450"/>
      <c r="E18" s="2611" t="s">
        <v>4056</v>
      </c>
      <c r="F18" s="453"/>
      <c r="G18" s="2610" t="s">
        <v>4056</v>
      </c>
      <c r="H18" s="448"/>
      <c r="I18" s="2611" t="s">
        <v>4056</v>
      </c>
      <c r="J18" s="448"/>
      <c r="K18" s="615"/>
      <c r="L18" s="1142"/>
      <c r="M18" s="1133"/>
      <c r="N18" s="1133"/>
      <c r="O18" s="1133"/>
      <c r="P18" s="3178"/>
      <c r="Q18" s="1811"/>
      <c r="R18" s="773"/>
      <c r="S18" s="774"/>
      <c r="T18" s="773"/>
      <c r="U18" s="774"/>
      <c r="V18" s="773"/>
      <c r="W18" s="774"/>
      <c r="X18" s="1814"/>
      <c r="Y18" s="3180"/>
      <c r="Z18" s="1815"/>
      <c r="AA18" s="1812">
        <v>1</v>
      </c>
      <c r="AB18" s="1812">
        <v>1</v>
      </c>
      <c r="AC18" s="1812">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178"/>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1812">
        <f t="shared" si="5"/>
        <v>1</v>
      </c>
    </row>
    <row r="20" spans="1:29" ht="15">
      <c r="A20" s="428"/>
      <c r="B20" s="456"/>
      <c r="C20" s="447" t="s">
        <v>4047</v>
      </c>
      <c r="D20" s="448"/>
      <c r="E20" s="2606" t="s">
        <v>4047</v>
      </c>
      <c r="F20" s="449"/>
      <c r="G20" s="2605" t="s">
        <v>4047</v>
      </c>
      <c r="H20" s="448"/>
      <c r="I20" s="2606" t="s">
        <v>4047</v>
      </c>
      <c r="J20" s="448"/>
      <c r="K20" s="615"/>
      <c r="L20" s="1142"/>
      <c r="M20" s="1133"/>
      <c r="N20" s="1133"/>
      <c r="O20" s="1133"/>
      <c r="P20" s="3178"/>
      <c r="Q20" s="1811"/>
      <c r="R20" s="773"/>
      <c r="S20" s="774"/>
      <c r="T20" s="773"/>
      <c r="U20" s="774"/>
      <c r="V20" s="773"/>
      <c r="W20" s="774"/>
      <c r="X20" s="1814"/>
      <c r="Y20" s="3180"/>
      <c r="Z20" s="1815"/>
      <c r="AA20" s="1812">
        <v>1</v>
      </c>
      <c r="AB20" s="1812">
        <v>1</v>
      </c>
      <c r="AC20" s="1812">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78"/>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8"/>
      <c r="B22" s="1386"/>
      <c r="C22" s="2609" t="s">
        <v>4051</v>
      </c>
      <c r="D22" s="448"/>
      <c r="E22" s="447" t="s">
        <v>4051</v>
      </c>
      <c r="F22" s="449"/>
      <c r="G22" s="447" t="s">
        <v>4051</v>
      </c>
      <c r="H22" s="448"/>
      <c r="I22" s="447" t="s">
        <v>4051</v>
      </c>
      <c r="J22" s="448"/>
      <c r="K22" s="1385"/>
      <c r="L22" s="1142"/>
      <c r="M22" s="1133"/>
      <c r="N22" s="1133"/>
      <c r="O22" s="1133"/>
      <c r="P22" s="3178"/>
      <c r="Q22" s="1811"/>
      <c r="R22" s="773"/>
      <c r="S22" s="774"/>
      <c r="T22" s="773"/>
      <c r="U22" s="774"/>
      <c r="V22" s="773"/>
      <c r="W22" s="774"/>
      <c r="X22" s="1814"/>
      <c r="Y22" s="3180"/>
      <c r="Z22" s="1815"/>
      <c r="AA22" s="1812">
        <v>1</v>
      </c>
      <c r="AB22" s="1812">
        <v>1</v>
      </c>
      <c r="AC22" s="1812">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178"/>
      <c r="Q23" s="1811" t="str">
        <f>B23</f>
        <v>自然及人文环境</v>
      </c>
      <c r="R23" s="773" t="s">
        <v>17</v>
      </c>
      <c r="S23" s="774">
        <f>F23</f>
        <v>100</v>
      </c>
      <c r="T23" s="773" t="s">
        <v>17</v>
      </c>
      <c r="U23" s="774">
        <f>H23</f>
        <v>100</v>
      </c>
      <c r="V23" s="773" t="s">
        <v>17</v>
      </c>
      <c r="W23" s="774">
        <f>J23</f>
        <v>100</v>
      </c>
      <c r="X23" s="1814"/>
      <c r="Y23" s="3180"/>
      <c r="Z23" s="1815" t="str">
        <f>Q23</f>
        <v>自然及人文环境</v>
      </c>
      <c r="AA23" s="1812">
        <f t="shared" si="3"/>
        <v>1</v>
      </c>
      <c r="AB23" s="1812">
        <f t="shared" si="4"/>
        <v>1</v>
      </c>
      <c r="AC23" s="1812">
        <f t="shared" si="5"/>
        <v>1</v>
      </c>
    </row>
    <row r="24" spans="1:29" ht="15">
      <c r="A24" s="428"/>
      <c r="B24" s="456"/>
      <c r="C24" s="447" t="s">
        <v>4049</v>
      </c>
      <c r="D24" s="448"/>
      <c r="E24" s="2606" t="s">
        <v>4049</v>
      </c>
      <c r="F24" s="449"/>
      <c r="G24" s="2605" t="s">
        <v>4049</v>
      </c>
      <c r="H24" s="448"/>
      <c r="I24" s="2606" t="s">
        <v>4049</v>
      </c>
      <c r="J24" s="448"/>
      <c r="K24" s="615"/>
      <c r="L24" s="1142"/>
      <c r="M24" s="1133"/>
      <c r="N24" s="1133"/>
      <c r="O24" s="1133"/>
      <c r="P24" s="3178"/>
      <c r="Q24" s="1811"/>
      <c r="R24" s="773"/>
      <c r="S24" s="774"/>
      <c r="T24" s="773"/>
      <c r="U24" s="774"/>
      <c r="V24" s="773"/>
      <c r="W24" s="774"/>
      <c r="X24" s="1814"/>
      <c r="Y24" s="3180"/>
      <c r="Z24" s="1815"/>
      <c r="AA24" s="1812">
        <v>1</v>
      </c>
      <c r="AB24" s="1812">
        <v>1</v>
      </c>
      <c r="AC24" s="1812">
        <v>1</v>
      </c>
    </row>
    <row r="25" spans="1:29" ht="15">
      <c r="A25" s="428"/>
      <c r="B25" s="422" t="s">
        <v>2654</v>
      </c>
      <c r="C25" s="616" t="s">
        <v>4054</v>
      </c>
      <c r="D25" s="435">
        <v>100</v>
      </c>
      <c r="E25" s="616" t="s">
        <v>4054</v>
      </c>
      <c r="F25" s="461">
        <f>SUMIF(86:86,E25,87:87)-SUMIF(86:86,C25,87:87)+100</f>
        <v>100</v>
      </c>
      <c r="G25" s="616" t="s">
        <v>4053</v>
      </c>
      <c r="H25" s="435">
        <f>SUMIF(86:86,G25,87:87)-SUMIF(86:86,C25,87:87)+100</f>
        <v>103</v>
      </c>
      <c r="I25" s="616" t="s">
        <v>4053</v>
      </c>
      <c r="J25" s="435">
        <f>SUMIF(86:86,I25,87:87)-SUMIF(86:86,C25,87:87)+100</f>
        <v>103</v>
      </c>
      <c r="K25" s="612">
        <v>3</v>
      </c>
      <c r="L25" s="1142"/>
      <c r="M25" s="1133"/>
      <c r="N25" s="1133"/>
      <c r="O25" s="1133"/>
      <c r="P25" s="3178"/>
      <c r="Q25" s="1811" t="str">
        <f t="shared" ref="Q25:Q46" si="11">B25</f>
        <v>临街状况</v>
      </c>
      <c r="R25" s="773" t="s">
        <v>17</v>
      </c>
      <c r="S25" s="774">
        <f>F25</f>
        <v>100</v>
      </c>
      <c r="T25" s="773" t="s">
        <v>17</v>
      </c>
      <c r="U25" s="774">
        <f>H25</f>
        <v>103</v>
      </c>
      <c r="V25" s="773" t="s">
        <v>17</v>
      </c>
      <c r="W25" s="774">
        <f>J25</f>
        <v>103</v>
      </c>
      <c r="X25" s="1814"/>
      <c r="Y25" s="3180"/>
      <c r="Z25" s="1815" t="str">
        <f>Q25</f>
        <v>临街状况</v>
      </c>
      <c r="AA25" s="1812">
        <f t="shared" si="3"/>
        <v>1</v>
      </c>
      <c r="AB25" s="1812">
        <f t="shared" si="4"/>
        <v>0.970873786407767</v>
      </c>
      <c r="AC25" s="1812">
        <f t="shared" si="5"/>
        <v>0.970873786407767</v>
      </c>
    </row>
    <row r="26" spans="1:29" ht="15">
      <c r="A26" s="428"/>
      <c r="B26" s="1388" t="s">
        <v>2655</v>
      </c>
      <c r="C26" s="2956" t="s">
        <v>4059</v>
      </c>
      <c r="D26" s="435">
        <v>100</v>
      </c>
      <c r="E26" s="2956" t="s">
        <v>4059</v>
      </c>
      <c r="F26" s="461">
        <f>SUMIF(88:88,E26,89:89)-SUMIF(88:88,C26,89:89)+100</f>
        <v>100</v>
      </c>
      <c r="G26" s="2956" t="s">
        <v>4059</v>
      </c>
      <c r="H26" s="435">
        <f>SUMIF(88:88,G26,89:89)-SUMIF(88:88,C26,89:89)+100</f>
        <v>100</v>
      </c>
      <c r="I26" s="2956" t="s">
        <v>4059</v>
      </c>
      <c r="J26" s="435">
        <f>SUMIF(88:88,I26,89:89)-SUMIF(88:88,C26,89:89)+100</f>
        <v>100</v>
      </c>
      <c r="K26" s="613"/>
      <c r="L26" s="1142"/>
      <c r="M26" s="1133"/>
      <c r="N26" s="1133"/>
      <c r="O26" s="1133"/>
      <c r="P26" s="3178"/>
      <c r="Q26" s="1811" t="str">
        <f t="shared" si="11"/>
        <v>平面位置/可视性</v>
      </c>
      <c r="R26" s="773" t="s">
        <v>17</v>
      </c>
      <c r="S26" s="774">
        <f>F26</f>
        <v>100</v>
      </c>
      <c r="T26" s="773" t="s">
        <v>17</v>
      </c>
      <c r="U26" s="774">
        <f>H26</f>
        <v>100</v>
      </c>
      <c r="V26" s="773" t="s">
        <v>17</v>
      </c>
      <c r="W26" s="774">
        <f>J26</f>
        <v>100</v>
      </c>
      <c r="X26" s="1814"/>
      <c r="Y26" s="3180"/>
      <c r="Z26" s="1815" t="str">
        <f>Q26</f>
        <v>平面位置/可视性</v>
      </c>
      <c r="AA26" s="1812">
        <f t="shared" si="3"/>
        <v>1</v>
      </c>
      <c r="AB26" s="1812">
        <f t="shared" si="4"/>
        <v>1</v>
      </c>
      <c r="AC26" s="1812">
        <f t="shared" si="5"/>
        <v>1</v>
      </c>
    </row>
    <row r="27" spans="1:29" s="117" customFormat="1" ht="15">
      <c r="A27" s="431"/>
      <c r="B27" s="451" t="s">
        <v>2656</v>
      </c>
      <c r="C27" s="2666" t="s">
        <v>4061</v>
      </c>
      <c r="D27" s="462">
        <v>100</v>
      </c>
      <c r="E27" s="2666" t="s">
        <v>4061</v>
      </c>
      <c r="F27" s="464">
        <f>SUMIF(90:90,E27,91:91)-SUMIF(90:90,C27,91:91)+100</f>
        <v>100</v>
      </c>
      <c r="G27" s="2666" t="s">
        <v>4061</v>
      </c>
      <c r="H27" s="462">
        <f>SUMIF(90:90,G27,91:91)-SUMIF(90:90,C27,91:91)+100</f>
        <v>100</v>
      </c>
      <c r="I27" s="2666" t="s">
        <v>4061</v>
      </c>
      <c r="J27" s="462">
        <f>SUMIF(90:90,I27,91:91)-SUMIF(90:90,C27,91:91)+100</f>
        <v>100</v>
      </c>
      <c r="K27" s="612">
        <v>2</v>
      </c>
      <c r="L27" s="1134"/>
      <c r="M27" s="1135"/>
      <c r="N27" s="1135"/>
      <c r="O27" s="1135"/>
      <c r="P27" s="3178"/>
      <c r="Q27" s="1796" t="str">
        <f t="shared" si="11"/>
        <v>人流量</v>
      </c>
      <c r="R27" s="769" t="s">
        <v>17</v>
      </c>
      <c r="S27" s="770">
        <f>F27</f>
        <v>100</v>
      </c>
      <c r="T27" s="769" t="s">
        <v>17</v>
      </c>
      <c r="U27" s="770">
        <f>H27</f>
        <v>100</v>
      </c>
      <c r="V27" s="769" t="s">
        <v>17</v>
      </c>
      <c r="W27" s="770">
        <f>J27</f>
        <v>100</v>
      </c>
      <c r="X27" s="771"/>
      <c r="Y27" s="3180"/>
      <c r="Z27" s="55" t="str">
        <f>Q27</f>
        <v>人流量</v>
      </c>
      <c r="AA27" s="1812">
        <f>D27/F27</f>
        <v>1</v>
      </c>
      <c r="AB27" s="1812">
        <f>D27/H27</f>
        <v>1</v>
      </c>
      <c r="AC27" s="1812">
        <f>D27/J27</f>
        <v>1</v>
      </c>
    </row>
    <row r="28" spans="1:29" ht="15.75" thickBot="1">
      <c r="A28" s="428"/>
      <c r="B28" s="422" t="s">
        <v>2657</v>
      </c>
      <c r="C28" s="616" t="s">
        <v>4023</v>
      </c>
      <c r="D28" s="435">
        <v>100</v>
      </c>
      <c r="E28" s="616" t="s">
        <v>4023</v>
      </c>
      <c r="F28" s="461">
        <f>SUMIF(92:92,E28,93:93)-SUMIF(92:92,C28,93:93)+100</f>
        <v>100</v>
      </c>
      <c r="G28" s="616" t="s">
        <v>4023</v>
      </c>
      <c r="H28" s="435">
        <f>SUMIF(92:92,G28,93:93)-SUMIF(92:92,C28,93:93)+100</f>
        <v>100</v>
      </c>
      <c r="I28" s="616" t="s">
        <v>4023</v>
      </c>
      <c r="J28" s="435">
        <f>SUMIF(92:92,I28,93:93)-SUMIF(92:92,C28,93:93)+100</f>
        <v>100</v>
      </c>
      <c r="K28" s="613"/>
      <c r="L28" s="1142"/>
      <c r="M28" s="1133"/>
      <c r="N28" s="1133"/>
      <c r="O28" s="1133"/>
      <c r="P28" s="317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0"/>
      <c r="Z28" s="1815" t="str">
        <f t="shared" ref="Z28:Z46" si="15">Q28</f>
        <v>楼层</v>
      </c>
      <c r="AA28" s="1812">
        <f t="shared" si="3"/>
        <v>1</v>
      </c>
      <c r="AB28" s="1812">
        <f t="shared" si="4"/>
        <v>1</v>
      </c>
      <c r="AC28" s="1812">
        <f t="shared" si="5"/>
        <v>1</v>
      </c>
    </row>
    <row r="29" spans="1:29" ht="15" hidden="1" customHeight="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78"/>
      <c r="Q29" s="1811">
        <f t="shared" si="11"/>
        <v>111</v>
      </c>
      <c r="R29" s="773" t="s">
        <v>17</v>
      </c>
      <c r="S29" s="774">
        <f t="shared" si="12"/>
        <v>100</v>
      </c>
      <c r="T29" s="773" t="s">
        <v>17</v>
      </c>
      <c r="U29" s="774">
        <f t="shared" si="13"/>
        <v>100</v>
      </c>
      <c r="V29" s="773" t="s">
        <v>17</v>
      </c>
      <c r="W29" s="774">
        <f t="shared" si="14"/>
        <v>100</v>
      </c>
      <c r="X29" s="1814"/>
      <c r="Y29" s="3180"/>
      <c r="Z29" s="1815">
        <f t="shared" si="15"/>
        <v>111</v>
      </c>
      <c r="AA29" s="1812">
        <f t="shared" si="3"/>
        <v>1</v>
      </c>
      <c r="AB29" s="1812">
        <f t="shared" si="4"/>
        <v>1</v>
      </c>
      <c r="AC29" s="1812">
        <f t="shared" si="5"/>
        <v>1</v>
      </c>
    </row>
    <row r="30" spans="1:29" ht="15" hidden="1" customHeight="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78"/>
      <c r="Q30" s="1811">
        <f t="shared" si="11"/>
        <v>111</v>
      </c>
      <c r="R30" s="773" t="s">
        <v>17</v>
      </c>
      <c r="S30" s="774">
        <f t="shared" si="12"/>
        <v>100</v>
      </c>
      <c r="T30" s="773" t="s">
        <v>17</v>
      </c>
      <c r="U30" s="774">
        <f t="shared" si="13"/>
        <v>100</v>
      </c>
      <c r="V30" s="773" t="s">
        <v>17</v>
      </c>
      <c r="W30" s="774">
        <f t="shared" si="14"/>
        <v>100</v>
      </c>
      <c r="X30" s="1814"/>
      <c r="Y30" s="3180"/>
      <c r="Z30" s="1815">
        <f t="shared" si="15"/>
        <v>111</v>
      </c>
      <c r="AA30" s="1812">
        <f t="shared" si="3"/>
        <v>1</v>
      </c>
      <c r="AB30" s="1812">
        <f t="shared" si="4"/>
        <v>1</v>
      </c>
      <c r="AC30" s="1812">
        <f t="shared" si="5"/>
        <v>1</v>
      </c>
    </row>
    <row r="31" spans="1:29" ht="15.75" hidden="1" customHeight="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78"/>
      <c r="Q31" s="1811">
        <f t="shared" si="11"/>
        <v>111</v>
      </c>
      <c r="R31" s="773" t="s">
        <v>17</v>
      </c>
      <c r="S31" s="774">
        <f t="shared" si="12"/>
        <v>100</v>
      </c>
      <c r="T31" s="773" t="s">
        <v>17</v>
      </c>
      <c r="U31" s="774">
        <f t="shared" si="13"/>
        <v>100</v>
      </c>
      <c r="V31" s="773" t="s">
        <v>17</v>
      </c>
      <c r="W31" s="774">
        <f t="shared" si="14"/>
        <v>100</v>
      </c>
      <c r="X31" s="1814"/>
      <c r="Y31" s="3180"/>
      <c r="Z31" s="1815">
        <f t="shared" si="15"/>
        <v>111</v>
      </c>
      <c r="AA31" s="1812">
        <f t="shared" si="3"/>
        <v>1</v>
      </c>
      <c r="AB31" s="1812">
        <f t="shared" si="4"/>
        <v>1</v>
      </c>
      <c r="AC31" s="1812">
        <f t="shared" si="5"/>
        <v>1</v>
      </c>
    </row>
    <row r="32" spans="1:29" ht="15">
      <c r="A32" s="440" t="s">
        <v>2561</v>
      </c>
      <c r="B32" s="71" t="s">
        <v>2658</v>
      </c>
      <c r="C32" s="2618" t="s">
        <v>4065</v>
      </c>
      <c r="D32" s="467">
        <v>100</v>
      </c>
      <c r="E32" s="2618" t="s">
        <v>4067</v>
      </c>
      <c r="F32" s="461">
        <f>SUMIF(100:100,E32,101:101)-SUMIF(100:100,C32,101:101)+100</f>
        <v>98</v>
      </c>
      <c r="G32" s="2618" t="s">
        <v>4069</v>
      </c>
      <c r="H32" s="435">
        <f>SUMIF(100:100,G32,101:101)-SUMIF(100:100,C32,101:101)+100</f>
        <v>96</v>
      </c>
      <c r="I32" s="2618" t="s">
        <v>4067</v>
      </c>
      <c r="J32" s="467">
        <f>SUMIF(100:100,I32,101:101)-SUMIF(100:100,C32,101:101)+100</f>
        <v>98</v>
      </c>
      <c r="K32" s="612">
        <v>1</v>
      </c>
      <c r="L32" s="1142"/>
      <c r="M32" s="1133"/>
      <c r="N32" s="1133"/>
      <c r="O32" s="1133"/>
      <c r="P32" s="3181" t="s">
        <v>2563</v>
      </c>
      <c r="Q32" s="1811" t="str">
        <f t="shared" si="11"/>
        <v>商业类型</v>
      </c>
      <c r="R32" s="773" t="s">
        <v>17</v>
      </c>
      <c r="S32" s="774">
        <f t="shared" si="12"/>
        <v>98</v>
      </c>
      <c r="T32" s="773" t="s">
        <v>17</v>
      </c>
      <c r="U32" s="774">
        <f t="shared" si="13"/>
        <v>96</v>
      </c>
      <c r="V32" s="773" t="s">
        <v>17</v>
      </c>
      <c r="W32" s="774">
        <f t="shared" si="14"/>
        <v>98</v>
      </c>
      <c r="X32" s="1814"/>
      <c r="Y32" s="3184" t="s">
        <v>2563</v>
      </c>
      <c r="Z32" s="1815" t="str">
        <f t="shared" si="15"/>
        <v>商业类型</v>
      </c>
      <c r="AA32" s="1812">
        <f t="shared" si="3"/>
        <v>1.0204081632653061</v>
      </c>
      <c r="AB32" s="1812">
        <f t="shared" si="4"/>
        <v>1.0416666666666667</v>
      </c>
      <c r="AC32" s="1812">
        <f t="shared" si="5"/>
        <v>1.0204081632653061</v>
      </c>
    </row>
    <row r="33" spans="1:29" s="471" customFormat="1" ht="15" hidden="1" customHeight="1">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182"/>
      <c r="Q33" s="775" t="str">
        <f t="shared" si="11"/>
        <v>项目建筑规模</v>
      </c>
      <c r="R33" s="776" t="s">
        <v>17</v>
      </c>
      <c r="S33" s="777">
        <f t="shared" si="12"/>
        <v>100</v>
      </c>
      <c r="T33" s="776" t="s">
        <v>17</v>
      </c>
      <c r="U33" s="777">
        <f t="shared" si="13"/>
        <v>100</v>
      </c>
      <c r="V33" s="776" t="s">
        <v>17</v>
      </c>
      <c r="W33" s="777">
        <f t="shared" si="14"/>
        <v>100</v>
      </c>
      <c r="X33" s="778"/>
      <c r="Y33" s="3184"/>
      <c r="Z33" s="779" t="str">
        <f t="shared" si="15"/>
        <v>项目建筑规模</v>
      </c>
      <c r="AA33" s="1812">
        <f t="shared" si="3"/>
        <v>1</v>
      </c>
      <c r="AB33" s="1812">
        <f t="shared" si="4"/>
        <v>1</v>
      </c>
      <c r="AC33" s="1812">
        <f t="shared" si="5"/>
        <v>1</v>
      </c>
    </row>
    <row r="34" spans="1:29" ht="15">
      <c r="A34" s="472"/>
      <c r="B34" s="422" t="s">
        <v>2565</v>
      </c>
      <c r="C34" s="2620" t="s">
        <v>4070</v>
      </c>
      <c r="D34" s="435">
        <v>100</v>
      </c>
      <c r="E34" s="2620" t="s">
        <v>4070</v>
      </c>
      <c r="F34" s="461">
        <f>SUMIF(105:105,E34,106:106)-SUMIF(105:105,C34,106:106)+100</f>
        <v>100</v>
      </c>
      <c r="G34" s="2620" t="s">
        <v>4070</v>
      </c>
      <c r="H34" s="435">
        <f>SUMIF(105:105,G34,106:106)-SUMIF(105:105,C34,106:106)+100</f>
        <v>100</v>
      </c>
      <c r="I34" s="2620" t="s">
        <v>4070</v>
      </c>
      <c r="J34" s="435">
        <f>SUMIF(105:105,I34,106:106)-SUMIF(105:105,C34,106:106)+100</f>
        <v>100</v>
      </c>
      <c r="K34" s="612">
        <v>2</v>
      </c>
      <c r="L34" s="1142"/>
      <c r="M34" s="1133"/>
      <c r="N34" s="1133"/>
      <c r="O34" s="1133"/>
      <c r="P34" s="3182"/>
      <c r="Q34" s="1811" t="str">
        <f t="shared" si="11"/>
        <v>建筑结构</v>
      </c>
      <c r="R34" s="773" t="s">
        <v>17</v>
      </c>
      <c r="S34" s="774">
        <f t="shared" si="12"/>
        <v>100</v>
      </c>
      <c r="T34" s="773" t="s">
        <v>17</v>
      </c>
      <c r="U34" s="774">
        <f t="shared" si="13"/>
        <v>100</v>
      </c>
      <c r="V34" s="773" t="s">
        <v>17</v>
      </c>
      <c r="W34" s="774">
        <f t="shared" si="14"/>
        <v>100</v>
      </c>
      <c r="X34" s="1814"/>
      <c r="Y34" s="3184"/>
      <c r="Z34" s="1815" t="str">
        <f t="shared" si="15"/>
        <v>建筑结构</v>
      </c>
      <c r="AA34" s="1812">
        <f t="shared" si="3"/>
        <v>1</v>
      </c>
      <c r="AB34" s="1812">
        <f t="shared" si="4"/>
        <v>1</v>
      </c>
      <c r="AC34" s="1812">
        <f t="shared" si="5"/>
        <v>1</v>
      </c>
    </row>
    <row r="35" spans="1:29" ht="15">
      <c r="A35" s="472"/>
      <c r="B35" s="422" t="s">
        <v>2659</v>
      </c>
      <c r="C35" s="2614" t="s">
        <v>4073</v>
      </c>
      <c r="D35" s="435">
        <v>100</v>
      </c>
      <c r="E35" s="2614" t="s">
        <v>4073</v>
      </c>
      <c r="F35" s="461">
        <f>SUMIF(107:107,E35,108:108)-SUMIF(107:107,C35,108:108)+100</f>
        <v>100</v>
      </c>
      <c r="G35" s="2614" t="s">
        <v>4073</v>
      </c>
      <c r="H35" s="435">
        <f>SUMIF(107:107,G35,108:108)-SUMIF(107:107,C35,108:108)+100</f>
        <v>100</v>
      </c>
      <c r="I35" s="2614" t="s">
        <v>4073</v>
      </c>
      <c r="J35" s="435">
        <f>SUMIF(107:107,I35,108:108)-SUMIF(107:107,C35,108:108)+100</f>
        <v>100</v>
      </c>
      <c r="K35" s="612">
        <v>2</v>
      </c>
      <c r="L35" s="1142"/>
      <c r="M35" s="1133"/>
      <c r="N35" s="1133"/>
      <c r="O35" s="1133"/>
      <c r="P35" s="3182"/>
      <c r="Q35" s="1811" t="str">
        <f t="shared" si="11"/>
        <v>公共部分装修</v>
      </c>
      <c r="R35" s="773" t="s">
        <v>17</v>
      </c>
      <c r="S35" s="774">
        <f t="shared" si="12"/>
        <v>100</v>
      </c>
      <c r="T35" s="773" t="s">
        <v>17</v>
      </c>
      <c r="U35" s="774">
        <f t="shared" si="13"/>
        <v>100</v>
      </c>
      <c r="V35" s="773" t="s">
        <v>17</v>
      </c>
      <c r="W35" s="774">
        <f t="shared" si="14"/>
        <v>100</v>
      </c>
      <c r="X35" s="1814"/>
      <c r="Y35" s="3184"/>
      <c r="Z35" s="1815" t="str">
        <f t="shared" si="15"/>
        <v>公共部分装修</v>
      </c>
      <c r="AA35" s="1812">
        <f t="shared" si="3"/>
        <v>1</v>
      </c>
      <c r="AB35" s="1812">
        <f t="shared" si="4"/>
        <v>1</v>
      </c>
      <c r="AC35" s="1812">
        <f t="shared" si="5"/>
        <v>1</v>
      </c>
    </row>
    <row r="36" spans="1:29" ht="15">
      <c r="A36" s="472"/>
      <c r="B36" s="422" t="s">
        <v>2660</v>
      </c>
      <c r="C36" s="474">
        <f>'数据-取费表'!N6</f>
        <v>0.97</v>
      </c>
      <c r="D36" s="435">
        <v>100</v>
      </c>
      <c r="E36" s="474">
        <v>0.8</v>
      </c>
      <c r="F36" s="461">
        <f>LOOKUP(E36,110:110,111:111)-LOOKUP(C36,110:110,111:111)+100</f>
        <v>98</v>
      </c>
      <c r="G36" s="474">
        <v>0.85</v>
      </c>
      <c r="H36" s="461">
        <f>LOOKUP(G36,110:110,111:111)-LOOKUP(C36,110:110,111:111)+100</f>
        <v>98</v>
      </c>
      <c r="I36" s="474">
        <v>0.8</v>
      </c>
      <c r="J36" s="435">
        <f>LOOKUP(I36,110:110,111:111)-LOOKUP(C36,110:110,111:111)+100</f>
        <v>98</v>
      </c>
      <c r="K36" s="612">
        <v>2</v>
      </c>
      <c r="L36" s="1142"/>
      <c r="M36" s="1133"/>
      <c r="N36" s="1133"/>
      <c r="O36" s="1133"/>
      <c r="P36" s="3182"/>
      <c r="Q36" s="1811" t="str">
        <f t="shared" si="11"/>
        <v>成新度</v>
      </c>
      <c r="R36" s="773" t="s">
        <v>17</v>
      </c>
      <c r="S36" s="774">
        <f t="shared" si="12"/>
        <v>98</v>
      </c>
      <c r="T36" s="773" t="s">
        <v>17</v>
      </c>
      <c r="U36" s="774">
        <f t="shared" si="13"/>
        <v>98</v>
      </c>
      <c r="V36" s="773" t="s">
        <v>17</v>
      </c>
      <c r="W36" s="774">
        <f t="shared" si="14"/>
        <v>98</v>
      </c>
      <c r="X36" s="1814"/>
      <c r="Y36" s="3184"/>
      <c r="Z36" s="1815" t="str">
        <f t="shared" si="15"/>
        <v>成新度</v>
      </c>
      <c r="AA36" s="1812">
        <f t="shared" si="3"/>
        <v>1.0204081632653061</v>
      </c>
      <c r="AB36" s="1812">
        <f t="shared" si="4"/>
        <v>1.0204081632653061</v>
      </c>
      <c r="AC36" s="1812">
        <f t="shared" si="5"/>
        <v>1.0204081632653061</v>
      </c>
    </row>
    <row r="37" spans="1:29" s="117" customFormat="1" ht="15">
      <c r="A37" s="473"/>
      <c r="B37" s="422" t="s">
        <v>2661</v>
      </c>
      <c r="C37" s="2614" t="s">
        <v>4051</v>
      </c>
      <c r="D37" s="136">
        <v>100</v>
      </c>
      <c r="E37" s="2614" t="s">
        <v>4051</v>
      </c>
      <c r="F37" s="461">
        <f>SUMIF(112:112,E37,113:113)-SUMIF(112:112,C37,113:113)+100</f>
        <v>100</v>
      </c>
      <c r="G37" s="2614" t="s">
        <v>4051</v>
      </c>
      <c r="H37" s="435">
        <f>SUMIF(112:112,G37,113:113)-SUMIF(112:112,C37,113:113)+100</f>
        <v>100</v>
      </c>
      <c r="I37" s="2614" t="s">
        <v>4051</v>
      </c>
      <c r="J37" s="435">
        <f>SUMIF(112:112,I37,113:113)-SUMIF(112:112,C37,113:113)+100</f>
        <v>100</v>
      </c>
      <c r="K37" s="612">
        <v>1</v>
      </c>
      <c r="L37" s="1134"/>
      <c r="M37" s="1135"/>
      <c r="N37" s="1135"/>
      <c r="O37" s="1135"/>
      <c r="P37" s="3182"/>
      <c r="Q37" s="1796" t="str">
        <f t="shared" si="11"/>
        <v>市政基础设施</v>
      </c>
      <c r="R37" s="769" t="s">
        <v>17</v>
      </c>
      <c r="S37" s="770">
        <f t="shared" si="12"/>
        <v>100</v>
      </c>
      <c r="T37" s="769" t="s">
        <v>17</v>
      </c>
      <c r="U37" s="770">
        <f t="shared" si="13"/>
        <v>100</v>
      </c>
      <c r="V37" s="769" t="s">
        <v>17</v>
      </c>
      <c r="W37" s="770">
        <f t="shared" si="14"/>
        <v>100</v>
      </c>
      <c r="X37" s="771"/>
      <c r="Y37" s="3184"/>
      <c r="Z37" s="55" t="str">
        <f t="shared" si="15"/>
        <v>市政基础设施</v>
      </c>
      <c r="AA37" s="772">
        <f t="shared" si="3"/>
        <v>1</v>
      </c>
      <c r="AB37" s="772">
        <f t="shared" si="4"/>
        <v>1</v>
      </c>
      <c r="AC37" s="772">
        <f t="shared" si="5"/>
        <v>1</v>
      </c>
    </row>
    <row r="38" spans="1:29" ht="15">
      <c r="A38" s="472"/>
      <c r="B38" s="422" t="s">
        <v>2662</v>
      </c>
      <c r="C38" s="2614" t="s">
        <v>4078</v>
      </c>
      <c r="D38" s="435">
        <v>100</v>
      </c>
      <c r="E38" s="2614" t="s">
        <v>4078</v>
      </c>
      <c r="F38" s="461">
        <f>SUMIF(114:114,E38,115:115)-SUMIF(114:114,C38,115:115)+100</f>
        <v>100</v>
      </c>
      <c r="G38" s="2614" t="s">
        <v>4079</v>
      </c>
      <c r="H38" s="435">
        <f>SUMIF(114:114,G38,115:115)-SUMIF(114:114,C38,115:115)+100</f>
        <v>95</v>
      </c>
      <c r="I38" s="2614" t="s">
        <v>4078</v>
      </c>
      <c r="J38" s="435">
        <f>SUMIF(114:114,I38,115:115)-SUMIF(114:114,C38,115:115)+100</f>
        <v>100</v>
      </c>
      <c r="K38" s="612">
        <v>5</v>
      </c>
      <c r="L38" s="1142"/>
      <c r="M38" s="1133"/>
      <c r="N38" s="1133"/>
      <c r="O38" s="1133"/>
      <c r="P38" s="3182" t="s">
        <v>2563</v>
      </c>
      <c r="Q38" s="1811" t="str">
        <f t="shared" si="11"/>
        <v>业态</v>
      </c>
      <c r="R38" s="773" t="s">
        <v>17</v>
      </c>
      <c r="S38" s="774">
        <f t="shared" si="12"/>
        <v>100</v>
      </c>
      <c r="T38" s="773" t="s">
        <v>17</v>
      </c>
      <c r="U38" s="774">
        <f t="shared" si="13"/>
        <v>95</v>
      </c>
      <c r="V38" s="773" t="s">
        <v>17</v>
      </c>
      <c r="W38" s="774">
        <f t="shared" si="14"/>
        <v>100</v>
      </c>
      <c r="X38" s="1814"/>
      <c r="Y38" s="3184" t="s">
        <v>2563</v>
      </c>
      <c r="Z38" s="1815" t="str">
        <f t="shared" si="15"/>
        <v>业态</v>
      </c>
      <c r="AA38" s="1812">
        <f t="shared" si="3"/>
        <v>1</v>
      </c>
      <c r="AB38" s="1812">
        <f t="shared" si="4"/>
        <v>1.0526315789473684</v>
      </c>
      <c r="AC38" s="1812">
        <f t="shared" si="5"/>
        <v>1</v>
      </c>
    </row>
    <row r="39" spans="1:29" ht="15">
      <c r="A39" s="472"/>
      <c r="B39" s="422" t="s">
        <v>2663</v>
      </c>
      <c r="C39" s="2614" t="s">
        <v>4080</v>
      </c>
      <c r="D39" s="435">
        <v>100</v>
      </c>
      <c r="E39" s="2614" t="s">
        <v>4080</v>
      </c>
      <c r="F39" s="461">
        <f>SUMIF(116:116,E39,117:117)-SUMIF(116:116,C39,117:117)+100</f>
        <v>100</v>
      </c>
      <c r="G39" s="2614" t="s">
        <v>4080</v>
      </c>
      <c r="H39" s="435">
        <f>SUMIF(116:116,G39,117:117)-SUMIF(116:116,C39,117:117)+100</f>
        <v>100</v>
      </c>
      <c r="I39" s="2614" t="s">
        <v>4080</v>
      </c>
      <c r="J39" s="435">
        <f>SUMIF(116:116,I39,117:117)-SUMIF(116:116,C39,117:117)+100</f>
        <v>100</v>
      </c>
      <c r="K39" s="612">
        <v>2</v>
      </c>
      <c r="L39" s="1142"/>
      <c r="M39" s="1133"/>
      <c r="N39" s="1133"/>
      <c r="O39" s="1133"/>
      <c r="P39" s="3182"/>
      <c r="Q39" s="1811" t="str">
        <f t="shared" si="11"/>
        <v>层高</v>
      </c>
      <c r="R39" s="773" t="s">
        <v>17</v>
      </c>
      <c r="S39" s="774">
        <f t="shared" si="12"/>
        <v>100</v>
      </c>
      <c r="T39" s="773" t="s">
        <v>17</v>
      </c>
      <c r="U39" s="774">
        <f t="shared" si="13"/>
        <v>100</v>
      </c>
      <c r="V39" s="773" t="s">
        <v>17</v>
      </c>
      <c r="W39" s="774">
        <f t="shared" si="14"/>
        <v>100</v>
      </c>
      <c r="X39" s="1814"/>
      <c r="Y39" s="3184"/>
      <c r="Z39" s="1815" t="str">
        <f t="shared" si="15"/>
        <v>层高</v>
      </c>
      <c r="AA39" s="1812">
        <f t="shared" si="3"/>
        <v>1</v>
      </c>
      <c r="AB39" s="1812">
        <f t="shared" si="4"/>
        <v>1</v>
      </c>
      <c r="AC39" s="1812">
        <f t="shared" si="5"/>
        <v>1</v>
      </c>
    </row>
    <row r="40" spans="1:29" ht="15">
      <c r="A40" s="472"/>
      <c r="B40" s="422" t="s">
        <v>2664</v>
      </c>
      <c r="C40" s="2955">
        <f>抵押物清单!E2</f>
        <v>101.86</v>
      </c>
      <c r="D40" s="435">
        <v>100</v>
      </c>
      <c r="E40" s="617">
        <v>398</v>
      </c>
      <c r="F40" s="461">
        <f>SUMIF(118:118,E40,119:119)-SUMIF(118:118,C40,119:119)+100</f>
        <v>98</v>
      </c>
      <c r="G40" s="617">
        <v>116</v>
      </c>
      <c r="H40" s="435">
        <f>SUMIF(118:118,G40,119:119)-SUMIF(118:118,C40,119:119)+100</f>
        <v>100</v>
      </c>
      <c r="I40" s="617">
        <v>112</v>
      </c>
      <c r="J40" s="435">
        <f>SUMIF(118:118,I40,119:119)-SUMIF(118:118,C40,119:119)+100</f>
        <v>100</v>
      </c>
      <c r="K40" s="613"/>
      <c r="L40" s="1142"/>
      <c r="M40" s="1133">
        <v>50</v>
      </c>
      <c r="N40" s="1133">
        <v>100</v>
      </c>
      <c r="O40" s="1133"/>
      <c r="P40" s="3182"/>
      <c r="Q40" s="1811" t="str">
        <f t="shared" si="11"/>
        <v>单套建筑面积</v>
      </c>
      <c r="R40" s="773" t="s">
        <v>17</v>
      </c>
      <c r="S40" s="774">
        <f t="shared" si="12"/>
        <v>98</v>
      </c>
      <c r="T40" s="773" t="s">
        <v>17</v>
      </c>
      <c r="U40" s="774">
        <f t="shared" si="13"/>
        <v>100</v>
      </c>
      <c r="V40" s="773" t="s">
        <v>17</v>
      </c>
      <c r="W40" s="774">
        <f t="shared" si="14"/>
        <v>100</v>
      </c>
      <c r="X40" s="1814"/>
      <c r="Y40" s="3184"/>
      <c r="Z40" s="1815" t="str">
        <f t="shared" si="15"/>
        <v>单套建筑面积</v>
      </c>
      <c r="AA40" s="1812">
        <f t="shared" si="3"/>
        <v>1.0204081632653061</v>
      </c>
      <c r="AB40" s="1812">
        <f t="shared" si="4"/>
        <v>1</v>
      </c>
      <c r="AC40" s="1812">
        <f t="shared" si="5"/>
        <v>1</v>
      </c>
    </row>
    <row r="41" spans="1:29" s="471" customFormat="1" ht="15" hidden="1" customHeight="1">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2"/>
      <c r="Q41" s="775" t="str">
        <f t="shared" si="11"/>
        <v>进深比</v>
      </c>
      <c r="R41" s="776" t="s">
        <v>17</v>
      </c>
      <c r="S41" s="777">
        <f t="shared" si="12"/>
        <v>100</v>
      </c>
      <c r="T41" s="776" t="s">
        <v>17</v>
      </c>
      <c r="U41" s="777">
        <f t="shared" si="13"/>
        <v>100</v>
      </c>
      <c r="V41" s="776" t="s">
        <v>17</v>
      </c>
      <c r="W41" s="777">
        <f t="shared" si="14"/>
        <v>100</v>
      </c>
      <c r="X41" s="778"/>
      <c r="Y41" s="3184"/>
      <c r="Z41" s="779" t="str">
        <f t="shared" si="15"/>
        <v>进深比</v>
      </c>
      <c r="AA41" s="1812">
        <f t="shared" si="3"/>
        <v>1</v>
      </c>
      <c r="AB41" s="1812">
        <f t="shared" si="4"/>
        <v>1</v>
      </c>
      <c r="AC41" s="1812">
        <f t="shared" si="5"/>
        <v>1</v>
      </c>
    </row>
    <row r="42" spans="1:29" ht="15">
      <c r="A42" s="472"/>
      <c r="B42" s="422" t="s">
        <v>2666</v>
      </c>
      <c r="C42" s="2614" t="s">
        <v>4073</v>
      </c>
      <c r="D42" s="435">
        <v>100</v>
      </c>
      <c r="E42" s="2614" t="s">
        <v>4073</v>
      </c>
      <c r="F42" s="461">
        <f>SUMIF(122:122,E42,123:123)-SUMIF(122:122,C42,123:123)+100</f>
        <v>100</v>
      </c>
      <c r="G42" s="2614" t="s">
        <v>4073</v>
      </c>
      <c r="H42" s="435">
        <f>SUMIF(122:122,G42,123:123)-SUMIF(122:122,C42,123:123)+100</f>
        <v>100</v>
      </c>
      <c r="I42" s="2614" t="s">
        <v>4073</v>
      </c>
      <c r="J42" s="435">
        <f>SUMIF(122:122,I42,123:123)-SUMIF(122:122,C42,123:123)+100</f>
        <v>100</v>
      </c>
      <c r="K42" s="612">
        <v>2</v>
      </c>
      <c r="L42" s="1142"/>
      <c r="M42" s="1133" t="s">
        <v>4097</v>
      </c>
      <c r="N42" s="1133">
        <v>98</v>
      </c>
      <c r="O42" s="1133"/>
      <c r="P42" s="3182"/>
      <c r="Q42" s="1811" t="str">
        <f t="shared" si="11"/>
        <v>内部装修</v>
      </c>
      <c r="R42" s="773" t="s">
        <v>17</v>
      </c>
      <c r="S42" s="774">
        <f t="shared" si="12"/>
        <v>100</v>
      </c>
      <c r="T42" s="773" t="s">
        <v>17</v>
      </c>
      <c r="U42" s="774">
        <f t="shared" si="13"/>
        <v>100</v>
      </c>
      <c r="V42" s="773" t="s">
        <v>17</v>
      </c>
      <c r="W42" s="774">
        <f t="shared" si="14"/>
        <v>100</v>
      </c>
      <c r="X42" s="1814"/>
      <c r="Y42" s="3184"/>
      <c r="Z42" s="1815" t="str">
        <f t="shared" si="15"/>
        <v>内部装修</v>
      </c>
      <c r="AA42" s="1812">
        <f t="shared" si="3"/>
        <v>1</v>
      </c>
      <c r="AB42" s="1812">
        <f t="shared" si="4"/>
        <v>1</v>
      </c>
      <c r="AC42" s="1812">
        <f t="shared" si="5"/>
        <v>1</v>
      </c>
    </row>
    <row r="43" spans="1:29" ht="15.75" thickBot="1">
      <c r="A43" s="472"/>
      <c r="B43" s="422" t="s">
        <v>2574</v>
      </c>
      <c r="C43" s="2614" t="s">
        <v>4047</v>
      </c>
      <c r="D43" s="435">
        <v>100</v>
      </c>
      <c r="E43" s="2614" t="s">
        <v>4047</v>
      </c>
      <c r="F43" s="461">
        <f>SUMIF(124:124,E43,125:125)-SUMIF(124:124,C43,125:125)+100</f>
        <v>100</v>
      </c>
      <c r="G43" s="2614" t="s">
        <v>4047</v>
      </c>
      <c r="H43" s="435">
        <f>SUMIF(124:124,G43,125:125)-SUMIF(124:124,C43,125:125)+100</f>
        <v>100</v>
      </c>
      <c r="I43" s="2614" t="s">
        <v>4047</v>
      </c>
      <c r="J43" s="435">
        <f>SUMIF(124:124,I43,125:125)-SUMIF(124:124,C43,125:125)+100</f>
        <v>100</v>
      </c>
      <c r="K43" s="612">
        <v>2</v>
      </c>
      <c r="L43" s="1142"/>
      <c r="M43" s="1133" t="s">
        <v>4098</v>
      </c>
      <c r="N43" s="1133">
        <v>96</v>
      </c>
      <c r="O43" s="1133"/>
      <c r="P43" s="3182"/>
      <c r="Q43" s="1811" t="str">
        <f t="shared" si="11"/>
        <v>内部装修维护情况</v>
      </c>
      <c r="R43" s="773" t="s">
        <v>17</v>
      </c>
      <c r="S43" s="774">
        <f t="shared" si="12"/>
        <v>100</v>
      </c>
      <c r="T43" s="773" t="s">
        <v>17</v>
      </c>
      <c r="U43" s="774">
        <f t="shared" si="13"/>
        <v>100</v>
      </c>
      <c r="V43" s="773" t="s">
        <v>17</v>
      </c>
      <c r="W43" s="774">
        <f t="shared" si="14"/>
        <v>100</v>
      </c>
      <c r="X43" s="1814"/>
      <c r="Y43" s="3184"/>
      <c r="Z43" s="1815" t="str">
        <f t="shared" si="15"/>
        <v>内部装修维护情况</v>
      </c>
      <c r="AA43" s="1812">
        <f t="shared" si="3"/>
        <v>1</v>
      </c>
      <c r="AB43" s="1812">
        <f t="shared" si="4"/>
        <v>1</v>
      </c>
      <c r="AC43" s="1812">
        <f t="shared" si="5"/>
        <v>1</v>
      </c>
    </row>
    <row r="44" spans="1:29" s="117" customFormat="1" ht="15" hidden="1" customHeight="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2"/>
      <c r="Q44" s="1796">
        <f t="shared" si="11"/>
        <v>111</v>
      </c>
      <c r="R44" s="769" t="s">
        <v>17</v>
      </c>
      <c r="S44" s="770">
        <f t="shared" si="12"/>
        <v>100</v>
      </c>
      <c r="T44" s="769" t="s">
        <v>17</v>
      </c>
      <c r="U44" s="770">
        <f t="shared" si="13"/>
        <v>100</v>
      </c>
      <c r="V44" s="769" t="s">
        <v>17</v>
      </c>
      <c r="W44" s="770">
        <f t="shared" si="14"/>
        <v>100</v>
      </c>
      <c r="X44" s="771"/>
      <c r="Y44" s="3184"/>
      <c r="Z44" s="55">
        <f t="shared" si="15"/>
        <v>111</v>
      </c>
      <c r="AA44" s="772">
        <f t="shared" si="3"/>
        <v>1</v>
      </c>
      <c r="AB44" s="772">
        <f t="shared" si="4"/>
        <v>1</v>
      </c>
      <c r="AC44" s="772">
        <f t="shared" si="5"/>
        <v>1</v>
      </c>
    </row>
    <row r="45" spans="1:29" ht="15" hidden="1" customHeight="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2"/>
      <c r="Q45" s="1811">
        <f t="shared" si="11"/>
        <v>111</v>
      </c>
      <c r="R45" s="773" t="s">
        <v>17</v>
      </c>
      <c r="S45" s="774">
        <f t="shared" si="12"/>
        <v>100</v>
      </c>
      <c r="T45" s="773" t="s">
        <v>17</v>
      </c>
      <c r="U45" s="774">
        <f t="shared" si="13"/>
        <v>100</v>
      </c>
      <c r="V45" s="773" t="s">
        <v>17</v>
      </c>
      <c r="W45" s="774">
        <f t="shared" si="14"/>
        <v>100</v>
      </c>
      <c r="X45" s="1814"/>
      <c r="Y45" s="3184"/>
      <c r="Z45" s="1815">
        <f t="shared" si="15"/>
        <v>111</v>
      </c>
      <c r="AA45" s="1812">
        <f t="shared" si="3"/>
        <v>1</v>
      </c>
      <c r="AB45" s="1812">
        <f t="shared" si="4"/>
        <v>1</v>
      </c>
      <c r="AC45" s="1812">
        <f t="shared" si="5"/>
        <v>1</v>
      </c>
    </row>
    <row r="46" spans="1:29" ht="15.75" hidden="1" customHeight="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3"/>
      <c r="Q46" s="1811">
        <f t="shared" si="11"/>
        <v>111</v>
      </c>
      <c r="R46" s="773" t="s">
        <v>17</v>
      </c>
      <c r="S46" s="774">
        <f t="shared" si="12"/>
        <v>100</v>
      </c>
      <c r="T46" s="773" t="s">
        <v>17</v>
      </c>
      <c r="U46" s="774">
        <f t="shared" si="13"/>
        <v>100</v>
      </c>
      <c r="V46" s="773" t="s">
        <v>17</v>
      </c>
      <c r="W46" s="774">
        <f t="shared" si="14"/>
        <v>100</v>
      </c>
      <c r="X46" s="1814"/>
      <c r="Y46" s="3185"/>
      <c r="Z46" s="1815">
        <f t="shared" si="15"/>
        <v>111</v>
      </c>
      <c r="AA46" s="1812">
        <f t="shared" si="3"/>
        <v>1</v>
      </c>
      <c r="AB46" s="1812">
        <f t="shared" si="4"/>
        <v>1</v>
      </c>
      <c r="AC46" s="1812">
        <f t="shared" si="5"/>
        <v>1</v>
      </c>
    </row>
    <row r="47" spans="1:29" ht="15">
      <c r="A47" s="479" t="s">
        <v>2575</v>
      </c>
      <c r="B47" s="480"/>
      <c r="C47" s="1409" t="s">
        <v>1</v>
      </c>
      <c r="D47" s="1410"/>
      <c r="E47" s="1411">
        <f>ROUND(10000000/398*0.97,0)</f>
        <v>24372</v>
      </c>
      <c r="F47" s="1412"/>
      <c r="G47" s="1413">
        <f>ROUND(2800000/G40*0.97,0)</f>
        <v>23414</v>
      </c>
      <c r="H47" s="1414"/>
      <c r="I47" s="1411">
        <f>ROUND(3200000/I40*0.97,0)</f>
        <v>27714</v>
      </c>
      <c r="J47" s="1414"/>
      <c r="K47" s="782"/>
      <c r="L47" s="1145"/>
      <c r="M47" s="1146" t="s">
        <v>4099</v>
      </c>
      <c r="N47" s="1133">
        <v>94</v>
      </c>
      <c r="O47" s="1146"/>
      <c r="P47" s="3172" t="str">
        <f>A47</f>
        <v>成交单价（元/平方米）</v>
      </c>
      <c r="Q47" s="3172"/>
      <c r="R47" s="3186">
        <f>E47</f>
        <v>24372</v>
      </c>
      <c r="S47" s="3186"/>
      <c r="T47" s="3186">
        <f>G47</f>
        <v>23414</v>
      </c>
      <c r="U47" s="3186"/>
      <c r="V47" s="3186">
        <f>I47</f>
        <v>27714</v>
      </c>
      <c r="W47" s="3186"/>
      <c r="X47" s="758"/>
      <c r="Y47" s="780"/>
      <c r="Z47" s="758"/>
      <c r="AA47" s="758"/>
      <c r="AB47" s="758"/>
      <c r="AC47" s="758"/>
    </row>
    <row r="48" spans="1:29" ht="15.75" thickBot="1">
      <c r="A48" s="486" t="s">
        <v>2667</v>
      </c>
      <c r="B48" s="487"/>
      <c r="C48" s="1415">
        <f>R49</f>
        <v>25774</v>
      </c>
      <c r="D48" s="1416"/>
      <c r="E48" s="1417">
        <f>R48</f>
        <v>25397</v>
      </c>
      <c r="F48" s="1417"/>
      <c r="G48" s="1415">
        <f>T48</f>
        <v>24447</v>
      </c>
      <c r="H48" s="1416"/>
      <c r="I48" s="1417">
        <f>V48</f>
        <v>27478</v>
      </c>
      <c r="J48" s="1416"/>
      <c r="K48" s="783"/>
      <c r="L48" s="1145"/>
      <c r="M48" s="1146" t="s">
        <v>4100</v>
      </c>
      <c r="N48" s="1133">
        <v>92</v>
      </c>
      <c r="O48" s="1146"/>
      <c r="P48" s="3172" t="str">
        <f>A48</f>
        <v>比较价值（元/平方米）</v>
      </c>
      <c r="Q48" s="3172"/>
      <c r="R48" s="3173">
        <f>IF(F1="售价",ROUND(PRODUCT(R47,AA7:AA46),0),ROUND(PRODUCT(R47,AA7:AA46),1))</f>
        <v>25397</v>
      </c>
      <c r="S48" s="3173"/>
      <c r="T48" s="3173">
        <f>IF(F1="售价",ROUND(PRODUCT(T47,AB7:AB46),0),ROUND(PRODUCT(T47,AB7:AB46),1))</f>
        <v>24447</v>
      </c>
      <c r="U48" s="3173"/>
      <c r="V48" s="3173">
        <f>IF(F1="售价",ROUND(PRODUCT(V47,AC7:AC46),0),ROUND(PRODUCT(V47,AC7:AC46),1))</f>
        <v>27478</v>
      </c>
      <c r="W48" s="3173"/>
      <c r="X48" s="758"/>
      <c r="Y48" s="758"/>
      <c r="Z48" s="758"/>
      <c r="AA48" s="758"/>
      <c r="AB48" s="758"/>
      <c r="AC48" s="758"/>
    </row>
    <row r="49" spans="1:29" ht="15.75" thickBot="1">
      <c r="A49" s="492" t="s">
        <v>2668</v>
      </c>
      <c r="B49" s="493"/>
      <c r="C49" s="1419">
        <f>R49</f>
        <v>25774</v>
      </c>
      <c r="D49" s="1419"/>
      <c r="E49" s="1419"/>
      <c r="F49" s="1419"/>
      <c r="G49" s="1419"/>
      <c r="H49" s="1419"/>
      <c r="I49" s="1419"/>
      <c r="J49" s="1419"/>
      <c r="K49" s="784"/>
      <c r="L49" s="1145"/>
      <c r="M49" s="1146" t="s">
        <v>4101</v>
      </c>
      <c r="N49" s="1133">
        <v>90</v>
      </c>
      <c r="O49" s="1146"/>
      <c r="P49" s="3174" t="str">
        <f>A49</f>
        <v>估价对象XX用房的比较价值（楼面单价，元/平方米）</v>
      </c>
      <c r="Q49" s="3175"/>
      <c r="R49" s="3176">
        <f>IF(F1="售价",ROUND(AVERAGE(R48:V48),0),ROUND(AVERAGE(R48:V48),1))</f>
        <v>25774</v>
      </c>
      <c r="S49" s="3176"/>
      <c r="T49" s="3176"/>
      <c r="U49" s="3176"/>
      <c r="V49" s="3176"/>
      <c r="W49" s="3176"/>
      <c r="X49" s="758"/>
      <c r="Y49" s="758"/>
      <c r="Z49" s="758"/>
      <c r="AA49" s="758"/>
      <c r="AB49" s="758"/>
      <c r="AC49" s="758"/>
    </row>
    <row r="50" spans="1:29">
      <c r="A50" s="1146"/>
      <c r="B50" s="1146"/>
      <c r="C50" s="1146"/>
      <c r="D50" s="1146"/>
      <c r="E50" s="1146"/>
      <c r="F50" s="1146"/>
      <c r="G50" s="1149"/>
      <c r="H50" s="1146"/>
      <c r="I50" s="1146"/>
      <c r="J50" s="1146"/>
      <c r="K50" s="1107"/>
      <c r="L50" s="1108"/>
      <c r="M50" s="1146" t="s">
        <v>4102</v>
      </c>
      <c r="N50" s="1146">
        <v>88</v>
      </c>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t="s">
        <v>4103</v>
      </c>
      <c r="N51" s="1146">
        <v>86</v>
      </c>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4.2056458230756544E-2</v>
      </c>
      <c r="F52" s="500" t="str">
        <f>IF(OR(E52&gt;=0.3,E52&lt;=-0.3),"超过30%","")</f>
        <v/>
      </c>
      <c r="G52" s="499">
        <f>IF(G47&lt;G48,G48/G47-1,G47/G48-1)</f>
        <v>4.4118903220295547E-2</v>
      </c>
      <c r="H52" s="500" t="str">
        <f>IF(OR(G52&gt;=0.3,G52&lt;=-0.3),"超过30%","")</f>
        <v/>
      </c>
      <c r="I52" s="499">
        <f>IF(I47&lt;I48,I48/I47-1,I47/I48-1)</f>
        <v>8.5886891331246051E-3</v>
      </c>
      <c r="J52" s="500" t="str">
        <f>IF(OR(I52&gt;=0.3,I52&lt;=-0.3),"超过30%","")</f>
        <v/>
      </c>
      <c r="K52" s="1107"/>
      <c r="L52" s="1108"/>
      <c r="M52" s="1146" t="s">
        <v>4104</v>
      </c>
      <c r="N52" s="1146">
        <v>84</v>
      </c>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3.8859573771832912E-2</v>
      </c>
      <c r="F53" s="500" t="str">
        <f>IF(OR(E53&gt;=0.2,E53&lt;=-0.2),"超过20%","")</f>
        <v/>
      </c>
      <c r="G53" s="499">
        <f>IF(G48&lt;I48,I48/G48-1,G48/I48-1)</f>
        <v>0.12398249273939532</v>
      </c>
      <c r="H53" s="500" t="str">
        <f>IF(OR(G53&gt;=0.2,G53&lt;=-0.2),"超过20%","")</f>
        <v/>
      </c>
      <c r="I53" s="499">
        <f>IF(I48&lt;E48,E48/I48-1,I48/E48-1)</f>
        <v>8.1938811670669853E-2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4.0915691466643977E-2</v>
      </c>
      <c r="F54" s="500" t="str">
        <f>IF(OR(E54&gt;=0.3,E54&lt;=-0.3),"超过30%","")</f>
        <v/>
      </c>
      <c r="G54" s="499">
        <f>IF(G47&lt;I47,I47/G47-1,G47/I47-1)</f>
        <v>0.18365080720936189</v>
      </c>
      <c r="H54" s="500" t="str">
        <f>IF(OR(G54&gt;=0.3,G54&lt;=-0.3),"超过30%","")</f>
        <v/>
      </c>
      <c r="I54" s="499">
        <f>IF(I47&lt;E47,E47/I47-1,I47/E47-1)</f>
        <v>0.13712456917774496</v>
      </c>
      <c r="J54" s="500"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t="str">
        <f>C9</f>
        <v>商业</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1"/>
      <c r="Q66" s="504"/>
    </row>
    <row r="67" spans="1:17" ht="15.75" thickTop="1">
      <c r="A67" s="534"/>
      <c r="B67" s="546" t="s">
        <v>2556</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v>0</v>
      </c>
      <c r="D68" s="549">
        <v>1</v>
      </c>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1"/>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1"/>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1"/>
      <c r="Q85" s="504"/>
    </row>
    <row r="86" spans="1:17" s="117" customFormat="1" ht="15.75" thickTop="1">
      <c r="A86" s="579"/>
      <c r="B86" s="538" t="s">
        <v>2678</v>
      </c>
      <c r="C86" s="2957" t="s">
        <v>4052</v>
      </c>
      <c r="D86" s="2957" t="s">
        <v>4053</v>
      </c>
      <c r="E86" s="2957" t="s">
        <v>4054</v>
      </c>
      <c r="F86" s="2957" t="s">
        <v>4055</v>
      </c>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1"/>
      <c r="Q87" s="504"/>
    </row>
    <row r="88" spans="1:17" s="117" customFormat="1" ht="15.75" thickTop="1">
      <c r="A88" s="579"/>
      <c r="B88" s="538" t="str">
        <f>B26</f>
        <v>平面位置/可视性</v>
      </c>
      <c r="C88" s="2958" t="s">
        <v>4056</v>
      </c>
      <c r="D88" s="2958" t="s">
        <v>4047</v>
      </c>
      <c r="E88" s="2958" t="s">
        <v>4049</v>
      </c>
      <c r="F88" s="2959" t="s">
        <v>4057</v>
      </c>
      <c r="G88" s="2958" t="s">
        <v>4058</v>
      </c>
      <c r="H88" s="554"/>
      <c r="I88" s="554"/>
      <c r="J88" s="554"/>
      <c r="K88" s="554"/>
      <c r="L88" s="554"/>
      <c r="M88" s="581"/>
      <c r="N88" s="1153"/>
      <c r="O88" s="1153"/>
      <c r="P88" s="2631"/>
      <c r="Q88" s="504"/>
    </row>
    <row r="89" spans="1:17" s="117" customFormat="1" ht="15.75" thickBot="1">
      <c r="A89" s="579"/>
      <c r="B89" s="543"/>
      <c r="C89" s="2961">
        <v>100</v>
      </c>
      <c r="D89" s="2960">
        <v>95</v>
      </c>
      <c r="E89" s="2960">
        <v>90</v>
      </c>
      <c r="F89" s="2960">
        <v>85</v>
      </c>
      <c r="G89" s="2960">
        <v>80</v>
      </c>
      <c r="H89" s="536"/>
      <c r="I89" s="536"/>
      <c r="J89" s="536"/>
      <c r="K89" s="536"/>
      <c r="L89" s="536"/>
      <c r="M89" s="536"/>
      <c r="N89" s="1155"/>
      <c r="O89" s="1155"/>
      <c r="P89" s="2631"/>
      <c r="Q89" s="504"/>
    </row>
    <row r="90" spans="1:17" s="471" customFormat="1" ht="15.75" thickTop="1">
      <c r="A90" s="553"/>
      <c r="B90" s="538" t="str">
        <f>B27</f>
        <v>人流量</v>
      </c>
      <c r="C90" s="2962" t="s">
        <v>4060</v>
      </c>
      <c r="D90" s="2962" t="s">
        <v>4061</v>
      </c>
      <c r="E90" s="2962" t="s">
        <v>4049</v>
      </c>
      <c r="F90" s="2962" t="s">
        <v>4062</v>
      </c>
      <c r="G90" s="2962" t="s">
        <v>4063</v>
      </c>
      <c r="H90" s="555"/>
      <c r="I90" s="555"/>
      <c r="J90" s="555"/>
      <c r="K90" s="555"/>
      <c r="L90" s="556"/>
      <c r="M90" s="557"/>
      <c r="N90" s="1156"/>
      <c r="O90" s="1156"/>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2"/>
      <c r="Q91" s="559"/>
    </row>
    <row r="92" spans="1:17" ht="15.75" thickTop="1">
      <c r="A92" s="534"/>
      <c r="B92" s="538" t="str">
        <f>B28</f>
        <v>楼层</v>
      </c>
      <c r="C92" s="2964" t="s">
        <v>4064</v>
      </c>
      <c r="D92" s="554" t="s">
        <v>4082</v>
      </c>
      <c r="E92" s="554"/>
      <c r="F92" s="554"/>
      <c r="G92" s="554"/>
      <c r="H92" s="554"/>
      <c r="I92" s="554"/>
      <c r="J92" s="554"/>
      <c r="K92" s="554"/>
      <c r="L92" s="580"/>
      <c r="M92" s="581"/>
      <c r="N92" s="1154"/>
      <c r="O92" s="1154"/>
      <c r="P92" s="2631"/>
      <c r="Q92" s="504"/>
    </row>
    <row r="93" spans="1:17" ht="15.75" thickBot="1">
      <c r="A93" s="534"/>
      <c r="B93" s="543"/>
      <c r="C93" s="2963">
        <v>100</v>
      </c>
      <c r="D93" s="536">
        <v>95</v>
      </c>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2965" t="s">
        <v>4065</v>
      </c>
      <c r="D100" s="2965" t="s">
        <v>4066</v>
      </c>
      <c r="E100" s="2965" t="s">
        <v>4067</v>
      </c>
      <c r="F100" s="2965" t="s">
        <v>4068</v>
      </c>
      <c r="G100" s="2965" t="s">
        <v>4069</v>
      </c>
      <c r="H100" s="530"/>
      <c r="I100" s="530"/>
      <c r="J100" s="530"/>
      <c r="K100" s="531"/>
      <c r="L100" s="532"/>
      <c r="M100" s="533"/>
      <c r="N100" s="1154"/>
      <c r="O100" s="1154"/>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5"/>
      <c r="O101" s="1155"/>
      <c r="P101" s="2631"/>
      <c r="Q101" s="504"/>
    </row>
    <row r="102" spans="1:17" ht="15.75" thickTop="1">
      <c r="A102" s="534"/>
      <c r="B102" s="538" t="s">
        <v>2611</v>
      </c>
      <c r="C102" s="578" t="str">
        <f>C103&amp;"(含)"&amp;"-"&amp;D103</f>
        <v>0(含)-50000</v>
      </c>
      <c r="D102" s="578" t="str">
        <f t="shared" ref="D102:L102" si="23">D103&amp;"(含)"&amp;"-"&amp;E103</f>
        <v>50000(含)-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1"/>
      <c r="Q102" s="504"/>
    </row>
    <row r="103" spans="1:17" s="471" customFormat="1">
      <c r="A103" s="593"/>
      <c r="B103" s="594"/>
      <c r="C103" s="2968">
        <v>0</v>
      </c>
      <c r="D103" s="2968">
        <v>50000</v>
      </c>
      <c r="E103" s="2968"/>
      <c r="F103" s="2968"/>
      <c r="G103" s="2968"/>
      <c r="H103" s="595"/>
      <c r="I103" s="595"/>
      <c r="J103" s="596"/>
      <c r="K103" s="596"/>
      <c r="L103" s="597"/>
      <c r="M103" s="598"/>
      <c r="N103" s="1156"/>
      <c r="O103" s="1156"/>
      <c r="P103" s="2632"/>
      <c r="Q103" s="559"/>
    </row>
    <row r="104" spans="1:17" s="471" customFormat="1" ht="15.75" thickBot="1">
      <c r="A104" s="553"/>
      <c r="B104" s="543"/>
      <c r="C104" s="2967">
        <v>100</v>
      </c>
      <c r="D104" s="2966">
        <v>100</v>
      </c>
      <c r="E104" s="2966"/>
      <c r="F104" s="2966"/>
      <c r="G104" s="2966"/>
      <c r="H104" s="536"/>
      <c r="I104" s="536"/>
      <c r="J104" s="536"/>
      <c r="K104" s="536"/>
      <c r="L104" s="536"/>
      <c r="M104" s="537"/>
      <c r="N104" s="1155"/>
      <c r="O104" s="1155"/>
      <c r="P104" s="2632"/>
      <c r="Q104" s="559"/>
    </row>
    <row r="105" spans="1:17" ht="15" thickTop="1">
      <c r="A105" s="599"/>
      <c r="B105" s="538" t="s">
        <v>2612</v>
      </c>
      <c r="C105" s="2969" t="s">
        <v>4070</v>
      </c>
      <c r="D105" s="2969" t="s">
        <v>4071</v>
      </c>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1"/>
      <c r="Q106" s="504"/>
    </row>
    <row r="107" spans="1:17" ht="15" thickTop="1">
      <c r="A107" s="599"/>
      <c r="B107" s="538" t="s">
        <v>2614</v>
      </c>
      <c r="C107" s="2970" t="s">
        <v>4072</v>
      </c>
      <c r="D107" s="2970" t="s">
        <v>4073</v>
      </c>
      <c r="E107" s="2970" t="s">
        <v>4074</v>
      </c>
      <c r="F107" s="2971" t="s">
        <v>4075</v>
      </c>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1"/>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1"/>
      <c r="Q111" s="504"/>
    </row>
    <row r="112" spans="1:17" s="471" customFormat="1" ht="15" thickTop="1">
      <c r="A112" s="593"/>
      <c r="B112" s="538" t="s">
        <v>2616</v>
      </c>
      <c r="C112" s="2972" t="s">
        <v>4076</v>
      </c>
      <c r="D112" s="2972" t="s">
        <v>4051</v>
      </c>
      <c r="E112" s="2972" t="s">
        <v>4077</v>
      </c>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32"/>
      <c r="Q113" s="559"/>
    </row>
    <row r="114" spans="1:17" ht="15" thickTop="1">
      <c r="A114" s="599"/>
      <c r="B114" s="538" t="s">
        <v>2680</v>
      </c>
      <c r="C114" s="2973" t="s">
        <v>4078</v>
      </c>
      <c r="D114" s="2973" t="s">
        <v>4079</v>
      </c>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1"/>
      <c r="Q115" s="504"/>
    </row>
    <row r="116" spans="1:17" ht="15" thickTop="1">
      <c r="A116" s="599"/>
      <c r="B116" s="538" t="s">
        <v>2681</v>
      </c>
      <c r="C116" s="2974" t="s">
        <v>4080</v>
      </c>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1"/>
      <c r="Q117" s="504"/>
    </row>
    <row r="118" spans="1:17" ht="15" thickTop="1">
      <c r="A118" s="599"/>
      <c r="B118" s="538" t="s">
        <v>2682</v>
      </c>
      <c r="C118" s="2977">
        <f>C40</f>
        <v>101.86</v>
      </c>
      <c r="D118" s="626">
        <f>E40</f>
        <v>398</v>
      </c>
      <c r="E118" s="626">
        <f>G40</f>
        <v>116</v>
      </c>
      <c r="F118" s="626">
        <f>I40</f>
        <v>112</v>
      </c>
      <c r="G118" s="626"/>
      <c r="H118" s="555"/>
      <c r="I118" s="555"/>
      <c r="J118" s="555"/>
      <c r="K118" s="555"/>
      <c r="L118" s="556"/>
      <c r="M118" s="557"/>
      <c r="N118" s="1154"/>
      <c r="O118" s="1154"/>
      <c r="P118" s="2631"/>
      <c r="Q118" s="504"/>
    </row>
    <row r="119" spans="1:17" ht="15.75" thickBot="1">
      <c r="A119" s="534"/>
      <c r="B119" s="543"/>
      <c r="C119" s="560">
        <v>96</v>
      </c>
      <c r="D119" s="536">
        <v>94</v>
      </c>
      <c r="E119" s="536">
        <v>96</v>
      </c>
      <c r="F119" s="536">
        <v>96</v>
      </c>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2975" t="s">
        <v>4072</v>
      </c>
      <c r="D122" s="2975" t="s">
        <v>4073</v>
      </c>
      <c r="E122" s="2975" t="s">
        <v>4074</v>
      </c>
      <c r="F122" s="2976" t="s">
        <v>4075</v>
      </c>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3" sqref="E1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4040</v>
      </c>
      <c r="D1" s="1821" t="s">
        <v>70</v>
      </c>
      <c r="E1" s="1822" t="s">
        <v>1387</v>
      </c>
      <c r="F1" s="1285" t="e">
        <f ca="1">J53</f>
        <v>#N/A</v>
      </c>
      <c r="G1" s="183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#N/A</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t="e">
        <f ca="1">C6+C10+C12</f>
        <v>#N/A</v>
      </c>
      <c r="D5" s="1823" t="s">
        <v>1402</v>
      </c>
      <c r="E5" s="1295"/>
      <c r="F5" s="1296"/>
      <c r="G5" s="1852"/>
      <c r="H5" s="344">
        <v>1</v>
      </c>
      <c r="I5" s="345" t="s">
        <v>1401</v>
      </c>
      <c r="J5" s="1294" t="e">
        <f ca="1">J6+J10+J12</f>
        <v>#N/A</v>
      </c>
      <c r="K5" s="1823" t="s">
        <v>1402</v>
      </c>
      <c r="L5" s="1295"/>
      <c r="M5" s="1296"/>
    </row>
    <row r="6" spans="1:37" ht="18" customHeight="1">
      <c r="A6" s="1293" t="s">
        <v>1035</v>
      </c>
      <c r="B6" s="3221" t="s">
        <v>1403</v>
      </c>
      <c r="C6" s="1298" t="e">
        <f ca="1">ROUND(F6*F8*F7*(1-F9)/10000,0)</f>
        <v>#N/A</v>
      </c>
      <c r="D6" s="164" t="s">
        <v>3029</v>
      </c>
      <c r="E6" s="347" t="s">
        <v>1405</v>
      </c>
      <c r="F6" s="348" t="e">
        <f ca="1">INDIRECT("'数据-取费表'!u"&amp;$G$1)</f>
        <v>#N/A</v>
      </c>
      <c r="G6" s="1852"/>
      <c r="H6" s="1293" t="s">
        <v>1035</v>
      </c>
      <c r="I6" s="3221" t="s">
        <v>1403</v>
      </c>
      <c r="J6" s="346" t="e">
        <f ca="1">ROUND(M6*M8*M7*(1-M9)/10000,0)</f>
        <v>#N/A</v>
      </c>
      <c r="K6" s="164" t="s">
        <v>3028</v>
      </c>
      <c r="L6" s="347" t="s">
        <v>1405</v>
      </c>
      <c r="M6" s="348" t="e">
        <f ca="1">INDIRECT("'数据-取费表'!z"&amp;$G$1)</f>
        <v>#N/A</v>
      </c>
    </row>
    <row r="7" spans="1:37" ht="18" customHeight="1">
      <c r="A7" s="1297"/>
      <c r="B7" s="3222"/>
      <c r="C7" s="1299"/>
      <c r="D7" s="352"/>
      <c r="E7" s="1300" t="s">
        <v>1406</v>
      </c>
      <c r="F7" s="348" t="e">
        <f ca="1">IF(INDIRECT("'数据-取费表'!ah"&amp;$G$1)="",INDIRECT("'数据-取费表'!k"&amp;$G$1),INDIRECT("'数据-取费表'!ah"&amp;$G$1))</f>
        <v>#N/A</v>
      </c>
      <c r="G7" s="1852"/>
      <c r="H7" s="349"/>
      <c r="I7" s="3222"/>
      <c r="J7" s="351"/>
      <c r="K7" s="352"/>
      <c r="L7" s="347" t="s">
        <v>1406</v>
      </c>
      <c r="M7" s="348" t="e">
        <f ca="1">F7</f>
        <v>#N/A</v>
      </c>
    </row>
    <row r="8" spans="1:37" ht="18" customHeight="1">
      <c r="A8" s="349"/>
      <c r="B8" s="3222"/>
      <c r="C8" s="351"/>
      <c r="D8" s="352"/>
      <c r="E8" s="347" t="s">
        <v>1407</v>
      </c>
      <c r="F8" s="348" t="e">
        <f ca="1">INDIRECT("'数据-取费表'!ai"&amp;$G$1)</f>
        <v>#N/A</v>
      </c>
      <c r="G8" s="1852"/>
      <c r="H8" s="349"/>
      <c r="I8" s="3222"/>
      <c r="J8" s="351"/>
      <c r="K8" s="352"/>
      <c r="L8" s="347" t="s">
        <v>1407</v>
      </c>
      <c r="M8" s="348" t="e">
        <f ca="1">INDIRECT("'数据-取费表'!ai"&amp;$G$1)</f>
        <v>#N/A</v>
      </c>
    </row>
    <row r="9" spans="1:37" ht="18" customHeight="1">
      <c r="A9" s="349"/>
      <c r="B9" s="3223"/>
      <c r="C9" s="351"/>
      <c r="D9" s="352"/>
      <c r="E9" s="347" t="s">
        <v>1408</v>
      </c>
      <c r="F9" s="357" t="e">
        <f ca="1">INDIRECT("'数据-取费表'!w"&amp;$G$1)</f>
        <v>#N/A</v>
      </c>
      <c r="G9" s="1852"/>
      <c r="H9" s="349"/>
      <c r="I9" s="3223"/>
      <c r="J9" s="351"/>
      <c r="K9" s="352"/>
      <c r="L9" s="358" t="s">
        <v>1408</v>
      </c>
      <c r="M9" s="359" t="e">
        <f ca="1">INDIRECT("'数据-取费表'!ab"&amp;$G$1)</f>
        <v>#N/A</v>
      </c>
    </row>
    <row r="10" spans="1:37" ht="18" customHeight="1">
      <c r="A10" s="1293" t="s">
        <v>1039</v>
      </c>
      <c r="B10" s="1824" t="s">
        <v>1409</v>
      </c>
      <c r="C10" s="361" t="e">
        <f ca="1">ROUND(IF(F10="押一",C6/12*F11,IF(F10="押二",C6/12*2*F11,IF(F10="押三",C6/12*3*F11,C11*F11))),0)</f>
        <v>#N/A</v>
      </c>
      <c r="D10" s="1825" t="s">
        <v>3038</v>
      </c>
      <c r="E10" s="358" t="s">
        <v>1410</v>
      </c>
      <c r="F10" s="1368" t="s">
        <v>4086</v>
      </c>
      <c r="G10" s="1852"/>
      <c r="H10" s="1293" t="s">
        <v>1039</v>
      </c>
      <c r="I10" s="1824" t="s">
        <v>1409</v>
      </c>
      <c r="J10" s="346" t="e">
        <f ca="1">ROUND(IF(M10="押一",J6/12*M11,IF(M10="押二",J6/12*2*M11,IF(M10="押三",J6/12*3*M11,J11*M11))),0)</f>
        <v>#N/A</v>
      </c>
      <c r="K10" s="1825" t="s">
        <v>3037</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2"/>
      <c r="H13" s="1331">
        <v>2</v>
      </c>
      <c r="I13" s="1332" t="s">
        <v>1414</v>
      </c>
      <c r="J13" s="1292" t="e">
        <f ca="1">ROUND(J14*J15,0)</f>
        <v>#N/A</v>
      </c>
      <c r="K13" s="1339" t="s">
        <v>1415</v>
      </c>
      <c r="L13" s="1853"/>
      <c r="M13" s="1854"/>
    </row>
    <row r="14" spans="1:37" ht="18" customHeight="1">
      <c r="A14" s="1203" t="s">
        <v>1034</v>
      </c>
      <c r="B14" s="347" t="s">
        <v>1417</v>
      </c>
      <c r="C14" s="363" t="e">
        <f ca="1">INDIRECT("'数据-取费表'!m"&amp;$G$1)+INDIRECT("'数据-取费表'!t"&amp;$G$1)</f>
        <v>#N/A</v>
      </c>
      <c r="D14" s="1801" t="s">
        <v>1418</v>
      </c>
      <c r="E14" s="1795"/>
      <c r="F14" s="364"/>
      <c r="G14" s="1852"/>
      <c r="H14" s="1203" t="s">
        <v>1035</v>
      </c>
      <c r="I14" s="347" t="s">
        <v>1419</v>
      </c>
      <c r="J14" s="24" t="e">
        <f ca="1">C29</f>
        <v>#N/A</v>
      </c>
      <c r="K14" s="15"/>
      <c r="L14" s="981"/>
      <c r="M14" s="982"/>
    </row>
    <row r="15" spans="1:37" s="1859" customFormat="1" ht="18" customHeight="1" thickBot="1">
      <c r="A15" s="1203" t="s">
        <v>1036</v>
      </c>
      <c r="B15" s="347" t="s">
        <v>1420</v>
      </c>
      <c r="C15" s="24" t="e">
        <f ca="1">ROUND(C14*F15,0)</f>
        <v>#N/A</v>
      </c>
      <c r="D15" s="365" t="s">
        <v>1421</v>
      </c>
      <c r="E15" s="365" t="s">
        <v>1422</v>
      </c>
      <c r="F15" s="366">
        <f>'数据-取费表'!B33</f>
        <v>0.03</v>
      </c>
      <c r="G15" s="1855"/>
      <c r="H15" s="1341" t="s">
        <v>1039</v>
      </c>
      <c r="I15" s="1342" t="s">
        <v>1416</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2"/>
      <c r="H16" s="1331" t="s">
        <v>1030</v>
      </c>
      <c r="I16" s="1332" t="s">
        <v>1424</v>
      </c>
      <c r="J16" s="355" t="e">
        <f ca="1">ROUND(J17+J22+J23+J24,0)</f>
        <v>#N/A</v>
      </c>
      <c r="K16" s="1339" t="s">
        <v>1425</v>
      </c>
      <c r="L16" s="1340"/>
      <c r="M16" s="1296"/>
    </row>
    <row r="17" spans="1:37" s="1859" customFormat="1" ht="18" customHeight="1">
      <c r="A17" s="1203" t="s">
        <v>1390</v>
      </c>
      <c r="B17" s="347" t="s">
        <v>1426</v>
      </c>
      <c r="C17" s="24" t="e">
        <f ca="1">ROUND(F17*(F43+INDIRECT("'数据-取费表'!S"&amp;$G$1))/10000,0)</f>
        <v>#N/A</v>
      </c>
      <c r="D17" s="347" t="s">
        <v>1427</v>
      </c>
      <c r="E17" s="347" t="s">
        <v>1428</v>
      </c>
      <c r="F17" s="26">
        <f>'数据-取费表'!B35</f>
        <v>200</v>
      </c>
      <c r="G17" s="1855"/>
      <c r="H17" s="1203" t="s">
        <v>1035</v>
      </c>
      <c r="I17" s="347" t="s">
        <v>1429</v>
      </c>
      <c r="J17" s="24" t="e">
        <f ca="1">ROUND(IF(项目基本情况!B11="自然人",J5*M17,J18+J19+J20),1)</f>
        <v>#N/A</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t="e">
        <f ca="1">ROUND(C14*F18,0)</f>
        <v>#N/A</v>
      </c>
      <c r="D18" s="347" t="s">
        <v>1421</v>
      </c>
      <c r="E18" s="347" t="s">
        <v>1422</v>
      </c>
      <c r="F18" s="367">
        <f>'数据-取费表'!B36</f>
        <v>1.4999999999999999E-2</v>
      </c>
      <c r="G18" s="1855"/>
      <c r="H18" s="1203" t="s">
        <v>1034</v>
      </c>
      <c r="I18" s="347" t="s">
        <v>1433</v>
      </c>
      <c r="J18" s="24" t="e">
        <f ca="1">ROUND(J5*M18/(1+'数据-取费表'!C42),2)</f>
        <v>#N/A</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t="e">
        <f ca="1">SUM(C14:C18)</f>
        <v>#N/A</v>
      </c>
      <c r="D19" s="140" t="s">
        <v>1436</v>
      </c>
      <c r="E19" s="1819"/>
      <c r="F19" s="26"/>
      <c r="G19" s="1852"/>
      <c r="H19" s="1203" t="s">
        <v>1036</v>
      </c>
      <c r="I19" s="347" t="s">
        <v>1437</v>
      </c>
      <c r="J19" s="24" t="e">
        <f ca="1">IF(K19="按租金收入计税",ROUND(J5*M19,2),ROUND(C29*M19*0.7,2))</f>
        <v>#N/A</v>
      </c>
      <c r="K19" s="1829" t="s">
        <v>1438</v>
      </c>
      <c r="L19" s="347" t="s">
        <v>1422</v>
      </c>
      <c r="M19" s="367">
        <f>IF(K19="按租金收入计税",'数据-取费表'!B51,'数据-取费表'!B50)</f>
        <v>1.2E-2</v>
      </c>
    </row>
    <row r="20" spans="1:37" s="1859" customFormat="1" ht="18" customHeight="1">
      <c r="A20" s="1203" t="s">
        <v>1039</v>
      </c>
      <c r="B20" s="347" t="s">
        <v>1439</v>
      </c>
      <c r="C20" s="24" t="e">
        <f ca="1">ROUND(C19*F20,0)</f>
        <v>#N/A</v>
      </c>
      <c r="D20" s="369" t="s">
        <v>1440</v>
      </c>
      <c r="E20" s="347" t="s">
        <v>1422</v>
      </c>
      <c r="F20" s="367">
        <f>'数据-取费表'!B37</f>
        <v>0.02</v>
      </c>
      <c r="G20" s="1855"/>
      <c r="H20" s="1203" t="s">
        <v>1389</v>
      </c>
      <c r="I20" s="164" t="s">
        <v>1441</v>
      </c>
      <c r="J20" s="25" t="e">
        <f ca="1">ROUND(M20*M21/10000,2)</f>
        <v>#N/A</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0.02</v>
      </c>
      <c r="G21" s="1855"/>
      <c r="H21" s="372"/>
      <c r="I21" s="356"/>
      <c r="J21" s="29"/>
      <c r="K21" s="373"/>
      <c r="L21" s="347" t="s">
        <v>1447</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t="e">
        <f ca="1">ROUND(J14*M22,1)</f>
        <v>#N/A</v>
      </c>
      <c r="K22" s="1799" t="s">
        <v>1450</v>
      </c>
      <c r="L22" s="347" t="s">
        <v>1422</v>
      </c>
      <c r="M22" s="374" t="e">
        <f ca="1">INDIRECT("'数据-取费表'!Ak"&amp;$G$1)</f>
        <v>#N/A</v>
      </c>
    </row>
    <row r="23" spans="1:37" s="1859"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t="e">
        <f ca="1">ROUND(J13*M23,1)</f>
        <v>#N/A</v>
      </c>
      <c r="K23" s="1799" t="s">
        <v>1454</v>
      </c>
      <c r="L23" s="347" t="s">
        <v>1455</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t="e">
        <f ca="1">ROUND(J5*M24,1)</f>
        <v>#N/A</v>
      </c>
      <c r="K24" s="1344" t="s">
        <v>1459</v>
      </c>
      <c r="L24" s="1342" t="s">
        <v>1455</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2"/>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2"/>
      <c r="H27" s="349"/>
      <c r="I27" s="350"/>
      <c r="J27" s="351"/>
      <c r="K27" s="378" t="s">
        <v>1473</v>
      </c>
      <c r="L27" s="347" t="s">
        <v>1474</v>
      </c>
      <c r="M27" s="379" t="e">
        <f ca="1">INDIRECT("'数据-取费表'!ag"&amp;$G$1)</f>
        <v>#N/A</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t="e">
        <f ca="1">ROUND((C19+C20+C23+C26)/(1-F21-C24-C27-C28),0)</f>
        <v>#N/A</v>
      </c>
      <c r="D29" s="1344"/>
      <c r="E29" s="1342"/>
      <c r="F29" s="1345"/>
      <c r="G29" s="1855"/>
      <c r="H29" s="380" t="s">
        <v>1033</v>
      </c>
      <c r="I29" s="381" t="s">
        <v>1479</v>
      </c>
      <c r="J29" s="382" t="e">
        <f ca="1">ROUND(J26/(1+F40)^F41,0)</f>
        <v>#N/A</v>
      </c>
      <c r="K29" s="383" t="s">
        <v>1480</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t="e">
        <f ca="1">ROUND(C31+C36+C37+C38,0)</f>
        <v>#N/A</v>
      </c>
      <c r="D30" s="1339" t="s">
        <v>1425</v>
      </c>
      <c r="E30" s="1340"/>
      <c r="F30" s="1296"/>
      <c r="G30" s="1852"/>
      <c r="H30" s="744"/>
      <c r="I30" s="745"/>
      <c r="J30" s="746"/>
      <c r="K30" s="747"/>
      <c r="L30" s="748"/>
      <c r="M30" s="749"/>
    </row>
    <row r="31" spans="1:37" ht="18" customHeight="1">
      <c r="A31" s="1203" t="s">
        <v>1035</v>
      </c>
      <c r="B31" s="347" t="s">
        <v>1429</v>
      </c>
      <c r="C31" s="24" t="e">
        <f ca="1">ROUND(IF(项目基本情况!B11="自然人",C5*F31,C32+C33+C34),1)</f>
        <v>#N/A</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t="e">
        <f ca="1">IF(项目基本情况!B11="自然人","——",ROUND(C5*F32/(1+'数据-取费表'!C42),2))</f>
        <v>#N/A</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9" t="s">
        <v>4087</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t="e">
        <f ca="1">IF(项目基本情况!B11="自然人","——",ROUND(F34*F35/10000,2))</f>
        <v>#N/A</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t="e">
        <f ca="1">INDIRECT("'数据-取费表'!r"&amp;$G$1)</f>
        <v>#N/A</v>
      </c>
      <c r="G35" s="1852"/>
      <c r="H35" s="744"/>
      <c r="I35" s="1861"/>
      <c r="J35" s="1862"/>
      <c r="K35" s="1863"/>
      <c r="L35" s="1860"/>
      <c r="M35" s="1860"/>
    </row>
    <row r="36" spans="1:18" ht="18" customHeight="1">
      <c r="A36" s="1354" t="s">
        <v>1039</v>
      </c>
      <c r="B36" s="347" t="s">
        <v>1449</v>
      </c>
      <c r="C36" s="24" t="e">
        <f ca="1">ROUND(C29*F36,1)</f>
        <v>#N/A</v>
      </c>
      <c r="D36" s="1799" t="s">
        <v>1482</v>
      </c>
      <c r="E36" s="347" t="s">
        <v>1422</v>
      </c>
      <c r="F36" s="374" t="e">
        <f ca="1">INDIRECT("'数据-取费表'!Ak"&amp;$G$1)</f>
        <v>#N/A</v>
      </c>
      <c r="G36" s="1852"/>
      <c r="H36" s="1860"/>
      <c r="I36" s="1861"/>
      <c r="J36" s="1862"/>
      <c r="K36" s="750"/>
      <c r="L36" s="1860"/>
      <c r="M36" s="1860"/>
    </row>
    <row r="37" spans="1:18" ht="18" customHeight="1">
      <c r="A37" s="1203" t="s">
        <v>1075</v>
      </c>
      <c r="B37" s="347" t="s">
        <v>1453</v>
      </c>
      <c r="C37" s="24" t="e">
        <f ca="1">ROUND(C13*F37,1)</f>
        <v>#N/A</v>
      </c>
      <c r="D37" s="1799" t="s">
        <v>1454</v>
      </c>
      <c r="E37" s="347" t="s">
        <v>1455</v>
      </c>
      <c r="F37" s="376" t="e">
        <f ca="1">INDIRECT("'数据-取费表'!Al"&amp;$G$1)</f>
        <v>#N/A</v>
      </c>
      <c r="G37" s="1852"/>
      <c r="H37" s="1860"/>
      <c r="I37" s="1861"/>
      <c r="J37" s="1862"/>
      <c r="K37" s="750"/>
      <c r="L37" s="1860"/>
      <c r="M37" s="1860"/>
    </row>
    <row r="38" spans="1:18" ht="18" customHeight="1" thickBot="1">
      <c r="A38" s="1341" t="s">
        <v>1393</v>
      </c>
      <c r="B38" s="1342" t="s">
        <v>1439</v>
      </c>
      <c r="C38" s="1343" t="e">
        <f ca="1">ROUND(C5*F38,1)</f>
        <v>#N/A</v>
      </c>
      <c r="D38" s="1344" t="s">
        <v>1459</v>
      </c>
      <c r="E38" s="1342" t="s">
        <v>1455</v>
      </c>
      <c r="F38" s="1338" t="e">
        <f ca="1">INDIRECT("'数据-取费表'!Am"&amp;$G$1)</f>
        <v>#N/A</v>
      </c>
      <c r="G38" s="1852"/>
      <c r="H38" s="1860"/>
      <c r="I38" s="1861"/>
      <c r="J38" s="1862"/>
      <c r="K38" s="1866"/>
      <c r="L38" s="1860"/>
      <c r="M38" s="1860"/>
    </row>
    <row r="39" spans="1:18" ht="24.6" customHeight="1" thickTop="1">
      <c r="A39" s="1331" t="s">
        <v>1031</v>
      </c>
      <c r="B39" s="1346" t="s">
        <v>1483</v>
      </c>
      <c r="C39" s="355" t="e">
        <f ca="1">C5-C30</f>
        <v>#N/A</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#N/A</v>
      </c>
      <c r="D40" s="370" t="s">
        <v>1469</v>
      </c>
      <c r="E40" s="347" t="s">
        <v>1470</v>
      </c>
      <c r="F40" s="357" t="e">
        <f ca="1">INDIRECT("'数据-取费表'!I"&amp;$G$1)</f>
        <v>#N/A</v>
      </c>
      <c r="G40" s="1852"/>
      <c r="H40" s="1840"/>
      <c r="I40" s="1861"/>
      <c r="J40" s="1862"/>
      <c r="K40" s="1866"/>
      <c r="L40" s="1840"/>
      <c r="M40" s="1840"/>
    </row>
    <row r="41" spans="1:18" ht="18" customHeight="1">
      <c r="A41" s="349"/>
      <c r="B41" s="350"/>
      <c r="C41" s="351"/>
      <c r="D41" s="378" t="s">
        <v>1486</v>
      </c>
      <c r="E41" s="347" t="s">
        <v>1474</v>
      </c>
      <c r="F41" s="379" t="e">
        <f ca="1">IF(INDIRECT("'数据-取费表'!af"&amp;$G$1)=0,INDIRECT("'数据-取费表'!ae"&amp;$G$1),INDIRECT("'数据-取费表'!af"&amp;$G$1))</f>
        <v>#N/A</v>
      </c>
      <c r="G41" s="1852"/>
      <c r="H41" s="731"/>
      <c r="I41" s="1861"/>
      <c r="J41" s="1862"/>
      <c r="K41" s="750"/>
      <c r="L41" s="731"/>
      <c r="M41" s="731"/>
    </row>
    <row r="42" spans="1:18" ht="18" customHeight="1">
      <c r="A42" s="353"/>
      <c r="B42" s="354"/>
      <c r="C42" s="355"/>
      <c r="D42" s="373"/>
      <c r="E42" s="347" t="s">
        <v>1477</v>
      </c>
      <c r="F42" s="357" t="e">
        <f ca="1">INDIRECT("'数据-取费表'!v"&amp;$G$1)</f>
        <v>#N/A</v>
      </c>
      <c r="G42" s="1852"/>
      <c r="H42" s="731"/>
      <c r="I42" s="1861"/>
      <c r="J42" s="1862"/>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#N/A</v>
      </c>
      <c r="D46" s="1873" t="str">
        <f>C2</f>
        <v>万元</v>
      </c>
      <c r="E46" s="1867"/>
      <c r="F46" s="1867"/>
      <c r="I46" s="1874" t="s">
        <v>1521</v>
      </c>
      <c r="J46" s="1875"/>
      <c r="K46" s="1876"/>
      <c r="L46" s="1877" t="e">
        <f ca="1">IF(M47="住宅",0,IF(L48&gt;J51,L60,J60))</f>
        <v>#N/A</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4070</v>
      </c>
      <c r="K47" s="1883" t="s">
        <v>1527</v>
      </c>
      <c r="L47" s="1884" t="e">
        <f ca="1">INDIRECT("'数据-取费表'!d"&amp;$G$1)</f>
        <v>#N/A</v>
      </c>
      <c r="M47" s="1839" t="str">
        <f>IF(ISNUMBER(FIND("住宅",C1)),"住宅","非住宅")</f>
        <v>非住宅</v>
      </c>
      <c r="O47" s="1885" t="s">
        <v>1040</v>
      </c>
      <c r="P47" s="1886" t="s">
        <v>1528</v>
      </c>
      <c r="Q47" s="1887" t="e">
        <f ca="1">C40+J29</f>
        <v>#N/A</v>
      </c>
      <c r="R47" s="1887" t="s">
        <v>1529</v>
      </c>
    </row>
    <row r="48" spans="1:18" s="1843" customFormat="1" ht="28.5" thickBot="1">
      <c r="A48" s="1362" t="s">
        <v>1135</v>
      </c>
      <c r="B48" s="345" t="s">
        <v>1401</v>
      </c>
      <c r="C48" s="1818" t="e">
        <f ca="1">C49+C53+C55</f>
        <v>#N/A</v>
      </c>
      <c r="D48" s="1364"/>
      <c r="E48" s="1365"/>
      <c r="F48" s="1183"/>
      <c r="G48" s="791"/>
      <c r="H48" s="792"/>
      <c r="I48" s="1888" t="s">
        <v>1530</v>
      </c>
      <c r="J48" s="1889" t="s">
        <v>4088</v>
      </c>
      <c r="K48" s="1890" t="s">
        <v>1531</v>
      </c>
      <c r="L48" s="1891" t="e">
        <f ca="1">INDIRECT("'数据-取费表'!f"&amp;$G$1)</f>
        <v>#N/A</v>
      </c>
      <c r="O48" s="1885" t="s">
        <v>1041</v>
      </c>
      <c r="P48" s="1886" t="s">
        <v>1532</v>
      </c>
      <c r="Q48" s="1887" t="e">
        <f ca="1">J60</f>
        <v>#N/A</v>
      </c>
      <c r="R48" s="1887" t="s">
        <v>1533</v>
      </c>
    </row>
    <row r="49" spans="1:18" s="1843" customFormat="1" ht="13.5" thickBot="1">
      <c r="A49" s="1196" t="s">
        <v>1136</v>
      </c>
      <c r="B49" s="1830" t="s">
        <v>1490</v>
      </c>
      <c r="C49" s="1366" t="e">
        <f ca="1">ROUND(F49*F51*F50*(1-F52)/10000,0)</f>
        <v>#N/A</v>
      </c>
      <c r="D49" s="1278" t="s">
        <v>3030</v>
      </c>
      <c r="E49" s="1831" t="s">
        <v>1491</v>
      </c>
      <c r="F49" s="1283"/>
      <c r="G49" s="1892"/>
      <c r="H49" s="792"/>
      <c r="I49" s="1888" t="s">
        <v>1534</v>
      </c>
      <c r="J49" s="1893">
        <v>2016</v>
      </c>
      <c r="K49" s="1890" t="s">
        <v>1535</v>
      </c>
      <c r="L49" s="1894"/>
      <c r="O49" s="1895" t="s">
        <v>1042</v>
      </c>
      <c r="P49" s="1886" t="s">
        <v>1536</v>
      </c>
      <c r="Q49" s="1887" t="e">
        <f ca="1">C29</f>
        <v>#N/A</v>
      </c>
      <c r="R49" s="1887" t="s">
        <v>1529</v>
      </c>
    </row>
    <row r="50" spans="1:18" s="1843" customFormat="1" ht="13.5" thickBot="1">
      <c r="A50" s="1197"/>
      <c r="B50" s="1200"/>
      <c r="C50" s="1370"/>
      <c r="D50" s="1174"/>
      <c r="E50" s="1279" t="s">
        <v>1406</v>
      </c>
      <c r="F50" s="1280" t="e">
        <f ca="1">F7</f>
        <v>#N/A</v>
      </c>
      <c r="H50" s="792"/>
      <c r="I50" s="1888" t="s">
        <v>1537</v>
      </c>
      <c r="J50" s="1896">
        <f>SUMPRODUCT((I63:I65=J47)*(J62:L62=J48)*(J63:L65))</f>
        <v>60</v>
      </c>
      <c r="K50" s="1890" t="s">
        <v>1538</v>
      </c>
      <c r="L50" s="1894"/>
      <c r="M50" s="1897"/>
      <c r="O50" s="1895" t="s">
        <v>1043</v>
      </c>
      <c r="P50" s="1886" t="s">
        <v>1539</v>
      </c>
      <c r="Q50" s="1898" t="e">
        <f ca="1">J58</f>
        <v>#N/A</v>
      </c>
      <c r="R50" s="1887"/>
    </row>
    <row r="51" spans="1:18" s="1843" customFormat="1" ht="13.5" thickBot="1">
      <c r="A51" s="1198"/>
      <c r="B51" s="1200"/>
      <c r="C51" s="1201"/>
      <c r="D51" s="1174"/>
      <c r="E51" s="1202" t="s">
        <v>1407</v>
      </c>
      <c r="F51" s="348" t="e">
        <f ca="1">F8</f>
        <v>#N/A</v>
      </c>
      <c r="I51" s="1899" t="s">
        <v>1540</v>
      </c>
      <c r="J51" s="1900">
        <f>IF(J49="",J50,J49+J50-YEAR('数据-取费表'!B2))</f>
        <v>58</v>
      </c>
      <c r="K51" s="1901" t="s">
        <v>1541</v>
      </c>
      <c r="L51" s="1902" t="e">
        <f ca="1">ROUND(-PV(INDIRECT("'数据-取费表'!h"&amp;$G$1),L48,(C39-C13*C76),0),0)</f>
        <v>#N/A</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t="e">
        <f ca="1">J53</f>
        <v>#N/A</v>
      </c>
      <c r="R52" s="1887" t="s">
        <v>1546</v>
      </c>
    </row>
    <row r="53" spans="1:18" s="1843" customFormat="1" ht="24.75" thickBot="1">
      <c r="A53" s="1407" t="s">
        <v>1137</v>
      </c>
      <c r="B53" s="1832" t="s">
        <v>1409</v>
      </c>
      <c r="C53" s="361">
        <f ca="1">ROUND(IF(F53="押一",C49/12*F11,IF(F53="押二",C49/12*2*F11,IF(F53="押三",C49/12*3*F11,C54*F11))),0)</f>
        <v>0</v>
      </c>
      <c r="D53" s="1825" t="s">
        <v>3037</v>
      </c>
      <c r="E53" s="358" t="s">
        <v>1410</v>
      </c>
      <c r="F53" s="1368"/>
      <c r="I53" s="1906" t="s">
        <v>1547</v>
      </c>
      <c r="J53" s="1907" t="e">
        <f ca="1">IF(M47="住宅",IF(D1="——",MAX(J51,L48),IF(D1="在建（套用方法）",MAX(J51,L48-'数据-取费表'!B24),MAX(J51,L48-'数据-取费表'!B20))),IF(D1="——",MIN(J51,L48),IF(D1="在建（套用方法）",MIN(J51,L48-'数据-取费表'!B24),IF(D1="土地（套用方法）",MIN(J51,L48-'数据-取费表'!B20)))))</f>
        <v>#N/A</v>
      </c>
      <c r="K53" s="3219" t="s">
        <v>1548</v>
      </c>
      <c r="L53" s="3220"/>
      <c r="O53" s="1885" t="s">
        <v>1046</v>
      </c>
      <c r="P53" s="1886" t="s">
        <v>1549</v>
      </c>
      <c r="Q53" s="1887" t="e">
        <f ca="1">Q47+Q48</f>
        <v>#N/A</v>
      </c>
      <c r="R53" s="1887" t="s">
        <v>1047</v>
      </c>
    </row>
    <row r="54" spans="1:18" s="1843" customFormat="1" ht="13.5" thickBot="1">
      <c r="A54" s="1408"/>
      <c r="B54" s="1826" t="s">
        <v>1388</v>
      </c>
      <c r="C54" s="1180"/>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#N/A</v>
      </c>
      <c r="K55" s="1913" t="s">
        <v>1552</v>
      </c>
      <c r="L55" s="1914" t="s">
        <v>1553</v>
      </c>
      <c r="O55" s="1878" t="s">
        <v>1522</v>
      </c>
      <c r="P55" s="1879" t="s">
        <v>1523</v>
      </c>
      <c r="Q55" s="1880" t="s">
        <v>1524</v>
      </c>
      <c r="R55" s="1880" t="s">
        <v>1525</v>
      </c>
    </row>
    <row r="56" spans="1:18" s="1843" customFormat="1" ht="25.5" thickTop="1" thickBot="1">
      <c r="A56" s="1178">
        <v>2</v>
      </c>
      <c r="B56" s="1179" t="s">
        <v>1414</v>
      </c>
      <c r="C56" s="276" t="e">
        <f ca="1">C13</f>
        <v>#N/A</v>
      </c>
      <c r="D56" s="1915"/>
      <c r="E56" s="1916"/>
      <c r="F56" s="1908"/>
      <c r="I56" s="1917" t="s">
        <v>1554</v>
      </c>
      <c r="J56" s="1918" t="s">
        <v>4036</v>
      </c>
      <c r="K56" s="1888" t="s">
        <v>1555</v>
      </c>
      <c r="L56" s="1891" t="e">
        <f ca="1">IF(L48&lt;J51,"——",L48-J53)</f>
        <v>#N/A</v>
      </c>
      <c r="O56" s="1885" t="s">
        <v>1040</v>
      </c>
      <c r="P56" s="1886" t="s">
        <v>1528</v>
      </c>
      <c r="Q56" s="1887" t="e">
        <f ca="1">C40+J29</f>
        <v>#N/A</v>
      </c>
      <c r="R56" s="1887" t="s">
        <v>1529</v>
      </c>
    </row>
    <row r="57" spans="1:18" s="1843" customFormat="1" ht="24.75" thickBot="1">
      <c r="A57" s="1919"/>
      <c r="B57" s="1171" t="s">
        <v>1478</v>
      </c>
      <c r="C57" s="282" t="e">
        <f ca="1">C29</f>
        <v>#N/A</v>
      </c>
      <c r="D57" s="1920"/>
      <c r="E57" s="1921"/>
      <c r="F57" s="1922"/>
      <c r="I57" s="1923" t="s">
        <v>1556</v>
      </c>
      <c r="J57" s="1924" t="e">
        <f ca="1">IF(OR(M47="住宅",J51&lt;L48,J56="是"),"——",J51-L48)</f>
        <v>#N/A</v>
      </c>
      <c r="K57" s="1888" t="s">
        <v>1557</v>
      </c>
      <c r="L57" s="1891" t="e">
        <f ca="1">IF(L48&lt;J51,"——",IF(L55="比较法",L49,IF(L55="基准地价",L50,L51)))</f>
        <v>#N/A</v>
      </c>
      <c r="O57" s="1885" t="s">
        <v>1041</v>
      </c>
      <c r="P57" s="1886" t="s">
        <v>1558</v>
      </c>
      <c r="Q57" s="1887" t="e">
        <f ca="1">L60</f>
        <v>#N/A</v>
      </c>
      <c r="R57" s="1887" t="s">
        <v>1559</v>
      </c>
    </row>
    <row r="58" spans="1:18" s="1843" customFormat="1" ht="24.75" thickBot="1">
      <c r="A58" s="360" t="s">
        <v>1030</v>
      </c>
      <c r="B58" s="1179" t="s">
        <v>1424</v>
      </c>
      <c r="C58" s="361" t="e">
        <f ca="1">ROUND(C59+C64+C65+C66,0)</f>
        <v>#N/A</v>
      </c>
      <c r="D58" s="1181" t="s">
        <v>1425</v>
      </c>
      <c r="E58" s="1182"/>
      <c r="F58" s="1183"/>
      <c r="I58" s="1923" t="s">
        <v>1560</v>
      </c>
      <c r="J58" s="1925" t="e">
        <f ca="1">IF(J55&lt;0.4,0.4,J55)</f>
        <v>#N/A</v>
      </c>
      <c r="K58" s="1901" t="s">
        <v>1561</v>
      </c>
      <c r="L58" s="1891" t="e">
        <f ca="1">ROUND(POWER(1+L52,L47-L48)*(POWER(1+L52,L48)-1)/(POWER(1+L52,L47)-1),4)</f>
        <v>#N/A</v>
      </c>
      <c r="O58" s="1895" t="s">
        <v>1042</v>
      </c>
      <c r="P58" s="1886" t="s">
        <v>1562</v>
      </c>
      <c r="Q58" s="1887">
        <f>IF(L55="比较法",L49,IF(L55="基准地价",L50,0))</f>
        <v>0</v>
      </c>
      <c r="R58" s="1887" t="s">
        <v>1529</v>
      </c>
    </row>
    <row r="59" spans="1:18" s="1843"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3" t="s">
        <v>1563</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1564</v>
      </c>
      <c r="Q59" s="1898">
        <f>L52</f>
        <v>0</v>
      </c>
      <c r="R59" s="1887"/>
    </row>
    <row r="60" spans="1:18" s="1843"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6" t="s">
        <v>1565</v>
      </c>
      <c r="J60" s="1927" t="e">
        <f ca="1">IF(OR(M47="住宅",J51&lt;L48,J56="是"),"0",ROUND(J59/(1+J52)^J53,0))</f>
        <v>#N/A</v>
      </c>
      <c r="K60" s="1928" t="s">
        <v>1566</v>
      </c>
      <c r="L60" s="1927" t="e">
        <f ca="1">IF(OR(M47="住宅",L48&lt;J51),0,ROUND(L57*(L58/L59-1),0))</f>
        <v>#N/A</v>
      </c>
      <c r="O60" s="1895" t="s">
        <v>1044</v>
      </c>
      <c r="P60" s="1886" t="s">
        <v>1567</v>
      </c>
      <c r="Q60" s="1887" t="e">
        <f ca="1">L58</f>
        <v>#N/A</v>
      </c>
      <c r="R60" s="1887" t="s">
        <v>1568</v>
      </c>
    </row>
    <row r="61" spans="1:18" s="1843" customFormat="1" ht="13.5" thickBot="1">
      <c r="A61" s="1203" t="s">
        <v>1492</v>
      </c>
      <c r="B61" s="1171" t="s">
        <v>1493</v>
      </c>
      <c r="C61" s="24" t="e">
        <f ca="1">IF(项目基本情况!B11="自然人","——",IF(D61="按租金收入计税",ROUND(C48*F61,2),IF(D61="按房产原值计税",ROUND(C57*F61*0.7,2),INDIRECT("'数据-取费表'!Aj"&amp;$G$1))))</f>
        <v>#N/A</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#N/A</v>
      </c>
      <c r="R61" s="1887" t="s">
        <v>1569</v>
      </c>
    </row>
    <row r="62" spans="1:18" s="1843" customFormat="1" ht="13.5" thickBot="1">
      <c r="A62" s="1203" t="s">
        <v>1495</v>
      </c>
      <c r="B62" s="1170" t="s">
        <v>1496</v>
      </c>
      <c r="C62" s="25" t="e">
        <f ca="1">IF(项目基本情况!B11="自然人","——",ROUND(F62*F63/10000,2))</f>
        <v>#N/A</v>
      </c>
      <c r="D62" s="1186" t="s">
        <v>1497</v>
      </c>
      <c r="E62" s="1171" t="s">
        <v>1498</v>
      </c>
      <c r="F62" s="371">
        <f t="shared" si="0"/>
        <v>10</v>
      </c>
      <c r="I62" s="1930" t="s">
        <v>1570</v>
      </c>
      <c r="J62" s="1931" t="s">
        <v>1571</v>
      </c>
      <c r="K62" s="1931" t="s">
        <v>1572</v>
      </c>
      <c r="L62" s="1931" t="s">
        <v>1573</v>
      </c>
      <c r="M62" s="1932" t="s">
        <v>1574</v>
      </c>
      <c r="O62" s="1885" t="s">
        <v>1046</v>
      </c>
      <c r="P62" s="1886" t="s">
        <v>1575</v>
      </c>
      <c r="Q62" s="1887" t="e">
        <f ca="1">Q56+Q57</f>
        <v>#N/A</v>
      </c>
      <c r="R62" s="1887" t="s">
        <v>1047</v>
      </c>
    </row>
    <row r="63" spans="1:18" s="1843" customFormat="1" ht="13.5" thickBot="1">
      <c r="A63" s="372"/>
      <c r="B63" s="1177"/>
      <c r="C63" s="29"/>
      <c r="D63" s="1187"/>
      <c r="E63" s="1171" t="s">
        <v>1499</v>
      </c>
      <c r="F63" s="348" t="e">
        <f t="shared" ca="1" si="0"/>
        <v>#N/A</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t="e">
        <f ca="1">ROUND(C57*F64,1)</f>
        <v>#N/A</v>
      </c>
      <c r="D64" s="1185" t="s">
        <v>1502</v>
      </c>
      <c r="E64" s="1171" t="s">
        <v>1494</v>
      </c>
      <c r="F64" s="374" t="e">
        <f t="shared" ca="1" si="0"/>
        <v>#N/A</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t="e">
        <f ca="1">ROUND(C56*F65,1)</f>
        <v>#N/A</v>
      </c>
      <c r="D65" s="1185" t="s">
        <v>1454</v>
      </c>
      <c r="E65" s="1171" t="s">
        <v>1455</v>
      </c>
      <c r="F65" s="376" t="e">
        <f t="shared" ca="1" si="0"/>
        <v>#N/A</v>
      </c>
      <c r="I65" s="1930" t="s">
        <v>1579</v>
      </c>
      <c r="J65" s="1931">
        <v>40</v>
      </c>
      <c r="K65" s="1931">
        <v>30</v>
      </c>
      <c r="L65" s="1931">
        <v>50</v>
      </c>
      <c r="M65" s="1933">
        <v>0.02</v>
      </c>
      <c r="O65" s="1885" t="s">
        <v>1040</v>
      </c>
      <c r="P65" s="1886" t="s">
        <v>1580</v>
      </c>
      <c r="Q65" s="1887" t="e">
        <f ca="1">C40+J29</f>
        <v>#N/A</v>
      </c>
      <c r="R65" s="1887" t="s">
        <v>1529</v>
      </c>
    </row>
    <row r="66" spans="1:18" s="1843" customFormat="1" ht="16.5" thickBot="1">
      <c r="A66" s="1203" t="s">
        <v>1504</v>
      </c>
      <c r="B66" s="1171" t="s">
        <v>1439</v>
      </c>
      <c r="C66" s="24" t="e">
        <f ca="1">ROUND(C48*F66,1)</f>
        <v>#N/A</v>
      </c>
      <c r="D66" s="1185" t="s">
        <v>1505</v>
      </c>
      <c r="E66" s="1171" t="s">
        <v>1422</v>
      </c>
      <c r="F66" s="357" t="e">
        <f t="shared" ca="1" si="0"/>
        <v>#N/A</v>
      </c>
      <c r="O66" s="1885" t="s">
        <v>1041</v>
      </c>
      <c r="P66" s="1886" t="s">
        <v>1558</v>
      </c>
      <c r="Q66" s="1887" t="e">
        <f ca="1">L60</f>
        <v>#N/A</v>
      </c>
      <c r="R66" s="1887" t="s">
        <v>1581</v>
      </c>
    </row>
    <row r="67" spans="1:18" s="1843" customFormat="1" ht="16.5" thickBot="1">
      <c r="A67" s="1178" t="s">
        <v>1031</v>
      </c>
      <c r="B67" s="1188" t="s">
        <v>1463</v>
      </c>
      <c r="C67" s="361" t="e">
        <f ca="1">C48-C58</f>
        <v>#N/A</v>
      </c>
      <c r="D67" s="1184" t="s">
        <v>1464</v>
      </c>
      <c r="E67" s="1189"/>
      <c r="F67" s="1190"/>
      <c r="O67" s="1895" t="s">
        <v>1042</v>
      </c>
      <c r="P67" s="1886" t="s">
        <v>1562</v>
      </c>
      <c r="Q67" s="1934" t="e">
        <f ca="1">L51</f>
        <v>#N/A</v>
      </c>
      <c r="R67" s="1887" t="s">
        <v>1582</v>
      </c>
    </row>
    <row r="68" spans="1:18" s="1843" customFormat="1" ht="16.5" thickBot="1">
      <c r="A68" s="1168" t="s">
        <v>1032</v>
      </c>
      <c r="B68" s="1169" t="s">
        <v>1485</v>
      </c>
      <c r="C68" s="346" t="e">
        <f ca="1">ROUND(C67*(1-((1+F70)/(1+F68))^F69)/(F68-F70),0)</f>
        <v>#N/A</v>
      </c>
      <c r="D68" s="1186" t="s">
        <v>1469</v>
      </c>
      <c r="E68" s="1171" t="s">
        <v>1470</v>
      </c>
      <c r="F68" s="357" t="e">
        <f ca="1">F40</f>
        <v>#N/A</v>
      </c>
      <c r="O68" s="1895" t="s">
        <v>1043</v>
      </c>
      <c r="P68" s="1935" t="s">
        <v>1583</v>
      </c>
      <c r="Q68" s="1887" t="e">
        <f ca="1">ROUND(Q69-Q70*Q71,0)</f>
        <v>#N/A</v>
      </c>
      <c r="R68" s="1887" t="s">
        <v>1051</v>
      </c>
    </row>
    <row r="69" spans="1:18" s="1843" customFormat="1" ht="13.5" thickBot="1">
      <c r="A69" s="1172"/>
      <c r="B69" s="1173"/>
      <c r="C69" s="351"/>
      <c r="D69" s="1191" t="s">
        <v>1473</v>
      </c>
      <c r="E69" s="1171" t="s">
        <v>1474</v>
      </c>
      <c r="F69" s="379" t="e">
        <f ca="1">F41</f>
        <v>#N/A</v>
      </c>
      <c r="O69" s="1895" t="s">
        <v>1048</v>
      </c>
      <c r="P69" s="1935" t="s">
        <v>1584</v>
      </c>
      <c r="Q69" s="1887" t="e">
        <f ca="1">C39</f>
        <v>#N/A</v>
      </c>
      <c r="R69" s="1887" t="s">
        <v>1529</v>
      </c>
    </row>
    <row r="70" spans="1:18" s="1843" customFormat="1" ht="13.5" thickBot="1">
      <c r="A70" s="1175"/>
      <c r="B70" s="1176"/>
      <c r="C70" s="355"/>
      <c r="D70" s="1187"/>
      <c r="E70" s="1171" t="s">
        <v>1477</v>
      </c>
      <c r="F70" s="1277"/>
      <c r="O70" s="1895" t="s">
        <v>1049</v>
      </c>
      <c r="P70" s="1935" t="s">
        <v>1585</v>
      </c>
      <c r="Q70" s="1887" t="e">
        <f ca="1">C13</f>
        <v>#N/A</v>
      </c>
      <c r="R70" s="1887" t="s">
        <v>1529</v>
      </c>
    </row>
    <row r="71" spans="1:18" s="1843" customFormat="1" ht="13.5" thickBot="1">
      <c r="A71" s="1192" t="s">
        <v>1033</v>
      </c>
      <c r="B71" s="1193" t="s">
        <v>1487</v>
      </c>
      <c r="C71" s="382" t="e">
        <f ca="1">ROUND(C68*10000/F71,0)</f>
        <v>#N/A</v>
      </c>
      <c r="D71" s="1194" t="s">
        <v>1488</v>
      </c>
      <c r="E71" s="1195" t="s">
        <v>1489</v>
      </c>
      <c r="F71" s="385" t="e">
        <f ca="1">F43</f>
        <v>#N/A</v>
      </c>
      <c r="O71" s="1895" t="s">
        <v>1050</v>
      </c>
      <c r="P71" s="1935" t="s">
        <v>1586</v>
      </c>
      <c r="Q71" s="1898" t="e">
        <f ca="1">C76</f>
        <v>#N/A</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#N/A</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#N/A</v>
      </c>
      <c r="R74" s="1887" t="s">
        <v>1569</v>
      </c>
    </row>
    <row r="75" spans="1:18" ht="13.5" thickBot="1">
      <c r="A75" s="1843"/>
      <c r="B75" s="386" t="s">
        <v>1506</v>
      </c>
      <c r="C75" s="387" t="e">
        <f ca="1">ROUND(C13*C76,0)</f>
        <v>#N/A</v>
      </c>
      <c r="D75" s="1843"/>
      <c r="E75" s="1843"/>
      <c r="F75" s="1843"/>
      <c r="K75" s="1869"/>
      <c r="L75" s="1843"/>
      <c r="O75" s="1885" t="s">
        <v>1046</v>
      </c>
      <c r="P75" s="1886" t="s">
        <v>1549</v>
      </c>
      <c r="Q75" s="1887" t="e">
        <f ca="1">Q65+Q66</f>
        <v>#N/A</v>
      </c>
      <c r="R75" s="1887" t="s">
        <v>1047</v>
      </c>
    </row>
    <row r="76" spans="1:18">
      <c r="B76" s="388" t="s">
        <v>1507</v>
      </c>
      <c r="C76" s="389" t="e">
        <f ca="1">INDIRECT("'数据-取费表'!j"&amp;$G$1)</f>
        <v>#N/A</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17" sqref="D1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4112</v>
      </c>
      <c r="D1" s="1821" t="s">
        <v>70</v>
      </c>
      <c r="E1" s="1822" t="s">
        <v>1387</v>
      </c>
      <c r="F1" s="1285">
        <f ca="1">J53</f>
        <v>36.909999999999997</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259</v>
      </c>
      <c r="C2" s="1846" t="s">
        <v>1591</v>
      </c>
      <c r="D2" s="1939">
        <f ca="1">C40+J29+L46</f>
        <v>2589911</v>
      </c>
      <c r="E2" s="1847" t="s">
        <v>1592</v>
      </c>
      <c r="F2" s="1848"/>
      <c r="G2" s="1849"/>
      <c r="H2" s="1841"/>
      <c r="I2" s="1841"/>
      <c r="J2" s="1841"/>
      <c r="K2" s="1842"/>
      <c r="L2" s="1841"/>
      <c r="M2" s="1841"/>
    </row>
    <row r="3" spans="1:37" ht="18" customHeight="1" thickBot="1">
      <c r="A3" s="1850" t="s">
        <v>1593</v>
      </c>
      <c r="B3" s="1851">
        <f ca="1">IF(ISERROR(D2/F43),0,ROUND(D2/F43,0))</f>
        <v>25426</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158208</v>
      </c>
      <c r="D5" s="1823" t="s">
        <v>1601</v>
      </c>
      <c r="E5" s="1295"/>
      <c r="F5" s="1296"/>
      <c r="G5" s="1852"/>
      <c r="H5" s="344">
        <v>1</v>
      </c>
      <c r="I5" s="345" t="s">
        <v>1600</v>
      </c>
      <c r="J5" s="1294">
        <f ca="1">J6+J10+J12</f>
        <v>0</v>
      </c>
      <c r="K5" s="1823" t="s">
        <v>1601</v>
      </c>
      <c r="L5" s="1295"/>
      <c r="M5" s="1296"/>
    </row>
    <row r="6" spans="1:37" ht="18" customHeight="1">
      <c r="A6" s="1293" t="s">
        <v>1035</v>
      </c>
      <c r="B6" s="3221" t="s">
        <v>1403</v>
      </c>
      <c r="C6" s="1298">
        <f ca="1">ROUND(F6*F8*F7*(1-F9),0)</f>
        <v>158010</v>
      </c>
      <c r="D6" s="164" t="s">
        <v>3026</v>
      </c>
      <c r="E6" s="347" t="s">
        <v>1405</v>
      </c>
      <c r="F6" s="348">
        <f ca="1">INDIRECT("'数据-取费表'!u"&amp;$G$1)</f>
        <v>5</v>
      </c>
      <c r="G6" s="1852"/>
      <c r="H6" s="1293" t="s">
        <v>1035</v>
      </c>
      <c r="I6" s="3221" t="s">
        <v>1403</v>
      </c>
      <c r="J6" s="346">
        <f ca="1">ROUND(M6*M8*M7*(1-M9),0)</f>
        <v>0</v>
      </c>
      <c r="K6" s="1835" t="s">
        <v>3027</v>
      </c>
      <c r="L6" s="347" t="s">
        <v>1405</v>
      </c>
      <c r="M6" s="348">
        <f ca="1">INDIRECT("'数据-取费表'!z"&amp;$G$1)</f>
        <v>0</v>
      </c>
    </row>
    <row r="7" spans="1:37" ht="18" customHeight="1">
      <c r="A7" s="1297"/>
      <c r="B7" s="3222"/>
      <c r="C7" s="1299"/>
      <c r="D7" s="352"/>
      <c r="E7" s="1300" t="s">
        <v>1406</v>
      </c>
      <c r="F7" s="348">
        <f ca="1">IF(INDIRECT("'数据-取费表'!ah"&amp;$G$1)="",INDIRECT("'数据-取费表'!k"&amp;$G$1),INDIRECT("'数据-取费表'!ah"&amp;$G$1))</f>
        <v>101.86</v>
      </c>
      <c r="G7" s="1852"/>
      <c r="H7" s="349"/>
      <c r="I7" s="3222"/>
      <c r="J7" s="351"/>
      <c r="K7" s="352"/>
      <c r="L7" s="347" t="s">
        <v>1406</v>
      </c>
      <c r="M7" s="348">
        <f ca="1">F7</f>
        <v>101.86</v>
      </c>
    </row>
    <row r="8" spans="1:37" ht="18" customHeight="1">
      <c r="A8" s="349"/>
      <c r="B8" s="3222"/>
      <c r="C8" s="351"/>
      <c r="D8" s="352"/>
      <c r="E8" s="347" t="s">
        <v>1407</v>
      </c>
      <c r="F8" s="348">
        <f ca="1">INDIRECT("'数据-取费表'!ai"&amp;$G$1)</f>
        <v>365</v>
      </c>
      <c r="G8" s="1852"/>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0.15</v>
      </c>
      <c r="G9" s="1852"/>
      <c r="H9" s="349"/>
      <c r="I9" s="3223"/>
      <c r="J9" s="351"/>
      <c r="K9" s="352"/>
      <c r="L9" s="358" t="s">
        <v>1408</v>
      </c>
      <c r="M9" s="359">
        <f ca="1">INDIRECT("'数据-取费表'!ab"&amp;$G$1)</f>
        <v>0</v>
      </c>
    </row>
    <row r="10" spans="1:37" ht="18" customHeight="1">
      <c r="A10" s="1293" t="s">
        <v>1039</v>
      </c>
      <c r="B10" s="1824" t="s">
        <v>1409</v>
      </c>
      <c r="C10" s="361">
        <f ca="1">ROUND(IF(F10="押一",C6/12*F11,IF(F10="押二",C6/12*2*F11,IF(F10="押三",C6/12*3*F11,C11*F11))),0)</f>
        <v>198</v>
      </c>
      <c r="D10" s="1825" t="s">
        <v>3037</v>
      </c>
      <c r="E10" s="358" t="s">
        <v>1410</v>
      </c>
      <c r="F10" s="1368" t="s">
        <v>4086</v>
      </c>
      <c r="G10" s="1852"/>
      <c r="H10" s="1293" t="s">
        <v>1039</v>
      </c>
      <c r="I10" s="1824" t="s">
        <v>1409</v>
      </c>
      <c r="J10" s="346">
        <f ca="1">ROUND(IF(M10="押一",J6/12*M11,IF(M10="押二",J6/12*2*M11,IF(M10="押三",J6/12*3*M11,J11*M11))),0)</f>
        <v>0</v>
      </c>
      <c r="K10" s="1836" t="s">
        <v>3039</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399447</v>
      </c>
      <c r="D13" s="1333" t="s">
        <v>1415</v>
      </c>
      <c r="E13" s="1333" t="s">
        <v>1416</v>
      </c>
      <c r="F13" s="1334">
        <f ca="1">INDIRECT("'数据-取费表'!y"&amp;$G$1)</f>
        <v>0.97</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254650</v>
      </c>
      <c r="D14" s="1801" t="s">
        <v>1418</v>
      </c>
      <c r="E14" s="1795"/>
      <c r="F14" s="364"/>
      <c r="G14" s="1852"/>
      <c r="H14" s="1203" t="s">
        <v>1035</v>
      </c>
      <c r="I14" s="347" t="s">
        <v>1419</v>
      </c>
      <c r="J14" s="24">
        <f ca="1">C29</f>
        <v>411801</v>
      </c>
      <c r="K14" s="15"/>
      <c r="L14" s="981"/>
      <c r="M14" s="982"/>
    </row>
    <row r="15" spans="1:37" s="1859" customFormat="1" ht="18" customHeight="1" thickBot="1">
      <c r="A15" s="1203" t="s">
        <v>1036</v>
      </c>
      <c r="B15" s="347" t="s">
        <v>1420</v>
      </c>
      <c r="C15" s="24">
        <f ca="1">ROUND(C14*F15,0)</f>
        <v>7640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11695</v>
      </c>
      <c r="K16" s="1339" t="s">
        <v>1425</v>
      </c>
      <c r="L16" s="1340"/>
      <c r="M16" s="1296"/>
    </row>
    <row r="17" spans="1:37" s="1859" customFormat="1" ht="18" customHeight="1">
      <c r="A17" s="1203" t="s">
        <v>1390</v>
      </c>
      <c r="B17" s="347" t="s">
        <v>1426</v>
      </c>
      <c r="C17" s="24">
        <f ca="1">ROUND(F17*(F43+INDIRECT("'数据-取费表'!S"&amp;$G$1)),0)</f>
        <v>20372</v>
      </c>
      <c r="D17" s="347" t="s">
        <v>1427</v>
      </c>
      <c r="E17" s="347" t="s">
        <v>1428</v>
      </c>
      <c r="F17" s="26">
        <f>'数据-取费表'!B35</f>
        <v>200</v>
      </c>
      <c r="G17" s="1855"/>
      <c r="H17" s="1203" t="s">
        <v>1035</v>
      </c>
      <c r="I17" s="347" t="s">
        <v>1429</v>
      </c>
      <c r="J17" s="24">
        <f ca="1">ROUND(IF(项目基本情况!B11="自然人",J5*M17,J18+J19+J20),0)</f>
        <v>3459</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3820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286482</v>
      </c>
      <c r="D19" s="140" t="s">
        <v>1436</v>
      </c>
      <c r="E19" s="1819"/>
      <c r="F19" s="26"/>
      <c r="G19" s="1852"/>
      <c r="H19" s="1203" t="s">
        <v>1036</v>
      </c>
      <c r="I19" s="347" t="s">
        <v>1437</v>
      </c>
      <c r="J19" s="24">
        <f ca="1">IF(K19="按租金收入计税",ROUND(J5*M19,0),ROUND(C29*M19*0.7,0))</f>
        <v>3459</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5730</v>
      </c>
      <c r="D20" s="369" t="s">
        <v>1440</v>
      </c>
      <c r="E20" s="347" t="s">
        <v>1422</v>
      </c>
      <c r="F20" s="367">
        <f>'数据-取费表'!B37</f>
        <v>0.02</v>
      </c>
      <c r="G20" s="1855"/>
      <c r="H20" s="1203" t="s">
        <v>1389</v>
      </c>
      <c r="I20" s="164" t="s">
        <v>1441</v>
      </c>
      <c r="J20" s="25">
        <f ca="1">ROUND(M20*M21,0)</f>
        <v>0</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8236</v>
      </c>
      <c r="K22" s="1799" t="s">
        <v>1450</v>
      </c>
      <c r="L22" s="347" t="s">
        <v>1422</v>
      </c>
      <c r="M22" s="374">
        <f ca="1">INDIRECT("'数据-取费表'!Ak"&amp;$G$1)</f>
        <v>0.02</v>
      </c>
    </row>
    <row r="23" spans="1:37" s="1859" customFormat="1" ht="18" customHeight="1">
      <c r="A23" s="1203" t="s">
        <v>1034</v>
      </c>
      <c r="B23" s="347" t="s">
        <v>1451</v>
      </c>
      <c r="C23" s="24">
        <f ca="1">IF('数据-取费表'!B22&lt;=1,ROUND(C19*F24*F23/2,0)+ROUND(C20*F24*F23/2,0),ROUND(C19*(POWER((1+F24),F23/2)-1),0)+ROUND(C20*(POWER((1+F24),F23/2)-1),0))</f>
        <v>13880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-11695</v>
      </c>
      <c r="K25" s="1347" t="s">
        <v>1464</v>
      </c>
      <c r="L25" s="1348"/>
      <c r="M25" s="1349"/>
    </row>
    <row r="26" spans="1:37" ht="18" customHeight="1">
      <c r="A26" s="1203" t="s">
        <v>1034</v>
      </c>
      <c r="B26" s="347" t="s">
        <v>1465</v>
      </c>
      <c r="C26" s="24">
        <f ca="1">ROUND((C19+C20)*F26,0)</f>
        <v>73053</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411801</v>
      </c>
      <c r="D29" s="1344"/>
      <c r="E29" s="1342"/>
      <c r="F29" s="1345"/>
      <c r="G29" s="1855"/>
      <c r="H29" s="380" t="s">
        <v>1033</v>
      </c>
      <c r="I29" s="381" t="s">
        <v>1479</v>
      </c>
      <c r="J29" s="382">
        <f ca="1">ROUND(J26/(1+F40)^F41,0)</f>
        <v>0</v>
      </c>
      <c r="K29" s="383" t="s">
        <v>1480</v>
      </c>
      <c r="L29" s="384"/>
      <c r="M29" s="385">
        <f ca="1">INDIRECT("'数据-取费表'!k"&amp;$G$1)</f>
        <v>101.86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39622</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27423</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8438</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18985</v>
      </c>
      <c r="D33" s="1829" t="s">
        <v>4087</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8236</v>
      </c>
      <c r="D36" s="1799" t="s">
        <v>1482</v>
      </c>
      <c r="E36" s="347" t="s">
        <v>1422</v>
      </c>
      <c r="F36" s="374">
        <f ca="1">INDIRECT("'数据-取费表'!Ak"&amp;$G$1)</f>
        <v>0.02</v>
      </c>
      <c r="G36" s="1852"/>
      <c r="H36" s="1860"/>
      <c r="I36" s="1861"/>
      <c r="J36" s="1862"/>
      <c r="K36" s="750"/>
      <c r="L36" s="1860"/>
      <c r="M36" s="1860"/>
    </row>
    <row r="37" spans="1:18" ht="18" customHeight="1">
      <c r="A37" s="1203" t="s">
        <v>1075</v>
      </c>
      <c r="B37" s="347" t="s">
        <v>1453</v>
      </c>
      <c r="C37" s="24">
        <f ca="1">ROUND(C13*F37,0)</f>
        <v>799</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3164.2</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118586</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2589911</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36.909999999999997</v>
      </c>
      <c r="G41" s="1852"/>
      <c r="H41" s="731"/>
      <c r="I41" s="1861"/>
      <c r="J41" s="1862"/>
      <c r="K41" s="750"/>
      <c r="L41" s="731"/>
      <c r="M41" s="731"/>
    </row>
    <row r="42" spans="1:18" ht="18" customHeight="1">
      <c r="A42" s="353"/>
      <c r="B42" s="354"/>
      <c r="C42" s="355"/>
      <c r="D42" s="373"/>
      <c r="E42" s="347" t="s">
        <v>1477</v>
      </c>
      <c r="F42" s="357">
        <f ca="1">INDIRECT("'数据-取费表'!v"&amp;$G$1)</f>
        <v>2.5000000000000001E-2</v>
      </c>
      <c r="G42" s="1852"/>
      <c r="H42" s="731"/>
      <c r="I42" s="1861"/>
      <c r="J42" s="1862"/>
      <c r="K42" s="750"/>
      <c r="L42" s="731"/>
      <c r="M42" s="731"/>
    </row>
    <row r="43" spans="1:18" ht="18" customHeight="1" thickBot="1">
      <c r="A43" s="380" t="s">
        <v>1033</v>
      </c>
      <c r="B43" s="381" t="s">
        <v>1487</v>
      </c>
      <c r="C43" s="382">
        <f ca="1">ROUND(C40/F43,0)</f>
        <v>25426</v>
      </c>
      <c r="D43" s="383" t="s">
        <v>1488</v>
      </c>
      <c r="E43" s="384" t="s">
        <v>1489</v>
      </c>
      <c r="F43" s="385">
        <f ca="1">INDIRECT("'数据-取费表'!k"&amp;$G$1)</f>
        <v>101.86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-3542700</v>
      </c>
      <c r="D45" s="1941" t="s">
        <v>1604</v>
      </c>
      <c r="E45" s="1867"/>
      <c r="F45" s="1867"/>
      <c r="O45" s="1870" t="s">
        <v>1519</v>
      </c>
      <c r="P45" s="1840"/>
      <c r="Q45" s="1840"/>
      <c r="R45" s="1840"/>
    </row>
    <row r="46" spans="1:18" s="1843" customFormat="1" ht="13.5" thickBot="1">
      <c r="A46" s="1871" t="s">
        <v>1520</v>
      </c>
      <c r="C46" s="1872">
        <f ca="1">ROUND(C45/10000,0)</f>
        <v>-354</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4070</v>
      </c>
      <c r="K47" s="1883" t="s">
        <v>1527</v>
      </c>
      <c r="L47" s="1884">
        <f ca="1">INDIRECT("'数据-取费表'!d"&amp;$G$1)</f>
        <v>50</v>
      </c>
      <c r="M47" s="1839" t="str">
        <f>IF(ISNUMBER(FIND("住宅",C1)),"住宅","非住宅")</f>
        <v>非住宅</v>
      </c>
      <c r="O47" s="1885" t="s">
        <v>1040</v>
      </c>
      <c r="P47" s="1886" t="s">
        <v>1528</v>
      </c>
      <c r="Q47" s="1887">
        <f ca="1">C40+J29</f>
        <v>2589911</v>
      </c>
      <c r="R47" s="1887" t="s">
        <v>1529</v>
      </c>
    </row>
    <row r="48" spans="1:18" s="1843" customFormat="1" ht="28.5" thickBot="1">
      <c r="A48" s="1362" t="s">
        <v>1135</v>
      </c>
      <c r="B48" s="345" t="s">
        <v>1401</v>
      </c>
      <c r="C48" s="1818">
        <f ca="1">C49+C53+C55</f>
        <v>0</v>
      </c>
      <c r="D48" s="1364"/>
      <c r="E48" s="1365"/>
      <c r="F48" s="1183"/>
      <c r="G48" s="791"/>
      <c r="H48" s="792"/>
      <c r="I48" s="1888" t="s">
        <v>1530</v>
      </c>
      <c r="J48" s="1889" t="s">
        <v>4088</v>
      </c>
      <c r="K48" s="1890" t="s">
        <v>1531</v>
      </c>
      <c r="L48" s="1891">
        <f ca="1">INDIRECT("'数据-取费表'!f"&amp;$G$1)</f>
        <v>36.909999999999997</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v>2016</v>
      </c>
      <c r="K49" s="1890" t="s">
        <v>1535</v>
      </c>
      <c r="L49" s="1894"/>
      <c r="O49" s="1895" t="s">
        <v>1042</v>
      </c>
      <c r="P49" s="1886" t="s">
        <v>1536</v>
      </c>
      <c r="Q49" s="1887">
        <f ca="1">C29</f>
        <v>411801</v>
      </c>
      <c r="R49" s="1887" t="s">
        <v>1529</v>
      </c>
    </row>
    <row r="50" spans="1:18" s="1843" customFormat="1" ht="13.5" thickBot="1">
      <c r="A50" s="1197"/>
      <c r="B50" s="1200"/>
      <c r="C50" s="1201"/>
      <c r="D50" s="1174"/>
      <c r="E50" s="1279" t="s">
        <v>1406</v>
      </c>
      <c r="F50" s="1280">
        <f ca="1">F7</f>
        <v>101.86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58</v>
      </c>
      <c r="K51" s="1901" t="s">
        <v>1541</v>
      </c>
      <c r="L51" s="1902">
        <f ca="1">ROUND(-PV(INDIRECT("'数据-取费表'!h"&amp;$G$1),L48,(C39-C13*C76),0),0)</f>
        <v>1413102</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36.909999999999997</v>
      </c>
      <c r="R52" s="1887" t="s">
        <v>1546</v>
      </c>
    </row>
    <row r="53" spans="1:18" s="1843" customFormat="1" ht="30.75" customHeight="1" thickBot="1">
      <c r="A53" s="1363" t="s">
        <v>1137</v>
      </c>
      <c r="B53" s="369"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36.909999999999997</v>
      </c>
      <c r="K53" s="3219" t="s">
        <v>1548</v>
      </c>
      <c r="L53" s="3220"/>
      <c r="O53" s="1885" t="s">
        <v>1046</v>
      </c>
      <c r="P53" s="1886" t="s">
        <v>1549</v>
      </c>
      <c r="Q53" s="1887">
        <f ca="1">Q47+Q48</f>
        <v>2589911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399447</v>
      </c>
      <c r="D56" s="1915"/>
      <c r="E56" s="1916"/>
      <c r="F56" s="1908"/>
      <c r="I56" s="1917" t="s">
        <v>1554</v>
      </c>
      <c r="J56" s="1918" t="s">
        <v>4036</v>
      </c>
      <c r="K56" s="1888" t="s">
        <v>1555</v>
      </c>
      <c r="L56" s="1891" t="str">
        <f ca="1">IF(L48&lt;J51,"——",L48-J51)</f>
        <v>——</v>
      </c>
      <c r="O56" s="1885" t="s">
        <v>1040</v>
      </c>
      <c r="P56" s="1886" t="s">
        <v>1528</v>
      </c>
      <c r="Q56" s="1887">
        <f ca="1">C40+J29</f>
        <v>2589911</v>
      </c>
      <c r="R56" s="1887" t="s">
        <v>1529</v>
      </c>
    </row>
    <row r="57" spans="1:18" s="1843" customFormat="1" ht="24.75" thickBot="1">
      <c r="A57" s="1919"/>
      <c r="B57" s="1171" t="s">
        <v>1478</v>
      </c>
      <c r="C57" s="282">
        <f ca="1">C29</f>
        <v>411801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43626</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34591</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34591</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10</v>
      </c>
      <c r="I62" s="1930" t="s">
        <v>1570</v>
      </c>
      <c r="J62" s="1931" t="s">
        <v>1571</v>
      </c>
      <c r="K62" s="1931" t="s">
        <v>1572</v>
      </c>
      <c r="L62" s="1931" t="s">
        <v>1573</v>
      </c>
      <c r="M62" s="1932" t="s">
        <v>1574</v>
      </c>
      <c r="O62" s="1885" t="s">
        <v>1046</v>
      </c>
      <c r="P62" s="1886" t="s">
        <v>1575</v>
      </c>
      <c r="Q62" s="1887">
        <f ca="1">Q56+Q57</f>
        <v>2589911</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8236</v>
      </c>
      <c r="D64" s="1185" t="s">
        <v>1502</v>
      </c>
      <c r="E64" s="1171" t="s">
        <v>1494</v>
      </c>
      <c r="F64" s="374">
        <f t="shared" ca="1" si="0"/>
        <v>0.02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799</v>
      </c>
      <c r="D65" s="1185" t="s">
        <v>1454</v>
      </c>
      <c r="E65" s="1171" t="s">
        <v>1455</v>
      </c>
      <c r="F65" s="376">
        <f t="shared" ca="1" si="0"/>
        <v>2E-3</v>
      </c>
      <c r="I65" s="1930" t="s">
        <v>1579</v>
      </c>
      <c r="J65" s="1931">
        <v>40</v>
      </c>
      <c r="K65" s="1931">
        <v>30</v>
      </c>
      <c r="L65" s="1931">
        <v>50</v>
      </c>
      <c r="M65" s="1933">
        <v>0.02</v>
      </c>
      <c r="O65" s="1885" t="s">
        <v>1040</v>
      </c>
      <c r="P65" s="1886" t="s">
        <v>1580</v>
      </c>
      <c r="Q65" s="1887">
        <f ca="1">C40+J29</f>
        <v>2589911</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-43626</v>
      </c>
      <c r="D67" s="1184" t="s">
        <v>1464</v>
      </c>
      <c r="E67" s="1189"/>
      <c r="F67" s="1190"/>
      <c r="O67" s="1895" t="s">
        <v>1042</v>
      </c>
      <c r="P67" s="1886" t="s">
        <v>1562</v>
      </c>
      <c r="Q67" s="1934">
        <f ca="1">L51</f>
        <v>1413102</v>
      </c>
      <c r="R67" s="1887" t="s">
        <v>1582</v>
      </c>
    </row>
    <row r="68" spans="1:18" s="1843" customFormat="1" ht="16.5" thickBot="1">
      <c r="A68" s="1168" t="s">
        <v>1032</v>
      </c>
      <c r="B68" s="1169" t="s">
        <v>1485</v>
      </c>
      <c r="C68" s="346">
        <f ca="1">ROUND(C67*(1-((1+F70)/(1+F68))^F69)/(F68-F70),0)</f>
        <v>-952789</v>
      </c>
      <c r="D68" s="1186" t="s">
        <v>1469</v>
      </c>
      <c r="E68" s="1171" t="s">
        <v>1470</v>
      </c>
      <c r="F68" s="357">
        <f ca="1">F40</f>
        <v>5.5E-2</v>
      </c>
      <c r="O68" s="1895" t="s">
        <v>1043</v>
      </c>
      <c r="P68" s="1935" t="s">
        <v>1583</v>
      </c>
      <c r="Q68" s="1887">
        <f ca="1">ROUND(Q69-Q70*Q71,0)</f>
        <v>84633</v>
      </c>
      <c r="R68" s="1887" t="s">
        <v>1051</v>
      </c>
    </row>
    <row r="69" spans="1:18" s="1843" customFormat="1" ht="13.5" thickBot="1">
      <c r="A69" s="1172"/>
      <c r="B69" s="1173"/>
      <c r="C69" s="351"/>
      <c r="D69" s="1191" t="s">
        <v>1473</v>
      </c>
      <c r="E69" s="1171" t="s">
        <v>1474</v>
      </c>
      <c r="F69" s="379">
        <f ca="1">F41</f>
        <v>36.909999999999997</v>
      </c>
      <c r="O69" s="1895" t="s">
        <v>1048</v>
      </c>
      <c r="P69" s="1935" t="s">
        <v>1584</v>
      </c>
      <c r="Q69" s="1887">
        <f ca="1">C39</f>
        <v>118586</v>
      </c>
      <c r="R69" s="1887" t="s">
        <v>1529</v>
      </c>
    </row>
    <row r="70" spans="1:18" s="1843" customFormat="1" ht="13.5" thickBot="1">
      <c r="A70" s="1175"/>
      <c r="B70" s="1176"/>
      <c r="C70" s="355"/>
      <c r="D70" s="1187"/>
      <c r="E70" s="1171" t="s">
        <v>1477</v>
      </c>
      <c r="F70" s="1277">
        <f ca="1">F42</f>
        <v>2.5000000000000001E-2</v>
      </c>
      <c r="O70" s="1895" t="s">
        <v>1049</v>
      </c>
      <c r="P70" s="1935" t="s">
        <v>1585</v>
      </c>
      <c r="Q70" s="1887">
        <f ca="1">C13</f>
        <v>399447</v>
      </c>
      <c r="R70" s="1887" t="s">
        <v>1529</v>
      </c>
    </row>
    <row r="71" spans="1:18" s="1843" customFormat="1" ht="13.5" thickBot="1">
      <c r="A71" s="1192" t="s">
        <v>1033</v>
      </c>
      <c r="B71" s="1193" t="s">
        <v>1487</v>
      </c>
      <c r="C71" s="382">
        <f ca="1">ROUND(C68/F71,0)</f>
        <v>-9354</v>
      </c>
      <c r="D71" s="1194" t="s">
        <v>1488</v>
      </c>
      <c r="E71" s="1195" t="s">
        <v>1489</v>
      </c>
      <c r="F71" s="385">
        <f ca="1">F43</f>
        <v>101.86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33953</v>
      </c>
      <c r="D75" s="1843"/>
      <c r="E75" s="1843"/>
      <c r="F75" s="1843"/>
      <c r="K75" s="1869"/>
      <c r="L75" s="1843"/>
      <c r="O75" s="1885" t="s">
        <v>1046</v>
      </c>
      <c r="P75" s="1886" t="s">
        <v>1549</v>
      </c>
      <c r="Q75" s="1887">
        <f ca="1">Q65+Q66</f>
        <v>2589911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0.84599999999999997</v>
      </c>
    </row>
    <row r="83" spans="2:3">
      <c r="B83" s="317" t="s">
        <v>1514</v>
      </c>
      <c r="C83" s="318">
        <f ca="1">ROUND(C13/C40,3)</f>
        <v>0.154</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2524</v>
      </c>
      <c r="B1" s="2563"/>
      <c r="C1" s="2563"/>
      <c r="D1" s="2563"/>
      <c r="E1" s="2564"/>
    </row>
    <row r="2" spans="1:6" ht="15.75">
      <c r="A2" s="2565" t="s">
        <v>2325</v>
      </c>
      <c r="B2" s="2566">
        <f ca="1">SUMIF(B6:B13,"&lt;&gt;#ref!",B6:B13)</f>
        <v>259</v>
      </c>
      <c r="C2" s="2567" t="s">
        <v>2517</v>
      </c>
      <c r="D2" s="2568" t="s">
        <v>2518</v>
      </c>
      <c r="E2" s="2569">
        <f>SUM(E6:E13)</f>
        <v>101.86</v>
      </c>
    </row>
    <row r="3" spans="1:6" ht="15.75">
      <c r="A3" s="2565" t="s">
        <v>1395</v>
      </c>
      <c r="B3" s="2566">
        <f ca="1">ROUND(B2*10000/E2,0)</f>
        <v>25427</v>
      </c>
      <c r="C3" s="2567" t="s">
        <v>2525</v>
      </c>
      <c r="D3" s="2570"/>
      <c r="E3" s="2571"/>
    </row>
    <row r="4" spans="1:6" ht="15.75">
      <c r="A4" s="2572"/>
      <c r="B4" s="2570"/>
      <c r="C4" s="2570"/>
      <c r="D4" s="2570"/>
      <c r="E4" s="2571"/>
    </row>
    <row r="5" spans="1:6" ht="15">
      <c r="A5" s="2573" t="s">
        <v>2519</v>
      </c>
      <c r="B5" s="3224" t="s">
        <v>2520</v>
      </c>
      <c r="C5" s="3224"/>
      <c r="D5" s="2574"/>
      <c r="E5" s="2575" t="s">
        <v>2521</v>
      </c>
      <c r="F5" s="2576" t="s">
        <v>2522</v>
      </c>
    </row>
    <row r="6" spans="1:6">
      <c r="A6" s="2577" t="str">
        <f>'数据-取费表'!AN6</f>
        <v>收益法 (元)</v>
      </c>
      <c r="B6" s="2576">
        <f ca="1">IF(F6="是",'数据-取费表'!AO6,0)</f>
        <v>259</v>
      </c>
      <c r="C6" s="2567" t="s">
        <v>2517</v>
      </c>
      <c r="D6" s="2570"/>
      <c r="E6" s="2578">
        <f>IF(OR(A6=0,F6="否"),0,'数据-取费表'!K6+'数据-取费表'!S6)</f>
        <v>101.86</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31" t="s">
        <v>1077</v>
      </c>
      <c r="B2" s="3232" t="s">
        <v>1078</v>
      </c>
      <c r="C2" s="3232"/>
      <c r="D2" s="1303" t="s">
        <v>1079</v>
      </c>
      <c r="E2" s="1303" t="s">
        <v>1080</v>
      </c>
      <c r="F2" s="1303" t="s">
        <v>1081</v>
      </c>
      <c r="G2" s="1303" t="s">
        <v>1082</v>
      </c>
      <c r="H2" s="1303" t="s">
        <v>1083</v>
      </c>
      <c r="I2" s="1304" t="s">
        <v>1084</v>
      </c>
    </row>
    <row r="3" spans="1:9">
      <c r="A3" s="3231"/>
      <c r="B3" s="3232" t="s">
        <v>1085</v>
      </c>
      <c r="C3" s="3232"/>
      <c r="D3" s="1305"/>
      <c r="E3" s="1303"/>
      <c r="F3" s="1306"/>
      <c r="G3" s="1306"/>
      <c r="H3" s="1307"/>
      <c r="I3" s="1308">
        <f>ROUND(D3*E3*F3*G3*H3/10000,0)</f>
        <v>0</v>
      </c>
    </row>
    <row r="4" spans="1:9">
      <c r="A4" s="3231"/>
      <c r="B4" s="3232" t="s">
        <v>1086</v>
      </c>
      <c r="C4" s="3232"/>
      <c r="D4" s="1305"/>
      <c r="E4" s="1303"/>
      <c r="F4" s="1306"/>
      <c r="G4" s="1306"/>
      <c r="H4" s="1307"/>
      <c r="I4" s="1308">
        <f t="shared" ref="I4:I9" si="0">ROUND(D4*E4*F4*G4*H4/10000,0)</f>
        <v>0</v>
      </c>
    </row>
    <row r="5" spans="1:9">
      <c r="A5" s="3231"/>
      <c r="B5" s="3232" t="s">
        <v>1087</v>
      </c>
      <c r="C5" s="3232"/>
      <c r="D5" s="1305"/>
      <c r="E5" s="1303"/>
      <c r="F5" s="1306"/>
      <c r="G5" s="1306"/>
      <c r="H5" s="1307"/>
      <c r="I5" s="1308">
        <f t="shared" si="0"/>
        <v>0</v>
      </c>
    </row>
    <row r="6" spans="1:9">
      <c r="A6" s="3231"/>
      <c r="B6" s="3232" t="s">
        <v>1088</v>
      </c>
      <c r="C6" s="3232"/>
      <c r="D6" s="1305"/>
      <c r="E6" s="1303"/>
      <c r="F6" s="1306"/>
      <c r="G6" s="1306"/>
      <c r="H6" s="1307"/>
      <c r="I6" s="1308">
        <f t="shared" si="0"/>
        <v>0</v>
      </c>
    </row>
    <row r="7" spans="1:9">
      <c r="A7" s="3231"/>
      <c r="B7" s="3232" t="s">
        <v>1089</v>
      </c>
      <c r="C7" s="3232"/>
      <c r="D7" s="1305"/>
      <c r="E7" s="1303"/>
      <c r="F7" s="1306"/>
      <c r="G7" s="1306"/>
      <c r="H7" s="1307"/>
      <c r="I7" s="1308">
        <f t="shared" si="0"/>
        <v>0</v>
      </c>
    </row>
    <row r="8" spans="1:9">
      <c r="A8" s="3231"/>
      <c r="B8" s="3232" t="s">
        <v>1090</v>
      </c>
      <c r="C8" s="3232"/>
      <c r="D8" s="1305"/>
      <c r="E8" s="1303"/>
      <c r="F8" s="1306"/>
      <c r="G8" s="1306"/>
      <c r="H8" s="1307"/>
      <c r="I8" s="1308">
        <f t="shared" si="0"/>
        <v>0</v>
      </c>
    </row>
    <row r="9" spans="1:9">
      <c r="A9" s="3231"/>
      <c r="B9" s="3232" t="s">
        <v>1091</v>
      </c>
      <c r="C9" s="3232"/>
      <c r="D9" s="1305"/>
      <c r="E9" s="1303"/>
      <c r="F9" s="1306"/>
      <c r="G9" s="1306"/>
      <c r="H9" s="1307"/>
      <c r="I9" s="1308">
        <f t="shared" si="0"/>
        <v>0</v>
      </c>
    </row>
    <row r="10" spans="1:9">
      <c r="A10" s="3231"/>
      <c r="B10" s="3233" t="s">
        <v>1092</v>
      </c>
      <c r="C10" s="3233"/>
      <c r="D10" s="1309"/>
      <c r="E10" s="1309" t="e">
        <f>ROUND(D1*10000/D10/H9,0)</f>
        <v>#DIV/0!</v>
      </c>
      <c r="F10" s="1310"/>
      <c r="G10" s="1310"/>
      <c r="H10" s="1311"/>
      <c r="I10" s="1312">
        <f>SUM(I3:I9)</f>
        <v>0</v>
      </c>
    </row>
    <row r="11" spans="1:9" ht="14.25">
      <c r="A11" s="3231" t="s">
        <v>1093</v>
      </c>
      <c r="B11" s="3232" t="s">
        <v>1094</v>
      </c>
      <c r="C11" s="3232"/>
      <c r="D11" s="1305" t="s">
        <v>1095</v>
      </c>
      <c r="E11" s="1305" t="s">
        <v>1096</v>
      </c>
      <c r="F11" s="1306" t="s">
        <v>1097</v>
      </c>
      <c r="G11" s="1306" t="s">
        <v>1083</v>
      </c>
      <c r="H11" s="1313" t="s">
        <v>1098</v>
      </c>
      <c r="I11" s="1304" t="s">
        <v>1084</v>
      </c>
    </row>
    <row r="12" spans="1:9">
      <c r="A12" s="3231"/>
      <c r="B12" s="3232" t="s">
        <v>1099</v>
      </c>
      <c r="C12" s="3232"/>
      <c r="D12" s="1305"/>
      <c r="E12" s="1305"/>
      <c r="F12" s="1306"/>
      <c r="G12" s="1307"/>
      <c r="H12" s="1314"/>
      <c r="I12" s="1304">
        <f>ROUND(D12*E12*F12*G12/10000,0)</f>
        <v>0</v>
      </c>
    </row>
    <row r="13" spans="1:9">
      <c r="A13" s="3231"/>
      <c r="B13" s="3232" t="s">
        <v>1100</v>
      </c>
      <c r="C13" s="3232"/>
      <c r="D13" s="1305"/>
      <c r="E13" s="1305"/>
      <c r="F13" s="1306"/>
      <c r="G13" s="1307"/>
      <c r="H13" s="1314"/>
      <c r="I13" s="1304">
        <f>ROUND(D13*E13*F13*G13/10000,0)</f>
        <v>0</v>
      </c>
    </row>
    <row r="14" spans="1:9">
      <c r="A14" s="3231"/>
      <c r="B14" s="3232" t="s">
        <v>1101</v>
      </c>
      <c r="C14" s="3232"/>
      <c r="D14" s="1305"/>
      <c r="E14" s="1305"/>
      <c r="F14" s="1306"/>
      <c r="G14" s="1307"/>
      <c r="H14" s="1314"/>
      <c r="I14" s="1304">
        <f>ROUND(D14*E14*F14*G14/10000,0)</f>
        <v>0</v>
      </c>
    </row>
    <row r="15" spans="1:9">
      <c r="A15" s="3231"/>
      <c r="B15" s="3233" t="s">
        <v>1092</v>
      </c>
      <c r="C15" s="3233"/>
      <c r="D15" s="1309"/>
      <c r="E15" s="1309">
        <f>SUM(E12:E14)</f>
        <v>0</v>
      </c>
      <c r="F15" s="1310"/>
      <c r="G15" s="1307"/>
      <c r="H15" s="1314"/>
      <c r="I15" s="1315">
        <f>SUM(I12:I14)</f>
        <v>0</v>
      </c>
    </row>
    <row r="16" spans="1:9" ht="24">
      <c r="A16" s="3231" t="s">
        <v>1102</v>
      </c>
      <c r="B16" s="3232" t="s">
        <v>1103</v>
      </c>
      <c r="C16" s="3232"/>
      <c r="D16" s="1305" t="s">
        <v>1079</v>
      </c>
      <c r="E16" s="1316" t="s">
        <v>1104</v>
      </c>
      <c r="F16" s="1306" t="s">
        <v>1105</v>
      </c>
      <c r="G16" s="1307" t="s">
        <v>1083</v>
      </c>
      <c r="H16" s="1313" t="s">
        <v>1098</v>
      </c>
      <c r="I16" s="1304" t="s">
        <v>1084</v>
      </c>
    </row>
    <row r="17" spans="1:9" ht="14.25">
      <c r="A17" s="3231"/>
      <c r="B17" s="3232" t="s">
        <v>1106</v>
      </c>
      <c r="C17" s="3232"/>
      <c r="D17" s="1305"/>
      <c r="E17" s="1305"/>
      <c r="F17" s="1306"/>
      <c r="G17" s="1307"/>
      <c r="H17" s="1317"/>
      <c r="I17" s="1318">
        <f>ROUND(D17*E17*F17*G17/10000,0)</f>
        <v>0</v>
      </c>
    </row>
    <row r="18" spans="1:9" ht="14.25">
      <c r="A18" s="3231"/>
      <c r="B18" s="3232" t="s">
        <v>1107</v>
      </c>
      <c r="C18" s="3232"/>
      <c r="D18" s="1305"/>
      <c r="E18" s="1305"/>
      <c r="F18" s="1306"/>
      <c r="G18" s="1307"/>
      <c r="H18" s="1317"/>
      <c r="I18" s="1318">
        <f>ROUND(D18*E18*F18*G18/10000,0)</f>
        <v>0</v>
      </c>
    </row>
    <row r="19" spans="1:9" ht="14.25">
      <c r="A19" s="3231"/>
      <c r="B19" s="3232" t="s">
        <v>1108</v>
      </c>
      <c r="C19" s="3232"/>
      <c r="D19" s="1305"/>
      <c r="E19" s="1305"/>
      <c r="F19" s="1306"/>
      <c r="G19" s="1307"/>
      <c r="H19" s="1317"/>
      <c r="I19" s="1318">
        <f>ROUND(D19*E19*F19*G19/10000,0)</f>
        <v>0</v>
      </c>
    </row>
    <row r="20" spans="1:9">
      <c r="A20" s="3231"/>
      <c r="B20" s="3233" t="s">
        <v>1092</v>
      </c>
      <c r="C20" s="3233"/>
      <c r="D20" s="1309">
        <f>SUM(D17:D19)</f>
        <v>0</v>
      </c>
      <c r="E20" s="1309"/>
      <c r="F20" s="1310"/>
      <c r="G20" s="1307"/>
      <c r="H20" s="1314"/>
      <c r="I20" s="1315">
        <f>SUM(I17:I19)</f>
        <v>0</v>
      </c>
    </row>
    <row r="21" spans="1:9">
      <c r="A21" s="3231" t="s">
        <v>1109</v>
      </c>
      <c r="B21" s="3234"/>
      <c r="C21" s="3234"/>
      <c r="D21" s="3234"/>
      <c r="E21" s="3234"/>
      <c r="F21" s="3234"/>
      <c r="G21" s="3234"/>
      <c r="H21" s="1766">
        <v>0.1</v>
      </c>
      <c r="I21" s="1312">
        <f>ROUND(I10*H21,0)</f>
        <v>0</v>
      </c>
    </row>
    <row r="22" spans="1:9" ht="14.25">
      <c r="A22" s="3235" t="s">
        <v>1110</v>
      </c>
      <c r="B22" s="3236"/>
      <c r="C22" s="3237"/>
      <c r="D22" s="1319" t="s">
        <v>1111</v>
      </c>
      <c r="E22" s="1319" t="s">
        <v>1112</v>
      </c>
      <c r="F22" s="1320" t="s">
        <v>1113</v>
      </c>
      <c r="G22" s="1320" t="s">
        <v>1114</v>
      </c>
      <c r="H22" s="1313" t="s">
        <v>1115</v>
      </c>
      <c r="I22" s="1304" t="s">
        <v>1116</v>
      </c>
    </row>
    <row r="23" spans="1:9" ht="14.25" thickBot="1">
      <c r="A23" s="3238"/>
      <c r="B23" s="3239"/>
      <c r="C23" s="3240"/>
      <c r="D23" s="1321"/>
      <c r="E23" s="1321"/>
      <c r="F23" s="1321"/>
      <c r="G23" s="1322"/>
      <c r="H23" s="1323"/>
      <c r="I23" s="1324">
        <f>ROUND(E23*D23*F23*(1-G23)/10000,0)</f>
        <v>0</v>
      </c>
    </row>
    <row r="26" spans="1:9">
      <c r="A26" s="1325" t="s">
        <v>1117</v>
      </c>
      <c r="B26" s="1325"/>
      <c r="C26" s="1325"/>
      <c r="D26" s="1325"/>
      <c r="E26" s="3228">
        <f>C27-C30-C31-C32</f>
        <v>0</v>
      </c>
      <c r="F26" s="3228"/>
      <c r="G26" s="3228"/>
      <c r="H26" s="1738" t="s">
        <v>1340</v>
      </c>
    </row>
    <row r="27" spans="1:9">
      <c r="A27" s="1326">
        <v>1</v>
      </c>
      <c r="B27" s="1327" t="s">
        <v>1118</v>
      </c>
      <c r="C27" s="1327">
        <f>C28+C29</f>
        <v>0</v>
      </c>
      <c r="D27" s="1327"/>
      <c r="E27" s="3229"/>
      <c r="F27" s="3229"/>
      <c r="G27" s="3229"/>
    </row>
    <row r="28" spans="1:9">
      <c r="A28" s="1328" t="s">
        <v>1119</v>
      </c>
      <c r="B28" s="1327" t="s">
        <v>1120</v>
      </c>
      <c r="C28" s="1327"/>
      <c r="D28" s="1327"/>
      <c r="E28" s="3229"/>
      <c r="F28" s="3229"/>
      <c r="G28" s="322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0"/>
      <c r="F32" s="3230"/>
      <c r="G32" s="3230"/>
    </row>
    <row r="33" spans="1:7" hidden="1">
      <c r="A33" s="3225" t="s">
        <v>1129</v>
      </c>
      <c r="B33" s="3226"/>
      <c r="C33" s="3226"/>
      <c r="D33" s="3227"/>
      <c r="E33" s="3228"/>
      <c r="F33" s="3228"/>
      <c r="G33" s="3228"/>
    </row>
    <row r="34" spans="1:7" hidden="1">
      <c r="A34" s="1330">
        <v>1</v>
      </c>
      <c r="B34" s="1327" t="s">
        <v>1130</v>
      </c>
      <c r="C34" s="1327"/>
      <c r="D34" s="1327"/>
      <c r="E34" s="3229"/>
      <c r="F34" s="3229"/>
      <c r="G34" s="3229"/>
    </row>
    <row r="35" spans="1:7" hidden="1">
      <c r="A35" s="1330">
        <v>2</v>
      </c>
      <c r="B35" s="1327" t="s">
        <v>1131</v>
      </c>
      <c r="C35" s="1327"/>
      <c r="D35" s="1327"/>
      <c r="E35" s="3229"/>
      <c r="F35" s="3229"/>
      <c r="G35" s="3229"/>
    </row>
    <row r="36" spans="1:7" hidden="1">
      <c r="A36" s="1330">
        <v>3</v>
      </c>
      <c r="B36" s="1327" t="s">
        <v>1132</v>
      </c>
      <c r="C36" s="1327"/>
      <c r="D36" s="1327"/>
      <c r="E36" s="3229"/>
      <c r="F36" s="3229"/>
      <c r="G36" s="3229"/>
    </row>
    <row r="37" spans="1:7" hidden="1">
      <c r="A37" s="1330">
        <v>4</v>
      </c>
      <c r="B37" s="1327" t="s">
        <v>1133</v>
      </c>
      <c r="C37" s="1327"/>
      <c r="D37" s="1327"/>
      <c r="E37" s="3229"/>
      <c r="F37" s="3229"/>
      <c r="G37" s="3229"/>
    </row>
    <row r="38" spans="1:7" hidden="1">
      <c r="A38" s="3225" t="s">
        <v>1134</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34044.230000000003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191" t="s">
        <v>2534</v>
      </c>
      <c r="D4" s="3192"/>
      <c r="E4" s="3193" t="s">
        <v>2535</v>
      </c>
      <c r="F4" s="3194"/>
      <c r="G4" s="3191" t="s">
        <v>2536</v>
      </c>
      <c r="H4" s="3192"/>
      <c r="I4" s="3191" t="s">
        <v>2537</v>
      </c>
      <c r="J4" s="3192"/>
      <c r="K4" s="2597" t="s">
        <v>2538</v>
      </c>
      <c r="L4" s="1132"/>
      <c r="M4" s="1133"/>
      <c r="N4" s="1133"/>
      <c r="O4" s="1133"/>
      <c r="P4" s="3195" t="s">
        <v>2539</v>
      </c>
      <c r="Q4" s="3196"/>
      <c r="R4" s="3201" t="s">
        <v>2535</v>
      </c>
      <c r="S4" s="3202"/>
      <c r="T4" s="3201" t="s">
        <v>2536</v>
      </c>
      <c r="U4" s="3202"/>
      <c r="V4" s="3186" t="s">
        <v>2537</v>
      </c>
      <c r="W4" s="3186"/>
      <c r="X4" s="1814"/>
      <c r="Y4" s="3201" t="s">
        <v>2539</v>
      </c>
      <c r="Z4" s="3202"/>
      <c r="AA4" s="3188" t="s">
        <v>2535</v>
      </c>
      <c r="AB4" s="3188" t="s">
        <v>2536</v>
      </c>
      <c r="AC4" s="3188" t="s">
        <v>2537</v>
      </c>
    </row>
    <row r="5" spans="1:29" ht="15">
      <c r="A5" s="404"/>
      <c r="B5" s="405"/>
      <c r="C5" s="3246" t="s">
        <v>2540</v>
      </c>
      <c r="D5" s="3210"/>
      <c r="E5" s="3248" t="s">
        <v>2541</v>
      </c>
      <c r="F5" s="3218"/>
      <c r="G5" s="3246" t="s">
        <v>2542</v>
      </c>
      <c r="H5" s="3210"/>
      <c r="I5" s="3246" t="s">
        <v>2543</v>
      </c>
      <c r="J5" s="3210"/>
      <c r="K5" s="2598"/>
      <c r="L5" s="1132"/>
      <c r="M5" s="1133"/>
      <c r="N5" s="1133"/>
      <c r="O5" s="1133"/>
      <c r="P5" s="3197"/>
      <c r="Q5" s="3198"/>
      <c r="R5" s="3203"/>
      <c r="S5" s="3204"/>
      <c r="T5" s="3203"/>
      <c r="U5" s="3204"/>
      <c r="V5" s="3186"/>
      <c r="W5" s="3186"/>
      <c r="X5" s="1814"/>
      <c r="Y5" s="3203"/>
      <c r="Z5" s="3204"/>
      <c r="AA5" s="3189"/>
      <c r="AB5" s="3189"/>
      <c r="AC5" s="3189"/>
    </row>
    <row r="6" spans="1:29" ht="15.75" thickBot="1">
      <c r="A6" s="406"/>
      <c r="B6" s="407"/>
      <c r="C6" s="3214" t="s">
        <v>2544</v>
      </c>
      <c r="D6" s="3208"/>
      <c r="E6" s="3247" t="s">
        <v>2544</v>
      </c>
      <c r="F6" s="3216"/>
      <c r="G6" s="3214" t="s">
        <v>2544</v>
      </c>
      <c r="H6" s="3208"/>
      <c r="I6" s="3214" t="s">
        <v>2544</v>
      </c>
      <c r="J6" s="3208"/>
      <c r="K6" s="2598" t="s">
        <v>2545</v>
      </c>
      <c r="L6" s="1132"/>
      <c r="M6" s="1133"/>
      <c r="N6" s="1133"/>
      <c r="O6" s="1133"/>
      <c r="P6" s="3199"/>
      <c r="Q6" s="3200"/>
      <c r="R6" s="3203"/>
      <c r="S6" s="3204"/>
      <c r="T6" s="3205"/>
      <c r="U6" s="3206"/>
      <c r="V6" s="3186"/>
      <c r="W6" s="3186"/>
      <c r="X6" s="1814"/>
      <c r="Y6" s="3205"/>
      <c r="Z6" s="3206"/>
      <c r="AA6" s="3190"/>
      <c r="AB6" s="3190"/>
      <c r="AC6" s="3190"/>
    </row>
    <row r="7" spans="1:29" s="117" customFormat="1" ht="15.75" thickBot="1">
      <c r="A7" s="408" t="s">
        <v>2546</v>
      </c>
      <c r="B7" s="409"/>
      <c r="C7" s="410">
        <f>'数据-取费表'!B2</f>
        <v>43307</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211" t="s">
        <v>2547</v>
      </c>
      <c r="Q7" s="3213"/>
      <c r="R7" s="769" t="s">
        <v>23</v>
      </c>
      <c r="S7" s="770">
        <f t="shared" ref="S7:S15" si="0">F7</f>
        <v>0</v>
      </c>
      <c r="T7" s="769" t="s">
        <v>23</v>
      </c>
      <c r="U7" s="770">
        <f t="shared" ref="U7:U15" si="1">H7</f>
        <v>0</v>
      </c>
      <c r="V7" s="769" t="s">
        <v>23</v>
      </c>
      <c r="W7" s="770">
        <f t="shared" ref="W7:W15" si="2">J7</f>
        <v>0</v>
      </c>
      <c r="X7" s="771"/>
      <c r="Y7" s="3211" t="s">
        <v>2547</v>
      </c>
      <c r="Z7" s="3212"/>
      <c r="AA7" s="772" t="e">
        <f>D7/F7</f>
        <v>#DIV/0!</v>
      </c>
      <c r="AB7" s="772" t="e">
        <f>D7/H7</f>
        <v>#DIV/0!</v>
      </c>
      <c r="AC7" s="772"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211" t="s">
        <v>2550</v>
      </c>
      <c r="Q8" s="3212"/>
      <c r="R8" s="769" t="s">
        <v>23</v>
      </c>
      <c r="S8" s="770">
        <f t="shared" si="0"/>
        <v>0</v>
      </c>
      <c r="T8" s="769" t="s">
        <v>23</v>
      </c>
      <c r="U8" s="770">
        <f t="shared" si="1"/>
        <v>0</v>
      </c>
      <c r="V8" s="769" t="s">
        <v>23</v>
      </c>
      <c r="W8" s="770">
        <f t="shared" si="2"/>
        <v>0</v>
      </c>
      <c r="X8" s="771"/>
      <c r="Y8" s="3211" t="s">
        <v>2550</v>
      </c>
      <c r="Z8" s="3212"/>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87"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7"/>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7"/>
      <c r="Q11" s="1796"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87"/>
      <c r="Q12" s="1796">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87"/>
      <c r="Q13" s="1796">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87"/>
      <c r="Q14" s="1796">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40" t="s">
        <v>2557</v>
      </c>
      <c r="B15" s="69" t="s">
        <v>2086</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77" t="s">
        <v>2558</v>
      </c>
      <c r="Q15" s="1811" t="str">
        <f t="shared" si="6"/>
        <v>居住社区成熟度</v>
      </c>
      <c r="R15" s="773" t="s">
        <v>21</v>
      </c>
      <c r="S15" s="774">
        <f t="shared" si="0"/>
        <v>100</v>
      </c>
      <c r="T15" s="773" t="s">
        <v>21</v>
      </c>
      <c r="U15" s="774">
        <f t="shared" si="1"/>
        <v>100</v>
      </c>
      <c r="V15" s="773" t="s">
        <v>21</v>
      </c>
      <c r="W15" s="774">
        <f t="shared" si="2"/>
        <v>100</v>
      </c>
      <c r="X15" s="1814"/>
      <c r="Y15" s="3179" t="s">
        <v>2558</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2"/>
      <c r="M16" s="1133"/>
      <c r="N16" s="1133"/>
      <c r="O16" s="1133"/>
      <c r="P16" s="3178"/>
      <c r="Q16" s="1811"/>
      <c r="R16" s="773"/>
      <c r="S16" s="774"/>
      <c r="T16" s="773"/>
      <c r="U16" s="774"/>
      <c r="V16" s="773"/>
      <c r="W16" s="774"/>
      <c r="X16" s="1814"/>
      <c r="Y16" s="3180"/>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78"/>
      <c r="Q17" s="1811" t="str">
        <f>B17</f>
        <v>交通便捷度</v>
      </c>
      <c r="R17" s="773" t="s">
        <v>21</v>
      </c>
      <c r="S17" s="774">
        <f>F17</f>
        <v>100</v>
      </c>
      <c r="T17" s="773" t="s">
        <v>21</v>
      </c>
      <c r="U17" s="774">
        <f>H17</f>
        <v>100</v>
      </c>
      <c r="V17" s="773" t="s">
        <v>21</v>
      </c>
      <c r="W17" s="774">
        <f>J17</f>
        <v>100</v>
      </c>
      <c r="X17" s="1814"/>
      <c r="Y17" s="3180"/>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2"/>
      <c r="M18" s="1133"/>
      <c r="N18" s="1133"/>
      <c r="O18" s="1133"/>
      <c r="P18" s="3178"/>
      <c r="Q18" s="1811"/>
      <c r="R18" s="773"/>
      <c r="S18" s="774"/>
      <c r="T18" s="773"/>
      <c r="U18" s="774"/>
      <c r="V18" s="773"/>
      <c r="W18" s="774"/>
      <c r="X18" s="1814"/>
      <c r="Y18" s="3180"/>
      <c r="Z18" s="1815"/>
      <c r="AA18" s="1812">
        <v>1</v>
      </c>
      <c r="AB18" s="1812">
        <v>1</v>
      </c>
      <c r="AC18" s="1812">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78"/>
      <c r="Q19" s="1811" t="str">
        <f>B19</f>
        <v>公共配套设施</v>
      </c>
      <c r="R19" s="773" t="s">
        <v>21</v>
      </c>
      <c r="S19" s="774">
        <f>F19</f>
        <v>100</v>
      </c>
      <c r="T19" s="773" t="s">
        <v>21</v>
      </c>
      <c r="U19" s="774">
        <f>H19</f>
        <v>100</v>
      </c>
      <c r="V19" s="773" t="s">
        <v>21</v>
      </c>
      <c r="W19" s="774">
        <f>J19</f>
        <v>100</v>
      </c>
      <c r="X19" s="1814"/>
      <c r="Y19" s="3180"/>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2"/>
      <c r="M20" s="1133"/>
      <c r="N20" s="1133"/>
      <c r="O20" s="1133"/>
      <c r="P20" s="3178"/>
      <c r="Q20" s="1811"/>
      <c r="R20" s="773"/>
      <c r="S20" s="774"/>
      <c r="T20" s="773"/>
      <c r="U20" s="774"/>
      <c r="V20" s="773"/>
      <c r="W20" s="774"/>
      <c r="X20" s="1814"/>
      <c r="Y20" s="3180"/>
      <c r="Z20" s="1815"/>
      <c r="AA20" s="1812">
        <v>1</v>
      </c>
      <c r="AB20" s="1812">
        <v>1</v>
      </c>
      <c r="AC20" s="1812">
        <v>1</v>
      </c>
    </row>
    <row r="21" spans="1:29" ht="28.5">
      <c r="A21" s="428"/>
      <c r="B21" s="1386"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78"/>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8"/>
      <c r="G22" s="2612"/>
      <c r="H22" s="448"/>
      <c r="I22" s="447"/>
      <c r="J22" s="448"/>
      <c r="K22" s="2613"/>
      <c r="L22" s="1142"/>
      <c r="M22" s="1133"/>
      <c r="N22" s="1133"/>
      <c r="O22" s="1133"/>
      <c r="P22" s="3178"/>
      <c r="Q22" s="1811"/>
      <c r="R22" s="773"/>
      <c r="S22" s="774"/>
      <c r="T22" s="773"/>
      <c r="U22" s="774"/>
      <c r="V22" s="773"/>
      <c r="W22" s="774"/>
      <c r="X22" s="1814"/>
      <c r="Y22" s="3180"/>
      <c r="Z22" s="1815"/>
      <c r="AA22" s="1812">
        <v>1</v>
      </c>
      <c r="AB22" s="1812">
        <v>1</v>
      </c>
      <c r="AC22" s="1812">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78"/>
      <c r="Q23" s="1811" t="str">
        <f>B23</f>
        <v>自然及人文环境</v>
      </c>
      <c r="R23" s="773" t="s">
        <v>21</v>
      </c>
      <c r="S23" s="774">
        <f>F23</f>
        <v>100</v>
      </c>
      <c r="T23" s="773" t="s">
        <v>21</v>
      </c>
      <c r="U23" s="774">
        <f>H23</f>
        <v>100</v>
      </c>
      <c r="V23" s="773" t="s">
        <v>21</v>
      </c>
      <c r="W23" s="774">
        <f>J23</f>
        <v>100</v>
      </c>
      <c r="X23" s="1814"/>
      <c r="Y23" s="3180"/>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2"/>
      <c r="M24" s="1133"/>
      <c r="N24" s="1133"/>
      <c r="O24" s="1133"/>
      <c r="P24" s="3178"/>
      <c r="Q24" s="1811"/>
      <c r="R24" s="773"/>
      <c r="S24" s="774"/>
      <c r="T24" s="773"/>
      <c r="U24" s="774"/>
      <c r="V24" s="773"/>
      <c r="W24" s="774"/>
      <c r="X24" s="1814"/>
      <c r="Y24" s="3180"/>
      <c r="Z24" s="1815"/>
      <c r="AA24" s="1812">
        <v>1</v>
      </c>
      <c r="AB24" s="1812">
        <v>1</v>
      </c>
      <c r="AC24" s="1812">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7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0"/>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78"/>
      <c r="Q26" s="1811" t="str">
        <f t="shared" si="11"/>
        <v>朝向</v>
      </c>
      <c r="R26" s="773" t="s">
        <v>21</v>
      </c>
      <c r="S26" s="774">
        <f t="shared" si="12"/>
        <v>100</v>
      </c>
      <c r="T26" s="773" t="s">
        <v>21</v>
      </c>
      <c r="U26" s="774">
        <f t="shared" si="13"/>
        <v>100</v>
      </c>
      <c r="V26" s="773" t="s">
        <v>21</v>
      </c>
      <c r="W26" s="774">
        <f t="shared" si="14"/>
        <v>100</v>
      </c>
      <c r="X26" s="1814"/>
      <c r="Y26" s="3180"/>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78"/>
      <c r="Q27" s="1796">
        <f t="shared" si="11"/>
        <v>111</v>
      </c>
      <c r="R27" s="769" t="s">
        <v>21</v>
      </c>
      <c r="S27" s="770">
        <f t="shared" si="12"/>
        <v>100</v>
      </c>
      <c r="T27" s="769" t="s">
        <v>21</v>
      </c>
      <c r="U27" s="770">
        <f t="shared" si="13"/>
        <v>100</v>
      </c>
      <c r="V27" s="769" t="s">
        <v>21</v>
      </c>
      <c r="W27" s="770">
        <f t="shared" si="14"/>
        <v>100</v>
      </c>
      <c r="X27" s="771"/>
      <c r="Y27" s="3180"/>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78"/>
      <c r="Q28" s="1811">
        <f t="shared" si="11"/>
        <v>111</v>
      </c>
      <c r="R28" s="773" t="s">
        <v>21</v>
      </c>
      <c r="S28" s="774">
        <f t="shared" si="12"/>
        <v>100</v>
      </c>
      <c r="T28" s="773" t="s">
        <v>21</v>
      </c>
      <c r="U28" s="774">
        <f t="shared" si="13"/>
        <v>100</v>
      </c>
      <c r="V28" s="773" t="s">
        <v>21</v>
      </c>
      <c r="W28" s="774">
        <f t="shared" si="14"/>
        <v>100</v>
      </c>
      <c r="X28" s="1814"/>
      <c r="Y28" s="3180"/>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78"/>
      <c r="Q29" s="1811">
        <f t="shared" si="11"/>
        <v>111</v>
      </c>
      <c r="R29" s="773" t="s">
        <v>21</v>
      </c>
      <c r="S29" s="774">
        <f t="shared" si="12"/>
        <v>100</v>
      </c>
      <c r="T29" s="773" t="s">
        <v>21</v>
      </c>
      <c r="U29" s="774">
        <f t="shared" si="13"/>
        <v>100</v>
      </c>
      <c r="V29" s="773" t="s">
        <v>21</v>
      </c>
      <c r="W29" s="774">
        <f t="shared" si="14"/>
        <v>100</v>
      </c>
      <c r="X29" s="1814"/>
      <c r="Y29" s="3180"/>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78"/>
      <c r="Q30" s="1811">
        <f t="shared" si="11"/>
        <v>111</v>
      </c>
      <c r="R30" s="773" t="s">
        <v>21</v>
      </c>
      <c r="S30" s="774">
        <f t="shared" si="12"/>
        <v>100</v>
      </c>
      <c r="T30" s="773" t="s">
        <v>21</v>
      </c>
      <c r="U30" s="774">
        <f t="shared" si="13"/>
        <v>100</v>
      </c>
      <c r="V30" s="773" t="s">
        <v>21</v>
      </c>
      <c r="W30" s="774">
        <f t="shared" si="14"/>
        <v>100</v>
      </c>
      <c r="X30" s="1814"/>
      <c r="Y30" s="3180"/>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78"/>
      <c r="Q31" s="1811">
        <f t="shared" si="11"/>
        <v>111</v>
      </c>
      <c r="R31" s="773" t="s">
        <v>21</v>
      </c>
      <c r="S31" s="774">
        <f t="shared" si="12"/>
        <v>100</v>
      </c>
      <c r="T31" s="773" t="s">
        <v>21</v>
      </c>
      <c r="U31" s="774">
        <f t="shared" si="13"/>
        <v>100</v>
      </c>
      <c r="V31" s="773" t="s">
        <v>21</v>
      </c>
      <c r="W31" s="774">
        <f t="shared" si="14"/>
        <v>100</v>
      </c>
      <c r="X31" s="1814"/>
      <c r="Y31" s="3180"/>
      <c r="Z31" s="1815">
        <f t="shared" si="18"/>
        <v>111</v>
      </c>
      <c r="AA31" s="1812">
        <f t="shared" si="15"/>
        <v>1</v>
      </c>
      <c r="AB31" s="1812">
        <f t="shared" si="16"/>
        <v>1</v>
      </c>
      <c r="AC31" s="1812">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81" t="s">
        <v>2563</v>
      </c>
      <c r="Q32" s="1811" t="str">
        <f t="shared" si="11"/>
        <v>建筑类型</v>
      </c>
      <c r="R32" s="773" t="s">
        <v>21</v>
      </c>
      <c r="S32" s="774">
        <f t="shared" si="12"/>
        <v>100</v>
      </c>
      <c r="T32" s="773" t="s">
        <v>21</v>
      </c>
      <c r="U32" s="774">
        <f t="shared" si="13"/>
        <v>100</v>
      </c>
      <c r="V32" s="773" t="s">
        <v>21</v>
      </c>
      <c r="W32" s="774">
        <f t="shared" si="14"/>
        <v>100</v>
      </c>
      <c r="X32" s="1814"/>
      <c r="Y32" s="3184" t="s">
        <v>2563</v>
      </c>
      <c r="Z32" s="1815" t="str">
        <f t="shared" si="18"/>
        <v>建筑类型</v>
      </c>
      <c r="AA32" s="1812">
        <f t="shared" si="15"/>
        <v>1</v>
      </c>
      <c r="AB32" s="1812">
        <f t="shared" si="16"/>
        <v>1</v>
      </c>
      <c r="AC32" s="181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82"/>
      <c r="Q33" s="775" t="str">
        <f t="shared" si="11"/>
        <v>项目建筑规模</v>
      </c>
      <c r="R33" s="776" t="s">
        <v>21</v>
      </c>
      <c r="S33" s="777" t="e">
        <f t="shared" si="12"/>
        <v>#N/A</v>
      </c>
      <c r="T33" s="776" t="s">
        <v>21</v>
      </c>
      <c r="U33" s="777" t="e">
        <f t="shared" si="13"/>
        <v>#N/A</v>
      </c>
      <c r="V33" s="776" t="s">
        <v>21</v>
      </c>
      <c r="W33" s="777" t="e">
        <f t="shared" si="14"/>
        <v>#N/A</v>
      </c>
      <c r="X33" s="778"/>
      <c r="Y33" s="3184"/>
      <c r="Z33" s="779" t="str">
        <f t="shared" si="18"/>
        <v>项目建筑规模</v>
      </c>
      <c r="AA33" s="1812" t="e">
        <f t="shared" si="15"/>
        <v>#N/A</v>
      </c>
      <c r="AB33" s="1812" t="e">
        <f t="shared" si="16"/>
        <v>#N/A</v>
      </c>
      <c r="AC33" s="1812"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82"/>
      <c r="Q34" s="1811" t="str">
        <f t="shared" si="11"/>
        <v>建筑结构</v>
      </c>
      <c r="R34" s="773" t="s">
        <v>21</v>
      </c>
      <c r="S34" s="774">
        <f t="shared" si="12"/>
        <v>100</v>
      </c>
      <c r="T34" s="773" t="s">
        <v>21</v>
      </c>
      <c r="U34" s="774">
        <f t="shared" si="13"/>
        <v>100</v>
      </c>
      <c r="V34" s="773" t="s">
        <v>21</v>
      </c>
      <c r="W34" s="774">
        <f t="shared" si="14"/>
        <v>100</v>
      </c>
      <c r="X34" s="1814"/>
      <c r="Y34" s="3184"/>
      <c r="Z34" s="1815" t="str">
        <f t="shared" si="18"/>
        <v>建筑结构</v>
      </c>
      <c r="AA34" s="1812">
        <f t="shared" si="15"/>
        <v>1</v>
      </c>
      <c r="AB34" s="1812">
        <f t="shared" si="16"/>
        <v>1</v>
      </c>
      <c r="AC34" s="1812">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82"/>
      <c r="Q35" s="1811" t="str">
        <f t="shared" si="11"/>
        <v>建筑品质</v>
      </c>
      <c r="R35" s="773" t="s">
        <v>21</v>
      </c>
      <c r="S35" s="774">
        <f t="shared" si="12"/>
        <v>100</v>
      </c>
      <c r="T35" s="773" t="s">
        <v>21</v>
      </c>
      <c r="U35" s="774">
        <f t="shared" si="13"/>
        <v>100</v>
      </c>
      <c r="V35" s="773" t="s">
        <v>21</v>
      </c>
      <c r="W35" s="774">
        <f t="shared" si="14"/>
        <v>100</v>
      </c>
      <c r="X35" s="1814"/>
      <c r="Y35" s="3184"/>
      <c r="Z35" s="1815" t="str">
        <f t="shared" si="18"/>
        <v>建筑品质</v>
      </c>
      <c r="AA35" s="1812">
        <f t="shared" si="15"/>
        <v>1</v>
      </c>
      <c r="AB35" s="1812">
        <f t="shared" si="16"/>
        <v>1</v>
      </c>
      <c r="AC35" s="1812">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82"/>
      <c r="Q36" s="1811" t="str">
        <f t="shared" si="11"/>
        <v>公共部分装修</v>
      </c>
      <c r="R36" s="773" t="s">
        <v>21</v>
      </c>
      <c r="S36" s="774">
        <f t="shared" si="12"/>
        <v>100</v>
      </c>
      <c r="T36" s="773" t="s">
        <v>21</v>
      </c>
      <c r="U36" s="774">
        <f t="shared" si="13"/>
        <v>100</v>
      </c>
      <c r="V36" s="773" t="s">
        <v>21</v>
      </c>
      <c r="W36" s="774">
        <f t="shared" si="14"/>
        <v>100</v>
      </c>
      <c r="X36" s="1814"/>
      <c r="Y36" s="3184"/>
      <c r="Z36" s="1815" t="str">
        <f t="shared" si="18"/>
        <v>公共部分装修</v>
      </c>
      <c r="AA36" s="1812">
        <f t="shared" si="15"/>
        <v>1</v>
      </c>
      <c r="AB36" s="1812">
        <f t="shared" si="16"/>
        <v>1</v>
      </c>
      <c r="AC36" s="181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2"/>
      <c r="Q37" s="1796" t="str">
        <f t="shared" si="11"/>
        <v>成新度</v>
      </c>
      <c r="R37" s="769" t="s">
        <v>21</v>
      </c>
      <c r="S37" s="770" t="e">
        <f t="shared" si="12"/>
        <v>#N/A</v>
      </c>
      <c r="T37" s="769" t="s">
        <v>21</v>
      </c>
      <c r="U37" s="770" t="e">
        <f t="shared" si="13"/>
        <v>#N/A</v>
      </c>
      <c r="V37" s="769" t="s">
        <v>21</v>
      </c>
      <c r="W37" s="770" t="e">
        <f t="shared" si="14"/>
        <v>#N/A</v>
      </c>
      <c r="X37" s="771"/>
      <c r="Y37" s="3184"/>
      <c r="Z37" s="55" t="str">
        <f t="shared" si="18"/>
        <v>成新度</v>
      </c>
      <c r="AA37" s="772" t="e">
        <f t="shared" si="15"/>
        <v>#N/A</v>
      </c>
      <c r="AB37" s="772" t="e">
        <f t="shared" si="16"/>
        <v>#N/A</v>
      </c>
      <c r="AC37" s="772"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82" t="s">
        <v>2563</v>
      </c>
      <c r="Q38" s="1811" t="str">
        <f t="shared" si="11"/>
        <v>物业管理</v>
      </c>
      <c r="R38" s="773" t="s">
        <v>21</v>
      </c>
      <c r="S38" s="774">
        <f t="shared" si="12"/>
        <v>100</v>
      </c>
      <c r="T38" s="773" t="s">
        <v>21</v>
      </c>
      <c r="U38" s="774">
        <f t="shared" si="13"/>
        <v>100</v>
      </c>
      <c r="V38" s="773" t="s">
        <v>21</v>
      </c>
      <c r="W38" s="774">
        <f t="shared" si="14"/>
        <v>100</v>
      </c>
      <c r="X38" s="1814"/>
      <c r="Y38" s="3184" t="s">
        <v>2563</v>
      </c>
      <c r="Z38" s="1815" t="str">
        <f t="shared" si="18"/>
        <v>物业管理</v>
      </c>
      <c r="AA38" s="1812">
        <f t="shared" si="15"/>
        <v>1</v>
      </c>
      <c r="AB38" s="1812">
        <f t="shared" si="16"/>
        <v>1</v>
      </c>
      <c r="AC38" s="1812">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82"/>
      <c r="Q39" s="1811" t="str">
        <f t="shared" si="11"/>
        <v>市政基础设施</v>
      </c>
      <c r="R39" s="773" t="s">
        <v>21</v>
      </c>
      <c r="S39" s="774">
        <f t="shared" si="12"/>
        <v>100</v>
      </c>
      <c r="T39" s="773" t="s">
        <v>21</v>
      </c>
      <c r="U39" s="774">
        <f t="shared" si="13"/>
        <v>100</v>
      </c>
      <c r="V39" s="773" t="s">
        <v>21</v>
      </c>
      <c r="W39" s="774">
        <f t="shared" si="14"/>
        <v>100</v>
      </c>
      <c r="X39" s="1814"/>
      <c r="Y39" s="3184"/>
      <c r="Z39" s="1815" t="str">
        <f t="shared" si="18"/>
        <v>市政基础设施</v>
      </c>
      <c r="AA39" s="1812">
        <f t="shared" si="15"/>
        <v>1</v>
      </c>
      <c r="AB39" s="1812">
        <f t="shared" si="16"/>
        <v>1</v>
      </c>
      <c r="AC39" s="1812">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82"/>
      <c r="Q40" s="1811" t="str">
        <f t="shared" si="11"/>
        <v>房型</v>
      </c>
      <c r="R40" s="773" t="s">
        <v>21</v>
      </c>
      <c r="S40" s="774">
        <f t="shared" si="12"/>
        <v>100</v>
      </c>
      <c r="T40" s="773" t="s">
        <v>21</v>
      </c>
      <c r="U40" s="774">
        <f t="shared" si="13"/>
        <v>100</v>
      </c>
      <c r="V40" s="773" t="s">
        <v>21</v>
      </c>
      <c r="W40" s="774">
        <f t="shared" si="14"/>
        <v>100</v>
      </c>
      <c r="X40" s="1814"/>
      <c r="Y40" s="3184"/>
      <c r="Z40" s="1815" t="str">
        <f t="shared" si="18"/>
        <v>房型</v>
      </c>
      <c r="AA40" s="1812">
        <f t="shared" si="15"/>
        <v>1</v>
      </c>
      <c r="AB40" s="1812">
        <f t="shared" si="16"/>
        <v>1</v>
      </c>
      <c r="AC40" s="181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82"/>
      <c r="Q41" s="775" t="str">
        <f t="shared" si="11"/>
        <v>单套/主力户型建筑面积</v>
      </c>
      <c r="R41" s="776" t="s">
        <v>21</v>
      </c>
      <c r="S41" s="777">
        <f t="shared" si="12"/>
        <v>100</v>
      </c>
      <c r="T41" s="776" t="s">
        <v>21</v>
      </c>
      <c r="U41" s="777">
        <f t="shared" si="13"/>
        <v>100</v>
      </c>
      <c r="V41" s="776" t="s">
        <v>21</v>
      </c>
      <c r="W41" s="777">
        <f t="shared" si="14"/>
        <v>100</v>
      </c>
      <c r="X41" s="778"/>
      <c r="Y41" s="3184"/>
      <c r="Z41" s="779" t="str">
        <f t="shared" si="18"/>
        <v>单套/主力户型建筑面积</v>
      </c>
      <c r="AA41" s="1812">
        <f t="shared" si="15"/>
        <v>1</v>
      </c>
      <c r="AB41" s="1812">
        <f t="shared" si="16"/>
        <v>1</v>
      </c>
      <c r="AC41" s="1812">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82"/>
      <c r="Q42" s="1811" t="str">
        <f t="shared" si="11"/>
        <v>内部装修</v>
      </c>
      <c r="R42" s="773" t="s">
        <v>21</v>
      </c>
      <c r="S42" s="774">
        <f t="shared" si="12"/>
        <v>100</v>
      </c>
      <c r="T42" s="773" t="s">
        <v>21</v>
      </c>
      <c r="U42" s="774">
        <f t="shared" si="13"/>
        <v>100</v>
      </c>
      <c r="V42" s="773" t="s">
        <v>21</v>
      </c>
      <c r="W42" s="774">
        <f t="shared" si="14"/>
        <v>100</v>
      </c>
      <c r="X42" s="1814"/>
      <c r="Y42" s="3184"/>
      <c r="Z42" s="1815" t="str">
        <f t="shared" si="18"/>
        <v>内部装修</v>
      </c>
      <c r="AA42" s="1812">
        <f t="shared" si="15"/>
        <v>1</v>
      </c>
      <c r="AB42" s="1812">
        <f t="shared" si="16"/>
        <v>1</v>
      </c>
      <c r="AC42" s="1812">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82"/>
      <c r="Q43" s="1811" t="str">
        <f t="shared" si="11"/>
        <v>内部装修维护情况</v>
      </c>
      <c r="R43" s="773" t="s">
        <v>21</v>
      </c>
      <c r="S43" s="774">
        <f t="shared" si="12"/>
        <v>100</v>
      </c>
      <c r="T43" s="773" t="s">
        <v>21</v>
      </c>
      <c r="U43" s="774">
        <f t="shared" si="13"/>
        <v>100</v>
      </c>
      <c r="V43" s="773" t="s">
        <v>21</v>
      </c>
      <c r="W43" s="774">
        <f t="shared" si="14"/>
        <v>100</v>
      </c>
      <c r="X43" s="1814"/>
      <c r="Y43" s="3184"/>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82"/>
      <c r="Q44" s="1796">
        <f t="shared" si="11"/>
        <v>111</v>
      </c>
      <c r="R44" s="769" t="s">
        <v>21</v>
      </c>
      <c r="S44" s="770">
        <f t="shared" si="12"/>
        <v>100</v>
      </c>
      <c r="T44" s="769" t="s">
        <v>21</v>
      </c>
      <c r="U44" s="770">
        <f t="shared" si="13"/>
        <v>100</v>
      </c>
      <c r="V44" s="769" t="s">
        <v>21</v>
      </c>
      <c r="W44" s="770">
        <f t="shared" si="14"/>
        <v>100</v>
      </c>
      <c r="X44" s="771"/>
      <c r="Y44" s="318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82"/>
      <c r="Q45" s="1811">
        <f t="shared" si="11"/>
        <v>111</v>
      </c>
      <c r="R45" s="773" t="s">
        <v>21</v>
      </c>
      <c r="S45" s="774">
        <f t="shared" si="12"/>
        <v>100</v>
      </c>
      <c r="T45" s="773" t="s">
        <v>21</v>
      </c>
      <c r="U45" s="774">
        <f t="shared" si="13"/>
        <v>100</v>
      </c>
      <c r="V45" s="773" t="s">
        <v>21</v>
      </c>
      <c r="W45" s="774">
        <f t="shared" si="14"/>
        <v>100</v>
      </c>
      <c r="X45" s="1814"/>
      <c r="Y45" s="3184"/>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83"/>
      <c r="Q46" s="1811">
        <f t="shared" si="11"/>
        <v>111</v>
      </c>
      <c r="R46" s="773" t="s">
        <v>20</v>
      </c>
      <c r="S46" s="774">
        <f t="shared" si="12"/>
        <v>100</v>
      </c>
      <c r="T46" s="773" t="s">
        <v>20</v>
      </c>
      <c r="U46" s="774">
        <f t="shared" si="13"/>
        <v>100</v>
      </c>
      <c r="V46" s="773" t="s">
        <v>20</v>
      </c>
      <c r="W46" s="774">
        <f t="shared" si="14"/>
        <v>100</v>
      </c>
      <c r="X46" s="1814"/>
      <c r="Y46" s="3185"/>
      <c r="Z46" s="1815">
        <f t="shared" si="18"/>
        <v>111</v>
      </c>
      <c r="AA46" s="1812">
        <f t="shared" si="15"/>
        <v>1</v>
      </c>
      <c r="AB46" s="1812">
        <f t="shared" si="16"/>
        <v>1</v>
      </c>
      <c r="AC46" s="1812">
        <f t="shared" si="17"/>
        <v>1</v>
      </c>
    </row>
    <row r="47" spans="1:29" ht="15">
      <c r="A47" s="479" t="s">
        <v>2575</v>
      </c>
      <c r="B47" s="480"/>
      <c r="C47" s="1409" t="s">
        <v>19</v>
      </c>
      <c r="D47" s="1410"/>
      <c r="E47" s="1411"/>
      <c r="F47" s="1412"/>
      <c r="G47" s="1413"/>
      <c r="H47" s="1414"/>
      <c r="I47" s="1411"/>
      <c r="J47" s="1414"/>
      <c r="K47" s="2622"/>
      <c r="L47" s="1145"/>
      <c r="M47" s="1146"/>
      <c r="N47" s="1133"/>
      <c r="O47" s="1146"/>
      <c r="P47" s="3172" t="str">
        <f>A47</f>
        <v>成交单价（元/平方米）</v>
      </c>
      <c r="Q47" s="3172"/>
      <c r="R47" s="3173">
        <f>E47</f>
        <v>0</v>
      </c>
      <c r="S47" s="3173"/>
      <c r="T47" s="3173">
        <f>G47</f>
        <v>0</v>
      </c>
      <c r="U47" s="3173"/>
      <c r="V47" s="3173">
        <f>I47</f>
        <v>0</v>
      </c>
      <c r="W47" s="3173"/>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4"/>
      <c r="L49" s="1145"/>
      <c r="M49" s="1146"/>
      <c r="N49" s="1146"/>
      <c r="O49" s="1146"/>
      <c r="P49" s="3174" t="str">
        <f>A49</f>
        <v>估价对象XX用房的比较价值（楼面单价，元/平方米）</v>
      </c>
      <c r="Q49" s="3175"/>
      <c r="R49" s="3176" t="e">
        <f>IF(F1="售价",ROUND(AVERAGE(R48:V48),0),ROUND(AVERAGE(R48:V48),1))</f>
        <v>#DIV/0!</v>
      </c>
      <c r="S49" s="3176"/>
      <c r="T49" s="3176"/>
      <c r="U49" s="3176"/>
      <c r="V49" s="3176"/>
      <c r="W49" s="31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7"/>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34044.230000000003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255" t="s">
        <v>2649</v>
      </c>
      <c r="Q4" s="3256"/>
      <c r="R4" s="3259" t="s">
        <v>2645</v>
      </c>
      <c r="S4" s="3260"/>
      <c r="T4" s="3259" t="s">
        <v>2646</v>
      </c>
      <c r="U4" s="3260"/>
      <c r="V4" s="3261" t="s">
        <v>2647</v>
      </c>
      <c r="W4" s="3261"/>
      <c r="X4" s="2671"/>
      <c r="Y4" s="3259" t="s">
        <v>2649</v>
      </c>
      <c r="Z4" s="3260"/>
      <c r="AA4" s="3263" t="s">
        <v>2645</v>
      </c>
      <c r="AB4" s="3263" t="s">
        <v>2646</v>
      </c>
      <c r="AC4" s="3252" t="s">
        <v>2647</v>
      </c>
    </row>
    <row r="5" spans="1:29" ht="15">
      <c r="A5" s="404"/>
      <c r="B5" s="405"/>
      <c r="C5" s="3246" t="s">
        <v>2540</v>
      </c>
      <c r="D5" s="3210"/>
      <c r="E5" s="3248" t="s">
        <v>2541</v>
      </c>
      <c r="F5" s="3218"/>
      <c r="G5" s="3246" t="s">
        <v>2542</v>
      </c>
      <c r="H5" s="3210"/>
      <c r="I5" s="3246" t="s">
        <v>2543</v>
      </c>
      <c r="J5" s="3210"/>
      <c r="K5" s="610"/>
      <c r="L5" s="1132"/>
      <c r="M5" s="1133"/>
      <c r="N5" s="1133"/>
      <c r="O5" s="1133"/>
      <c r="P5" s="3257"/>
      <c r="Q5" s="3198"/>
      <c r="R5" s="3203"/>
      <c r="S5" s="3204"/>
      <c r="T5" s="3203"/>
      <c r="U5" s="3204"/>
      <c r="V5" s="3186"/>
      <c r="W5" s="3186"/>
      <c r="X5" s="1814"/>
      <c r="Y5" s="3203"/>
      <c r="Z5" s="3204"/>
      <c r="AA5" s="3189"/>
      <c r="AB5" s="3189"/>
      <c r="AC5" s="3253"/>
    </row>
    <row r="6" spans="1:29" ht="15.75" thickBot="1">
      <c r="A6" s="406"/>
      <c r="B6" s="407"/>
      <c r="C6" s="3214" t="s">
        <v>2544</v>
      </c>
      <c r="D6" s="3208"/>
      <c r="E6" s="3247" t="s">
        <v>2544</v>
      </c>
      <c r="F6" s="3216"/>
      <c r="G6" s="3214" t="s">
        <v>2544</v>
      </c>
      <c r="H6" s="3208"/>
      <c r="I6" s="3214" t="s">
        <v>2544</v>
      </c>
      <c r="J6" s="3208"/>
      <c r="K6" s="610" t="s">
        <v>2545</v>
      </c>
      <c r="L6" s="1132"/>
      <c r="M6" s="1133"/>
      <c r="N6" s="1133"/>
      <c r="O6" s="1133"/>
      <c r="P6" s="3258"/>
      <c r="Q6" s="3200"/>
      <c r="R6" s="3203"/>
      <c r="S6" s="3204"/>
      <c r="T6" s="3205"/>
      <c r="U6" s="3206"/>
      <c r="V6" s="3186"/>
      <c r="W6" s="3186"/>
      <c r="X6" s="1814"/>
      <c r="Y6" s="3205"/>
      <c r="Z6" s="3206"/>
      <c r="AA6" s="3190"/>
      <c r="AB6" s="3190"/>
      <c r="AC6" s="3254"/>
    </row>
    <row r="7" spans="1:29" s="117" customFormat="1" ht="15.75" thickBot="1">
      <c r="A7" s="408" t="s">
        <v>2546</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2" t="s">
        <v>2547</v>
      </c>
      <c r="Q7" s="3213"/>
      <c r="R7" s="769" t="s">
        <v>17</v>
      </c>
      <c r="S7" s="770">
        <f t="shared" ref="S7:S15" si="0">F7</f>
        <v>0</v>
      </c>
      <c r="T7" s="769" t="s">
        <v>17</v>
      </c>
      <c r="U7" s="770">
        <f t="shared" ref="U7:U15" si="1">H7</f>
        <v>0</v>
      </c>
      <c r="V7" s="769" t="s">
        <v>17</v>
      </c>
      <c r="W7" s="770">
        <f t="shared" ref="W7:W15" si="2">J7</f>
        <v>0</v>
      </c>
      <c r="X7" s="771"/>
      <c r="Y7" s="3211" t="s">
        <v>2547</v>
      </c>
      <c r="Z7" s="3212"/>
      <c r="AA7" s="772" t="e">
        <f>D7/F7</f>
        <v>#DIV/0!</v>
      </c>
      <c r="AB7" s="772"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2" t="s">
        <v>2550</v>
      </c>
      <c r="Q8" s="3212"/>
      <c r="R8" s="769" t="s">
        <v>17</v>
      </c>
      <c r="S8" s="770">
        <f t="shared" si="0"/>
        <v>0</v>
      </c>
      <c r="T8" s="769" t="s">
        <v>17</v>
      </c>
      <c r="U8" s="770">
        <f t="shared" si="1"/>
        <v>0</v>
      </c>
      <c r="V8" s="769" t="s">
        <v>17</v>
      </c>
      <c r="W8" s="770">
        <f t="shared" si="2"/>
        <v>0</v>
      </c>
      <c r="X8" s="771"/>
      <c r="Y8" s="3211" t="s">
        <v>2550</v>
      </c>
      <c r="Z8" s="3212"/>
      <c r="AA8" s="772" t="e">
        <f t="shared" ref="AA8:AA47" si="3">D8/F8</f>
        <v>#DIV/0!</v>
      </c>
      <c r="AB8" s="772"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7"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7"/>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7"/>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8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8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2">
        <f t="shared" si="5"/>
        <v>1</v>
      </c>
    </row>
    <row r="14" spans="1:29" ht="15.75" thickBot="1">
      <c r="A14" s="436"/>
      <c r="B14" s="2603">
        <v>111</v>
      </c>
      <c r="C14" s="437"/>
      <c r="D14" s="438">
        <v>100</v>
      </c>
      <c r="E14" s="627"/>
      <c r="F14" s="438">
        <f>SUMIF(75:75,E14,76:76)-SUMIF(75:75,C14,76:76)+100</f>
        <v>100</v>
      </c>
      <c r="G14" s="2673"/>
      <c r="H14" s="438">
        <f>SUMIF(75:75,G14,76:76)-SUMIF(75:75,C14,76:76)+100</f>
        <v>100</v>
      </c>
      <c r="I14" s="432"/>
      <c r="J14" s="438">
        <f>SUMIF(75:75,I14,76:76)-SUMIF(75:75,C14,76:76)+100</f>
        <v>100</v>
      </c>
      <c r="K14" s="613"/>
      <c r="L14" s="1142"/>
      <c r="M14" s="1133"/>
      <c r="N14" s="1133"/>
      <c r="O14" s="1133"/>
      <c r="P14" s="3187"/>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2">
        <f t="shared" si="5"/>
        <v>1</v>
      </c>
    </row>
    <row r="15" spans="1:29" ht="71.25">
      <c r="A15" s="440" t="s">
        <v>2557</v>
      </c>
      <c r="B15" s="628"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77" t="s">
        <v>2558</v>
      </c>
      <c r="Q15" s="1811" t="str">
        <f t="shared" si="6"/>
        <v>办公集聚程度</v>
      </c>
      <c r="R15" s="773" t="s">
        <v>17</v>
      </c>
      <c r="S15" s="774">
        <f t="shared" si="0"/>
        <v>100</v>
      </c>
      <c r="T15" s="773" t="s">
        <v>17</v>
      </c>
      <c r="U15" s="774">
        <f t="shared" si="1"/>
        <v>100</v>
      </c>
      <c r="V15" s="773" t="s">
        <v>17</v>
      </c>
      <c r="W15" s="774">
        <f t="shared" si="2"/>
        <v>100</v>
      </c>
      <c r="X15" s="1814"/>
      <c r="Y15" s="3179" t="s">
        <v>2558</v>
      </c>
      <c r="Z15" s="1815" t="str">
        <f t="shared" si="7"/>
        <v>办公集聚程度</v>
      </c>
      <c r="AA15" s="1812">
        <f t="shared" si="3"/>
        <v>1</v>
      </c>
      <c r="AB15" s="1812">
        <f t="shared" si="4"/>
        <v>1</v>
      </c>
      <c r="AC15" s="2675">
        <f t="shared" si="5"/>
        <v>1</v>
      </c>
    </row>
    <row r="16" spans="1:29" ht="15">
      <c r="A16" s="428"/>
      <c r="B16" s="629"/>
      <c r="C16" s="2612"/>
      <c r="D16" s="448"/>
      <c r="E16" s="447"/>
      <c r="F16" s="448"/>
      <c r="G16" s="2612"/>
      <c r="H16" s="450"/>
      <c r="I16" s="447"/>
      <c r="J16" s="448"/>
      <c r="K16" s="615"/>
      <c r="L16" s="1142"/>
      <c r="M16" s="1133"/>
      <c r="N16" s="1133"/>
      <c r="O16" s="1133"/>
      <c r="P16" s="3178"/>
      <c r="Q16" s="1811"/>
      <c r="R16" s="773"/>
      <c r="S16" s="774"/>
      <c r="T16" s="773"/>
      <c r="U16" s="774"/>
      <c r="V16" s="773"/>
      <c r="W16" s="774"/>
      <c r="X16" s="1814"/>
      <c r="Y16" s="3180"/>
      <c r="Z16" s="1815"/>
      <c r="AA16" s="1812">
        <v>1</v>
      </c>
      <c r="AB16" s="1812">
        <v>1</v>
      </c>
      <c r="AC16" s="2675">
        <v>1</v>
      </c>
    </row>
    <row r="17" spans="1:29" ht="85.5">
      <c r="A17" s="428"/>
      <c r="B17" s="630" t="s">
        <v>2097</v>
      </c>
      <c r="C17" s="2676"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78"/>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2675">
        <f t="shared" si="5"/>
        <v>1</v>
      </c>
    </row>
    <row r="18" spans="1:29" ht="15">
      <c r="A18" s="428"/>
      <c r="B18" s="631"/>
      <c r="C18" s="2677"/>
      <c r="D18" s="450"/>
      <c r="E18" s="2610"/>
      <c r="F18" s="450"/>
      <c r="G18" s="2611"/>
      <c r="H18" s="448"/>
      <c r="I18" s="2611"/>
      <c r="J18" s="448"/>
      <c r="K18" s="615"/>
      <c r="L18" s="1142"/>
      <c r="M18" s="1133"/>
      <c r="N18" s="1133"/>
      <c r="O18" s="1133"/>
      <c r="P18" s="3178"/>
      <c r="Q18" s="1811"/>
      <c r="R18" s="773"/>
      <c r="S18" s="774"/>
      <c r="T18" s="773"/>
      <c r="U18" s="774"/>
      <c r="V18" s="773"/>
      <c r="W18" s="774"/>
      <c r="X18" s="1814"/>
      <c r="Y18" s="3180"/>
      <c r="Z18" s="1815"/>
      <c r="AA18" s="1812">
        <v>1</v>
      </c>
      <c r="AB18" s="1812">
        <v>1</v>
      </c>
      <c r="AC18" s="2675">
        <v>1</v>
      </c>
    </row>
    <row r="19" spans="1:29" ht="42.75">
      <c r="A19" s="428"/>
      <c r="B19" s="630"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78"/>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2675">
        <f t="shared" si="5"/>
        <v>1</v>
      </c>
    </row>
    <row r="20" spans="1:29" ht="15">
      <c r="A20" s="428"/>
      <c r="B20" s="631"/>
      <c r="C20" s="2612"/>
      <c r="D20" s="448"/>
      <c r="E20" s="2605"/>
      <c r="F20" s="448"/>
      <c r="G20" s="2606"/>
      <c r="H20" s="448"/>
      <c r="I20" s="2606"/>
      <c r="J20" s="448"/>
      <c r="K20" s="615"/>
      <c r="L20" s="1142"/>
      <c r="M20" s="1133"/>
      <c r="N20" s="1133"/>
      <c r="O20" s="1133"/>
      <c r="P20" s="3178"/>
      <c r="Q20" s="1811"/>
      <c r="R20" s="773"/>
      <c r="S20" s="774"/>
      <c r="T20" s="773"/>
      <c r="U20" s="774"/>
      <c r="V20" s="773"/>
      <c r="W20" s="774"/>
      <c r="X20" s="1814"/>
      <c r="Y20" s="3180"/>
      <c r="Z20" s="1815"/>
      <c r="AA20" s="1812">
        <v>1</v>
      </c>
      <c r="AB20" s="1812">
        <v>1</v>
      </c>
      <c r="AC20" s="2675">
        <v>1</v>
      </c>
    </row>
    <row r="21" spans="1:29" ht="28.5">
      <c r="A21" s="428"/>
      <c r="B21" s="632"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78"/>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2675">
        <f t="shared" ref="AC21" si="10">D21/J21</f>
        <v>1</v>
      </c>
    </row>
    <row r="22" spans="1:29" ht="15">
      <c r="A22" s="428"/>
      <c r="B22" s="632"/>
      <c r="C22" s="2677"/>
      <c r="D22" s="448"/>
      <c r="E22" s="447"/>
      <c r="F22" s="448"/>
      <c r="G22" s="2612"/>
      <c r="H22" s="448"/>
      <c r="I22" s="2612"/>
      <c r="J22" s="448"/>
      <c r="K22" s="1385"/>
      <c r="L22" s="1142"/>
      <c r="M22" s="1133"/>
      <c r="N22" s="1133"/>
      <c r="O22" s="1133"/>
      <c r="P22" s="3178"/>
      <c r="Q22" s="1811"/>
      <c r="R22" s="773"/>
      <c r="S22" s="774"/>
      <c r="T22" s="773"/>
      <c r="U22" s="774"/>
      <c r="V22" s="773"/>
      <c r="W22" s="774"/>
      <c r="X22" s="1814"/>
      <c r="Y22" s="3180"/>
      <c r="Z22" s="1815"/>
      <c r="AA22" s="1812">
        <v>1</v>
      </c>
      <c r="AB22" s="1812">
        <v>1</v>
      </c>
      <c r="AC22" s="2675">
        <v>1</v>
      </c>
    </row>
    <row r="23" spans="1:29" ht="42.75">
      <c r="A23" s="428"/>
      <c r="B23" s="630"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78"/>
      <c r="Q23" s="1811" t="str">
        <f>B23</f>
        <v>环境质量</v>
      </c>
      <c r="R23" s="773" t="s">
        <v>17</v>
      </c>
      <c r="S23" s="774">
        <f>F23</f>
        <v>100</v>
      </c>
      <c r="T23" s="773" t="s">
        <v>17</v>
      </c>
      <c r="U23" s="774">
        <f>H23</f>
        <v>100</v>
      </c>
      <c r="V23" s="773" t="s">
        <v>17</v>
      </c>
      <c r="W23" s="774">
        <f>J23</f>
        <v>100</v>
      </c>
      <c r="X23" s="1814"/>
      <c r="Y23" s="3180"/>
      <c r="Z23" s="1815" t="str">
        <f>Q23</f>
        <v>环境质量</v>
      </c>
      <c r="AA23" s="1812">
        <f t="shared" si="3"/>
        <v>1</v>
      </c>
      <c r="AB23" s="1812">
        <f t="shared" si="4"/>
        <v>1</v>
      </c>
      <c r="AC23" s="2675">
        <f t="shared" si="5"/>
        <v>1</v>
      </c>
    </row>
    <row r="24" spans="1:29" ht="15">
      <c r="A24" s="428"/>
      <c r="B24" s="632"/>
      <c r="C24" s="2612"/>
      <c r="D24" s="448"/>
      <c r="E24" s="2605"/>
      <c r="F24" s="448"/>
      <c r="G24" s="2606"/>
      <c r="H24" s="448"/>
      <c r="I24" s="2606"/>
      <c r="J24" s="448"/>
      <c r="K24" s="615"/>
      <c r="L24" s="1142"/>
      <c r="M24" s="1133"/>
      <c r="N24" s="1133"/>
      <c r="O24" s="1133"/>
      <c r="P24" s="3178"/>
      <c r="Q24" s="1811"/>
      <c r="R24" s="773"/>
      <c r="S24" s="774"/>
      <c r="T24" s="773"/>
      <c r="U24" s="774"/>
      <c r="V24" s="773"/>
      <c r="W24" s="774"/>
      <c r="X24" s="1814"/>
      <c r="Y24" s="3180"/>
      <c r="Z24" s="1815"/>
      <c r="AA24" s="1812">
        <v>1</v>
      </c>
      <c r="AB24" s="1812">
        <v>1</v>
      </c>
      <c r="AC24" s="2675">
        <v>1</v>
      </c>
    </row>
    <row r="25" spans="1:29" ht="27">
      <c r="A25" s="404"/>
      <c r="B25" s="630"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78"/>
      <c r="Q25" s="1811" t="str">
        <f>B25</f>
        <v>毗邻道路的类型与等级</v>
      </c>
      <c r="R25" s="773" t="s">
        <v>17</v>
      </c>
      <c r="S25" s="774">
        <f>F25</f>
        <v>100</v>
      </c>
      <c r="T25" s="773" t="s">
        <v>17</v>
      </c>
      <c r="U25" s="774">
        <f>H25</f>
        <v>100</v>
      </c>
      <c r="V25" s="773" t="s">
        <v>17</v>
      </c>
      <c r="W25" s="774">
        <f>J25</f>
        <v>100</v>
      </c>
      <c r="X25" s="1814"/>
      <c r="Y25" s="3180"/>
      <c r="Z25" s="1815" t="str">
        <f>Q25</f>
        <v>毗邻道路的类型与等级</v>
      </c>
      <c r="AA25" s="1812">
        <f t="shared" si="3"/>
        <v>1</v>
      </c>
      <c r="AB25" s="1812">
        <f t="shared" si="4"/>
        <v>1</v>
      </c>
      <c r="AC25" s="2675">
        <f t="shared" si="5"/>
        <v>1</v>
      </c>
    </row>
    <row r="26" spans="1:29" ht="15">
      <c r="A26" s="404"/>
      <c r="B26" s="631"/>
      <c r="C26" s="633"/>
      <c r="D26" s="435"/>
      <c r="E26" s="616"/>
      <c r="F26" s="435"/>
      <c r="G26" s="633"/>
      <c r="H26" s="435"/>
      <c r="I26" s="616"/>
      <c r="J26" s="435"/>
      <c r="K26" s="615"/>
      <c r="L26" s="1142"/>
      <c r="M26" s="1133"/>
      <c r="N26" s="1133"/>
      <c r="O26" s="1133"/>
      <c r="P26" s="3178"/>
      <c r="Q26" s="1811"/>
      <c r="R26" s="773"/>
      <c r="S26" s="774"/>
      <c r="T26" s="773"/>
      <c r="U26" s="774"/>
      <c r="V26" s="773"/>
      <c r="W26" s="774"/>
      <c r="X26" s="1814"/>
      <c r="Y26" s="3180"/>
      <c r="Z26" s="1815"/>
      <c r="AA26" s="1812">
        <v>1</v>
      </c>
      <c r="AB26" s="1812">
        <v>1</v>
      </c>
      <c r="AC26" s="2675">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178"/>
      <c r="Q27" s="1811" t="str">
        <f t="shared" ref="Q27:Q47" si="11">B27</f>
        <v>楼层</v>
      </c>
      <c r="R27" s="773" t="s">
        <v>17</v>
      </c>
      <c r="S27" s="774">
        <f>F27</f>
        <v>100</v>
      </c>
      <c r="T27" s="773" t="s">
        <v>17</v>
      </c>
      <c r="U27" s="774">
        <f>H27</f>
        <v>100</v>
      </c>
      <c r="V27" s="773" t="s">
        <v>17</v>
      </c>
      <c r="W27" s="774">
        <f>J27</f>
        <v>100</v>
      </c>
      <c r="X27" s="1814"/>
      <c r="Y27" s="3180"/>
      <c r="Z27" s="1815" t="str">
        <f>Q27</f>
        <v>楼层</v>
      </c>
      <c r="AA27" s="1812">
        <f t="shared" si="3"/>
        <v>1</v>
      </c>
      <c r="AB27" s="1812">
        <f t="shared" si="4"/>
        <v>1</v>
      </c>
      <c r="AC27" s="2675">
        <f t="shared" si="5"/>
        <v>1</v>
      </c>
    </row>
    <row r="28" spans="1:29" s="117" customFormat="1" ht="15">
      <c r="A28" s="431"/>
      <c r="B28" s="630"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78"/>
      <c r="Q28" s="1796" t="str">
        <f t="shared" si="11"/>
        <v>朝向</v>
      </c>
      <c r="R28" s="769" t="s">
        <v>17</v>
      </c>
      <c r="S28" s="770">
        <f>F28</f>
        <v>100</v>
      </c>
      <c r="T28" s="769" t="s">
        <v>17</v>
      </c>
      <c r="U28" s="770">
        <f>H28</f>
        <v>100</v>
      </c>
      <c r="V28" s="769" t="s">
        <v>17</v>
      </c>
      <c r="W28" s="770">
        <f>J28</f>
        <v>100</v>
      </c>
      <c r="X28" s="771"/>
      <c r="Y28" s="3180"/>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78"/>
      <c r="Q29" s="1811">
        <f t="shared" si="11"/>
        <v>111</v>
      </c>
      <c r="R29" s="773" t="s">
        <v>17</v>
      </c>
      <c r="S29" s="774">
        <f t="shared" ref="S29:S47" si="12">F29</f>
        <v>100</v>
      </c>
      <c r="T29" s="773" t="s">
        <v>17</v>
      </c>
      <c r="U29" s="774">
        <f t="shared" ref="U29:U47" si="13">H29</f>
        <v>100</v>
      </c>
      <c r="V29" s="773" t="s">
        <v>17</v>
      </c>
      <c r="W29" s="774">
        <f t="shared" ref="W29:W47" si="14">J29</f>
        <v>100</v>
      </c>
      <c r="X29" s="1814"/>
      <c r="Y29" s="3180"/>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78"/>
      <c r="Q30" s="1811">
        <f t="shared" si="11"/>
        <v>111</v>
      </c>
      <c r="R30" s="773" t="s">
        <v>17</v>
      </c>
      <c r="S30" s="774">
        <f t="shared" si="12"/>
        <v>100</v>
      </c>
      <c r="T30" s="773" t="s">
        <v>17</v>
      </c>
      <c r="U30" s="774">
        <f t="shared" si="13"/>
        <v>100</v>
      </c>
      <c r="V30" s="773" t="s">
        <v>17</v>
      </c>
      <c r="W30" s="774">
        <f t="shared" si="14"/>
        <v>100</v>
      </c>
      <c r="X30" s="1814"/>
      <c r="Y30" s="3180"/>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78"/>
      <c r="Q31" s="1811">
        <f t="shared" si="11"/>
        <v>111</v>
      </c>
      <c r="R31" s="773" t="s">
        <v>17</v>
      </c>
      <c r="S31" s="774">
        <f t="shared" si="12"/>
        <v>100</v>
      </c>
      <c r="T31" s="773" t="s">
        <v>17</v>
      </c>
      <c r="U31" s="774">
        <f t="shared" si="13"/>
        <v>100</v>
      </c>
      <c r="V31" s="773" t="s">
        <v>17</v>
      </c>
      <c r="W31" s="774">
        <f t="shared" si="14"/>
        <v>100</v>
      </c>
      <c r="X31" s="1814"/>
      <c r="Y31" s="3180"/>
      <c r="Z31" s="1815">
        <f t="shared" si="15"/>
        <v>111</v>
      </c>
      <c r="AA31" s="1812">
        <f t="shared" si="3"/>
        <v>1</v>
      </c>
      <c r="AB31" s="1812">
        <f t="shared" si="4"/>
        <v>1</v>
      </c>
      <c r="AC31" s="2675">
        <f t="shared" si="5"/>
        <v>1</v>
      </c>
    </row>
    <row r="32" spans="1:29" ht="15.75" thickBot="1">
      <c r="A32" s="436"/>
      <c r="B32" s="634">
        <v>111</v>
      </c>
      <c r="C32" s="2617"/>
      <c r="D32" s="438">
        <v>100</v>
      </c>
      <c r="E32" s="627"/>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78"/>
      <c r="Q32" s="1811">
        <f t="shared" si="11"/>
        <v>111</v>
      </c>
      <c r="R32" s="773" t="s">
        <v>17</v>
      </c>
      <c r="S32" s="774">
        <f t="shared" si="12"/>
        <v>100</v>
      </c>
      <c r="T32" s="773" t="s">
        <v>17</v>
      </c>
      <c r="U32" s="774">
        <f t="shared" si="13"/>
        <v>100</v>
      </c>
      <c r="V32" s="773" t="s">
        <v>17</v>
      </c>
      <c r="W32" s="774">
        <f t="shared" si="14"/>
        <v>100</v>
      </c>
      <c r="X32" s="1814"/>
      <c r="Y32" s="3180"/>
      <c r="Z32" s="1815">
        <f t="shared" si="15"/>
        <v>111</v>
      </c>
      <c r="AA32" s="1812">
        <f t="shared" si="3"/>
        <v>1</v>
      </c>
      <c r="AB32" s="1812">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81" t="s">
        <v>2563</v>
      </c>
      <c r="Q33" s="1811" t="str">
        <f t="shared" si="11"/>
        <v>建筑类型</v>
      </c>
      <c r="R33" s="773" t="s">
        <v>17</v>
      </c>
      <c r="S33" s="774">
        <f t="shared" si="12"/>
        <v>100</v>
      </c>
      <c r="T33" s="773" t="s">
        <v>17</v>
      </c>
      <c r="U33" s="774">
        <f t="shared" si="13"/>
        <v>100</v>
      </c>
      <c r="V33" s="773" t="s">
        <v>17</v>
      </c>
      <c r="W33" s="774">
        <f t="shared" si="14"/>
        <v>100</v>
      </c>
      <c r="X33" s="1814"/>
      <c r="Y33" s="3184" t="s">
        <v>2563</v>
      </c>
      <c r="Z33" s="1815" t="str">
        <f t="shared" si="15"/>
        <v>建筑类型</v>
      </c>
      <c r="AA33" s="1812">
        <f t="shared" si="3"/>
        <v>1</v>
      </c>
      <c r="AB33" s="1812">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2"/>
      <c r="Q34" s="775" t="str">
        <f t="shared" si="11"/>
        <v>项目建筑规模</v>
      </c>
      <c r="R34" s="776" t="s">
        <v>17</v>
      </c>
      <c r="S34" s="777" t="e">
        <f t="shared" si="12"/>
        <v>#N/A</v>
      </c>
      <c r="T34" s="776" t="s">
        <v>17</v>
      </c>
      <c r="U34" s="777" t="e">
        <f t="shared" si="13"/>
        <v>#N/A</v>
      </c>
      <c r="V34" s="776" t="s">
        <v>17</v>
      </c>
      <c r="W34" s="777" t="e">
        <f t="shared" si="14"/>
        <v>#N/A</v>
      </c>
      <c r="X34" s="778"/>
      <c r="Y34" s="3184"/>
      <c r="Z34" s="779" t="str">
        <f t="shared" si="15"/>
        <v>项目建筑规模</v>
      </c>
      <c r="AA34" s="1812" t="e">
        <f t="shared" si="3"/>
        <v>#N/A</v>
      </c>
      <c r="AB34" s="1812"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2"/>
      <c r="Q35" s="1811" t="str">
        <f t="shared" si="11"/>
        <v>建筑结构</v>
      </c>
      <c r="R35" s="773" t="s">
        <v>17</v>
      </c>
      <c r="S35" s="774">
        <f t="shared" si="12"/>
        <v>100</v>
      </c>
      <c r="T35" s="773" t="s">
        <v>17</v>
      </c>
      <c r="U35" s="774">
        <f t="shared" si="13"/>
        <v>100</v>
      </c>
      <c r="V35" s="773" t="s">
        <v>17</v>
      </c>
      <c r="W35" s="774">
        <f t="shared" si="14"/>
        <v>100</v>
      </c>
      <c r="X35" s="1814"/>
      <c r="Y35" s="3184"/>
      <c r="Z35" s="1815" t="str">
        <f t="shared" si="15"/>
        <v>建筑结构</v>
      </c>
      <c r="AA35" s="1812">
        <f t="shared" si="3"/>
        <v>1</v>
      </c>
      <c r="AB35" s="1812">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2"/>
      <c r="Q36" s="1811" t="str">
        <f t="shared" si="11"/>
        <v>公共部分装修</v>
      </c>
      <c r="R36" s="773" t="s">
        <v>17</v>
      </c>
      <c r="S36" s="774">
        <f t="shared" si="12"/>
        <v>100</v>
      </c>
      <c r="T36" s="773" t="s">
        <v>17</v>
      </c>
      <c r="U36" s="774">
        <f t="shared" si="13"/>
        <v>100</v>
      </c>
      <c r="V36" s="773" t="s">
        <v>17</v>
      </c>
      <c r="W36" s="774">
        <f t="shared" si="14"/>
        <v>100</v>
      </c>
      <c r="X36" s="1814"/>
      <c r="Y36" s="3184"/>
      <c r="Z36" s="1815" t="str">
        <f t="shared" si="15"/>
        <v>公共部分装修</v>
      </c>
      <c r="AA36" s="1812">
        <f t="shared" si="3"/>
        <v>1</v>
      </c>
      <c r="AB36" s="1812">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2"/>
      <c r="Q37" s="1811" t="str">
        <f t="shared" si="11"/>
        <v>成新度</v>
      </c>
      <c r="R37" s="773" t="s">
        <v>17</v>
      </c>
      <c r="S37" s="774" t="e">
        <f t="shared" si="12"/>
        <v>#N/A</v>
      </c>
      <c r="T37" s="773" t="s">
        <v>17</v>
      </c>
      <c r="U37" s="774" t="e">
        <f t="shared" si="13"/>
        <v>#N/A</v>
      </c>
      <c r="V37" s="773" t="s">
        <v>17</v>
      </c>
      <c r="W37" s="774" t="e">
        <f t="shared" si="14"/>
        <v>#N/A</v>
      </c>
      <c r="X37" s="1814"/>
      <c r="Y37" s="3184"/>
      <c r="Z37" s="1815" t="str">
        <f t="shared" si="15"/>
        <v>成新度</v>
      </c>
      <c r="AA37" s="1812" t="e">
        <f t="shared" si="3"/>
        <v>#N/A</v>
      </c>
      <c r="AB37" s="1812"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2"/>
      <c r="Q38" s="1796" t="str">
        <f t="shared" si="11"/>
        <v>写字楼等级</v>
      </c>
      <c r="R38" s="769" t="s">
        <v>17</v>
      </c>
      <c r="S38" s="770">
        <f t="shared" si="12"/>
        <v>100</v>
      </c>
      <c r="T38" s="769" t="s">
        <v>17</v>
      </c>
      <c r="U38" s="770">
        <f t="shared" si="13"/>
        <v>100</v>
      </c>
      <c r="V38" s="769" t="s">
        <v>17</v>
      </c>
      <c r="W38" s="770">
        <f t="shared" si="14"/>
        <v>100</v>
      </c>
      <c r="X38" s="771"/>
      <c r="Y38" s="3184"/>
      <c r="Z38" s="55" t="str">
        <f t="shared" si="15"/>
        <v>写字楼等级</v>
      </c>
      <c r="AA38" s="772">
        <f t="shared" si="3"/>
        <v>1</v>
      </c>
      <c r="AB38" s="772">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2" t="s">
        <v>2563</v>
      </c>
      <c r="Q39" s="1811" t="str">
        <f t="shared" si="11"/>
        <v>物业管理</v>
      </c>
      <c r="R39" s="773" t="s">
        <v>17</v>
      </c>
      <c r="S39" s="774">
        <f t="shared" si="12"/>
        <v>100</v>
      </c>
      <c r="T39" s="773" t="s">
        <v>17</v>
      </c>
      <c r="U39" s="774">
        <f t="shared" si="13"/>
        <v>100</v>
      </c>
      <c r="V39" s="773" t="s">
        <v>17</v>
      </c>
      <c r="W39" s="774">
        <f t="shared" si="14"/>
        <v>100</v>
      </c>
      <c r="X39" s="1814"/>
      <c r="Y39" s="3184" t="s">
        <v>2563</v>
      </c>
      <c r="Z39" s="1815" t="str">
        <f t="shared" si="15"/>
        <v>物业管理</v>
      </c>
      <c r="AA39" s="1812">
        <f t="shared" si="3"/>
        <v>1</v>
      </c>
      <c r="AB39" s="1812">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2"/>
      <c r="Q40" s="1811" t="str">
        <f t="shared" si="11"/>
        <v>市政基础设施</v>
      </c>
      <c r="R40" s="773" t="s">
        <v>17</v>
      </c>
      <c r="S40" s="774">
        <f t="shared" si="12"/>
        <v>100</v>
      </c>
      <c r="T40" s="773" t="s">
        <v>17</v>
      </c>
      <c r="U40" s="774">
        <f t="shared" si="13"/>
        <v>100</v>
      </c>
      <c r="V40" s="773" t="s">
        <v>17</v>
      </c>
      <c r="W40" s="774">
        <f t="shared" si="14"/>
        <v>100</v>
      </c>
      <c r="X40" s="1814"/>
      <c r="Y40" s="3184"/>
      <c r="Z40" s="1815" t="str">
        <f t="shared" si="15"/>
        <v>市政基础设施</v>
      </c>
      <c r="AA40" s="1812">
        <f t="shared" si="3"/>
        <v>1</v>
      </c>
      <c r="AB40" s="1812">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2"/>
      <c r="Q41" s="1811" t="str">
        <f t="shared" si="11"/>
        <v>层高</v>
      </c>
      <c r="R41" s="773" t="s">
        <v>17</v>
      </c>
      <c r="S41" s="774">
        <f t="shared" si="12"/>
        <v>100</v>
      </c>
      <c r="T41" s="773" t="s">
        <v>17</v>
      </c>
      <c r="U41" s="774">
        <f t="shared" si="13"/>
        <v>100</v>
      </c>
      <c r="V41" s="773" t="s">
        <v>17</v>
      </c>
      <c r="W41" s="774">
        <f t="shared" si="14"/>
        <v>100</v>
      </c>
      <c r="X41" s="1814"/>
      <c r="Y41" s="3184"/>
      <c r="Z41" s="1815" t="str">
        <f t="shared" si="15"/>
        <v>层高</v>
      </c>
      <c r="AA41" s="1812">
        <f t="shared" si="3"/>
        <v>1</v>
      </c>
      <c r="AB41" s="1812">
        <f t="shared" si="4"/>
        <v>1</v>
      </c>
      <c r="AC41" s="2675">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2"/>
      <c r="Q42" s="775" t="str">
        <f t="shared" si="11"/>
        <v>单套建筑面积</v>
      </c>
      <c r="R42" s="776" t="s">
        <v>17</v>
      </c>
      <c r="S42" s="777">
        <f t="shared" si="12"/>
        <v>100</v>
      </c>
      <c r="T42" s="776" t="s">
        <v>17</v>
      </c>
      <c r="U42" s="777">
        <f t="shared" si="13"/>
        <v>100</v>
      </c>
      <c r="V42" s="776" t="s">
        <v>17</v>
      </c>
      <c r="W42" s="777">
        <f t="shared" si="14"/>
        <v>100</v>
      </c>
      <c r="X42" s="778"/>
      <c r="Y42" s="3184"/>
      <c r="Z42" s="779" t="str">
        <f t="shared" si="15"/>
        <v>单套建筑面积</v>
      </c>
      <c r="AA42" s="1812">
        <f t="shared" si="3"/>
        <v>1</v>
      </c>
      <c r="AB42" s="1812">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2"/>
      <c r="Q43" s="1811" t="str">
        <f t="shared" si="11"/>
        <v>内部装修</v>
      </c>
      <c r="R43" s="773" t="s">
        <v>17</v>
      </c>
      <c r="S43" s="774">
        <f t="shared" si="12"/>
        <v>100</v>
      </c>
      <c r="T43" s="773" t="s">
        <v>17</v>
      </c>
      <c r="U43" s="774">
        <f t="shared" si="13"/>
        <v>100</v>
      </c>
      <c r="V43" s="773" t="s">
        <v>17</v>
      </c>
      <c r="W43" s="774">
        <f t="shared" si="14"/>
        <v>100</v>
      </c>
      <c r="X43" s="1814"/>
      <c r="Y43" s="3184"/>
      <c r="Z43" s="1815" t="str">
        <f t="shared" si="15"/>
        <v>内部装修</v>
      </c>
      <c r="AA43" s="1812">
        <f t="shared" si="3"/>
        <v>1</v>
      </c>
      <c r="AB43" s="1812">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82"/>
      <c r="Q44" s="1811" t="str">
        <f t="shared" si="11"/>
        <v>内部装修维护情况</v>
      </c>
      <c r="R44" s="773" t="s">
        <v>17</v>
      </c>
      <c r="S44" s="774">
        <f t="shared" si="12"/>
        <v>100</v>
      </c>
      <c r="T44" s="773" t="s">
        <v>17</v>
      </c>
      <c r="U44" s="774">
        <f t="shared" si="13"/>
        <v>100</v>
      </c>
      <c r="V44" s="773" t="s">
        <v>17</v>
      </c>
      <c r="W44" s="774">
        <f t="shared" si="14"/>
        <v>100</v>
      </c>
      <c r="X44" s="1814"/>
      <c r="Y44" s="3184"/>
      <c r="Z44" s="1815" t="str">
        <f t="shared" si="15"/>
        <v>内部装修维护情况</v>
      </c>
      <c r="AA44" s="1812">
        <f t="shared" si="3"/>
        <v>1</v>
      </c>
      <c r="AB44" s="1812">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2"/>
      <c r="Q45" s="1796">
        <f t="shared" si="11"/>
        <v>111</v>
      </c>
      <c r="R45" s="769" t="s">
        <v>17</v>
      </c>
      <c r="S45" s="770">
        <f t="shared" si="12"/>
        <v>100</v>
      </c>
      <c r="T45" s="769" t="s">
        <v>17</v>
      </c>
      <c r="U45" s="770">
        <f t="shared" si="13"/>
        <v>100</v>
      </c>
      <c r="V45" s="769" t="s">
        <v>17</v>
      </c>
      <c r="W45" s="770">
        <f t="shared" si="14"/>
        <v>100</v>
      </c>
      <c r="X45" s="771"/>
      <c r="Y45" s="3184"/>
      <c r="Z45" s="55">
        <f t="shared" si="15"/>
        <v>111</v>
      </c>
      <c r="AA45" s="772">
        <f t="shared" si="3"/>
        <v>1</v>
      </c>
      <c r="AB45" s="772">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2"/>
      <c r="Q46" s="1811">
        <f t="shared" si="11"/>
        <v>111</v>
      </c>
      <c r="R46" s="773" t="s">
        <v>17</v>
      </c>
      <c r="S46" s="774">
        <f t="shared" si="12"/>
        <v>100</v>
      </c>
      <c r="T46" s="773" t="s">
        <v>17</v>
      </c>
      <c r="U46" s="774">
        <f t="shared" si="13"/>
        <v>100</v>
      </c>
      <c r="V46" s="773" t="s">
        <v>17</v>
      </c>
      <c r="W46" s="774">
        <f t="shared" si="14"/>
        <v>100</v>
      </c>
      <c r="X46" s="1814"/>
      <c r="Y46" s="3184"/>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3"/>
      <c r="Q47" s="1811">
        <f t="shared" si="11"/>
        <v>111</v>
      </c>
      <c r="R47" s="773" t="s">
        <v>17</v>
      </c>
      <c r="S47" s="774">
        <f t="shared" si="12"/>
        <v>100</v>
      </c>
      <c r="T47" s="773" t="s">
        <v>17</v>
      </c>
      <c r="U47" s="774">
        <f t="shared" si="13"/>
        <v>100</v>
      </c>
      <c r="V47" s="773" t="s">
        <v>17</v>
      </c>
      <c r="W47" s="774">
        <f t="shared" si="14"/>
        <v>100</v>
      </c>
      <c r="X47" s="1814"/>
      <c r="Y47" s="3185"/>
      <c r="Z47" s="1815">
        <f t="shared" si="15"/>
        <v>111</v>
      </c>
      <c r="AA47" s="1812">
        <f t="shared" si="3"/>
        <v>1</v>
      </c>
      <c r="AB47" s="1812">
        <f t="shared" si="4"/>
        <v>1</v>
      </c>
      <c r="AC47" s="2675">
        <f t="shared" si="5"/>
        <v>1</v>
      </c>
    </row>
    <row r="48" spans="1:29" ht="15">
      <c r="A48" s="479" t="s">
        <v>2575</v>
      </c>
      <c r="B48" s="480"/>
      <c r="C48" s="1409" t="s">
        <v>1</v>
      </c>
      <c r="D48" s="1410"/>
      <c r="E48" s="1411"/>
      <c r="F48" s="1412"/>
      <c r="G48" s="1413"/>
      <c r="H48" s="1414"/>
      <c r="I48" s="1411"/>
      <c r="J48" s="485"/>
      <c r="K48" s="782"/>
      <c r="L48" s="1145"/>
      <c r="M48" s="1133"/>
      <c r="N48" s="1133"/>
      <c r="O48" s="1133"/>
      <c r="P48" s="3187" t="str">
        <f>A48</f>
        <v>成交单价（元/平方米）</v>
      </c>
      <c r="Q48" s="3172"/>
      <c r="R48" s="3173">
        <f>E48</f>
        <v>0</v>
      </c>
      <c r="S48" s="3173"/>
      <c r="T48" s="3173">
        <f>G48</f>
        <v>0</v>
      </c>
      <c r="U48" s="3173"/>
      <c r="V48" s="3173">
        <f>I48</f>
        <v>0</v>
      </c>
      <c r="W48" s="3173"/>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187"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49" t="str">
        <f>A50</f>
        <v>估价对象XX用房的比较价值（楼面单价，元/平方米）</v>
      </c>
      <c r="Q50" s="3250"/>
      <c r="R50" s="3251" t="e">
        <f>IF(F1="售价",ROUND(AVERAGE(R49:V49),0),ROUND(AVERAGE(R49:V49),1))</f>
        <v>#DIV/0!</v>
      </c>
      <c r="S50" s="3251"/>
      <c r="T50" s="3251"/>
      <c r="U50" s="3251"/>
      <c r="V50" s="3251"/>
      <c r="W50" s="3251"/>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2"/>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5" t="s">
        <v>2699</v>
      </c>
      <c r="C119" s="583"/>
      <c r="D119" s="583"/>
      <c r="E119" s="583"/>
      <c r="F119" s="583"/>
      <c r="G119" s="583"/>
      <c r="H119" s="583"/>
      <c r="I119" s="583"/>
      <c r="J119" s="583"/>
      <c r="K119" s="583"/>
      <c r="L119" s="2690"/>
      <c r="M119" s="2691"/>
      <c r="N119" s="1155"/>
      <c r="O119" s="1155"/>
      <c r="P119" s="2692"/>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34044.230000000003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9" t="s">
        <v>2646</v>
      </c>
      <c r="AC4" s="3188" t="s">
        <v>2647</v>
      </c>
    </row>
    <row r="5" spans="1:29" ht="15">
      <c r="A5" s="404"/>
      <c r="B5" s="405"/>
      <c r="C5" s="3246" t="s">
        <v>2540</v>
      </c>
      <c r="D5" s="3210"/>
      <c r="E5" s="3248" t="s">
        <v>2541</v>
      </c>
      <c r="F5" s="3218"/>
      <c r="G5" s="3246" t="s">
        <v>2542</v>
      </c>
      <c r="H5" s="3210"/>
      <c r="I5" s="3246" t="s">
        <v>2543</v>
      </c>
      <c r="J5" s="3210"/>
      <c r="K5" s="610"/>
      <c r="L5" s="1132"/>
      <c r="M5" s="1133"/>
      <c r="N5" s="1133"/>
      <c r="O5" s="1133"/>
      <c r="P5" s="3197"/>
      <c r="Q5" s="3198"/>
      <c r="R5" s="3203"/>
      <c r="S5" s="3204"/>
      <c r="T5" s="3203"/>
      <c r="U5" s="3204"/>
      <c r="V5" s="3186"/>
      <c r="W5" s="3186"/>
      <c r="X5" s="1814"/>
      <c r="Y5" s="3203"/>
      <c r="Z5" s="3204"/>
      <c r="AA5" s="3189"/>
      <c r="AB5" s="3189"/>
      <c r="AC5" s="3189"/>
    </row>
    <row r="6" spans="1:29" ht="15.75" thickBot="1">
      <c r="A6" s="406"/>
      <c r="B6" s="407"/>
      <c r="C6" s="3214" t="s">
        <v>2544</v>
      </c>
      <c r="D6" s="3208"/>
      <c r="E6" s="3247" t="s">
        <v>2544</v>
      </c>
      <c r="F6" s="3216"/>
      <c r="G6" s="3214" t="s">
        <v>2544</v>
      </c>
      <c r="H6" s="3208"/>
      <c r="I6" s="3214" t="s">
        <v>2544</v>
      </c>
      <c r="J6" s="3208"/>
      <c r="K6" s="610" t="s">
        <v>2545</v>
      </c>
      <c r="L6" s="1132"/>
      <c r="M6" s="1133"/>
      <c r="N6" s="1133"/>
      <c r="O6" s="1133"/>
      <c r="P6" s="3199"/>
      <c r="Q6" s="3200"/>
      <c r="R6" s="3203"/>
      <c r="S6" s="3204"/>
      <c r="T6" s="3205"/>
      <c r="U6" s="3206"/>
      <c r="V6" s="3186"/>
      <c r="W6" s="3186"/>
      <c r="X6" s="1814"/>
      <c r="Y6" s="3205"/>
      <c r="Z6" s="3206"/>
      <c r="AA6" s="3190"/>
      <c r="AB6" s="3190"/>
      <c r="AC6" s="3190"/>
    </row>
    <row r="7" spans="1:29" s="117" customFormat="1" ht="15.75" thickBot="1">
      <c r="A7" s="408" t="s">
        <v>2546</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1" t="s">
        <v>2547</v>
      </c>
      <c r="Q7" s="3213"/>
      <c r="R7" s="769" t="s">
        <v>17</v>
      </c>
      <c r="S7" s="770">
        <f t="shared" ref="S7:S15" si="0">F7</f>
        <v>0</v>
      </c>
      <c r="T7" s="769" t="s">
        <v>17</v>
      </c>
      <c r="U7" s="770">
        <f t="shared" ref="U7:U15" si="1">H7</f>
        <v>0</v>
      </c>
      <c r="V7" s="769" t="s">
        <v>17</v>
      </c>
      <c r="W7" s="770">
        <f t="shared" ref="W7:W15" si="2">J7</f>
        <v>0</v>
      </c>
      <c r="X7" s="771"/>
      <c r="Y7" s="3211" t="s">
        <v>2547</v>
      </c>
      <c r="Z7" s="3212"/>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1" t="s">
        <v>2550</v>
      </c>
      <c r="Q8" s="3212"/>
      <c r="R8" s="769" t="s">
        <v>17</v>
      </c>
      <c r="S8" s="770">
        <f t="shared" si="0"/>
        <v>0</v>
      </c>
      <c r="T8" s="769" t="s">
        <v>17</v>
      </c>
      <c r="U8" s="770">
        <f t="shared" si="1"/>
        <v>0</v>
      </c>
      <c r="V8" s="769" t="s">
        <v>17</v>
      </c>
      <c r="W8" s="770">
        <f t="shared" si="2"/>
        <v>0</v>
      </c>
      <c r="X8" s="771"/>
      <c r="Y8" s="3211" t="s">
        <v>2550</v>
      </c>
      <c r="Z8" s="3212"/>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2"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9" t="s">
        <v>2558</v>
      </c>
      <c r="Q15" s="1811" t="str">
        <f t="shared" si="6"/>
        <v>产业集聚程度</v>
      </c>
      <c r="R15" s="773" t="s">
        <v>17</v>
      </c>
      <c r="S15" s="774">
        <f t="shared" si="0"/>
        <v>100</v>
      </c>
      <c r="T15" s="773" t="s">
        <v>17</v>
      </c>
      <c r="U15" s="774">
        <f t="shared" si="1"/>
        <v>100</v>
      </c>
      <c r="V15" s="773" t="s">
        <v>17</v>
      </c>
      <c r="W15" s="774">
        <f t="shared" si="2"/>
        <v>100</v>
      </c>
      <c r="X15" s="1814"/>
      <c r="Y15" s="3179"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180"/>
      <c r="Q16" s="1811"/>
      <c r="R16" s="773"/>
      <c r="S16" s="774"/>
      <c r="T16" s="773"/>
      <c r="U16" s="774"/>
      <c r="V16" s="773"/>
      <c r="W16" s="774"/>
      <c r="X16" s="1814"/>
      <c r="Y16" s="3180"/>
      <c r="Z16" s="1815"/>
      <c r="AA16" s="1812">
        <v>1</v>
      </c>
      <c r="AB16" s="1812">
        <v>1</v>
      </c>
      <c r="AC16" s="1812">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0"/>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2"/>
      <c r="M18" s="1133"/>
      <c r="N18" s="1133"/>
      <c r="O18" s="1141"/>
      <c r="P18" s="3180"/>
      <c r="Q18" s="1811"/>
      <c r="R18" s="773"/>
      <c r="S18" s="774"/>
      <c r="T18" s="773"/>
      <c r="U18" s="774"/>
      <c r="V18" s="773"/>
      <c r="W18" s="774"/>
      <c r="X18" s="1814"/>
      <c r="Y18" s="3180"/>
      <c r="Z18" s="1815"/>
      <c r="AA18" s="1812">
        <v>1</v>
      </c>
      <c r="AB18" s="1812">
        <v>1</v>
      </c>
      <c r="AC18" s="1812">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0"/>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2"/>
      <c r="M20" s="1133"/>
      <c r="N20" s="1133"/>
      <c r="O20" s="1141"/>
      <c r="P20" s="3180"/>
      <c r="Q20" s="1811"/>
      <c r="R20" s="773"/>
      <c r="S20" s="774"/>
      <c r="T20" s="773"/>
      <c r="U20" s="774"/>
      <c r="V20" s="773"/>
      <c r="W20" s="774"/>
      <c r="X20" s="1814"/>
      <c r="Y20" s="3180"/>
      <c r="Z20" s="1815"/>
      <c r="AA20" s="1812">
        <v>1</v>
      </c>
      <c r="AB20" s="1812">
        <v>1</v>
      </c>
      <c r="AC20" s="1812">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0"/>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9"/>
      <c r="G22" s="447"/>
      <c r="H22" s="448"/>
      <c r="I22" s="447"/>
      <c r="J22" s="448"/>
      <c r="K22" s="1385"/>
      <c r="L22" s="1142"/>
      <c r="M22" s="1133"/>
      <c r="N22" s="1133"/>
      <c r="O22" s="1141"/>
      <c r="P22" s="3180"/>
      <c r="Q22" s="1811"/>
      <c r="R22" s="773"/>
      <c r="S22" s="774"/>
      <c r="T22" s="773"/>
      <c r="U22" s="774"/>
      <c r="V22" s="773"/>
      <c r="W22" s="774"/>
      <c r="X22" s="1814"/>
      <c r="Y22" s="3180"/>
      <c r="Z22" s="1815"/>
      <c r="AA22" s="1812">
        <v>1</v>
      </c>
      <c r="AB22" s="1812">
        <v>1</v>
      </c>
      <c r="AC22" s="1812">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0"/>
      <c r="Q23" s="1811" t="str">
        <f>B23</f>
        <v>环境质量</v>
      </c>
      <c r="R23" s="773" t="s">
        <v>17</v>
      </c>
      <c r="S23" s="774">
        <f>F23</f>
        <v>100</v>
      </c>
      <c r="T23" s="773" t="s">
        <v>17</v>
      </c>
      <c r="U23" s="774">
        <f>H23</f>
        <v>100</v>
      </c>
      <c r="V23" s="773" t="s">
        <v>17</v>
      </c>
      <c r="W23" s="774">
        <f>J23</f>
        <v>100</v>
      </c>
      <c r="X23" s="1814"/>
      <c r="Y23" s="3180"/>
      <c r="Z23" s="1815" t="str">
        <f>Q23</f>
        <v>环境质量</v>
      </c>
      <c r="AA23" s="1812">
        <f t="shared" si="3"/>
        <v>1</v>
      </c>
      <c r="AB23" s="1812">
        <f t="shared" si="4"/>
        <v>1</v>
      </c>
      <c r="AC23" s="1812">
        <f t="shared" si="5"/>
        <v>1</v>
      </c>
    </row>
    <row r="24" spans="1:29" ht="15">
      <c r="A24" s="428"/>
      <c r="B24" s="1386"/>
      <c r="C24" s="447"/>
      <c r="D24" s="448"/>
      <c r="E24" s="2606"/>
      <c r="F24" s="449"/>
      <c r="G24" s="2605"/>
      <c r="H24" s="448"/>
      <c r="I24" s="2606"/>
      <c r="J24" s="448"/>
      <c r="K24" s="615"/>
      <c r="L24" s="1142"/>
      <c r="M24" s="1133"/>
      <c r="N24" s="1133"/>
      <c r="O24" s="1141"/>
      <c r="P24" s="3180"/>
      <c r="Q24" s="1811"/>
      <c r="R24" s="773"/>
      <c r="S24" s="774"/>
      <c r="T24" s="773"/>
      <c r="U24" s="774"/>
      <c r="V24" s="773"/>
      <c r="W24" s="774"/>
      <c r="X24" s="1814"/>
      <c r="Y24" s="3180"/>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0"/>
      <c r="Q25" s="1811">
        <f>B25</f>
        <v>111</v>
      </c>
      <c r="R25" s="773" t="s">
        <v>17</v>
      </c>
      <c r="S25" s="774">
        <f>F25</f>
        <v>100</v>
      </c>
      <c r="T25" s="773" t="s">
        <v>17</v>
      </c>
      <c r="U25" s="774">
        <f>H25</f>
        <v>100</v>
      </c>
      <c r="V25" s="773" t="s">
        <v>17</v>
      </c>
      <c r="W25" s="774">
        <f>J25</f>
        <v>100</v>
      </c>
      <c r="X25" s="1814"/>
      <c r="Y25" s="3180"/>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0"/>
      <c r="Q26" s="1811">
        <f t="shared" ref="Q26:Q40" si="11">B26</f>
        <v>111</v>
      </c>
      <c r="R26" s="773" t="s">
        <v>17</v>
      </c>
      <c r="S26" s="774">
        <f>F26</f>
        <v>100</v>
      </c>
      <c r="T26" s="773" t="s">
        <v>17</v>
      </c>
      <c r="U26" s="774">
        <f>H26</f>
        <v>100</v>
      </c>
      <c r="V26" s="773" t="s">
        <v>17</v>
      </c>
      <c r="W26" s="774">
        <f>J26</f>
        <v>100</v>
      </c>
      <c r="X26" s="1814"/>
      <c r="Y26" s="3180"/>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0"/>
      <c r="Q27" s="1796">
        <f t="shared" si="11"/>
        <v>111</v>
      </c>
      <c r="R27" s="769" t="s">
        <v>17</v>
      </c>
      <c r="S27" s="770">
        <f>F27</f>
        <v>100</v>
      </c>
      <c r="T27" s="769" t="s">
        <v>17</v>
      </c>
      <c r="U27" s="770">
        <f>H27</f>
        <v>100</v>
      </c>
      <c r="V27" s="769" t="s">
        <v>17</v>
      </c>
      <c r="W27" s="770">
        <f>J27</f>
        <v>100</v>
      </c>
      <c r="X27" s="771"/>
      <c r="Y27" s="3180"/>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0"/>
      <c r="Q28" s="1811">
        <f t="shared" si="11"/>
        <v>111</v>
      </c>
      <c r="R28" s="773" t="s">
        <v>17</v>
      </c>
      <c r="S28" s="774">
        <f t="shared" ref="S28:S40" si="12">F28</f>
        <v>100</v>
      </c>
      <c r="T28" s="773" t="s">
        <v>17</v>
      </c>
      <c r="U28" s="774">
        <f t="shared" ref="U28:U40" si="13">H28</f>
        <v>100</v>
      </c>
      <c r="V28" s="773" t="s">
        <v>17</v>
      </c>
      <c r="W28" s="774">
        <f t="shared" ref="W28:W40" si="14">J28</f>
        <v>100</v>
      </c>
      <c r="X28" s="1814"/>
      <c r="Y28" s="3180"/>
      <c r="Z28" s="1815">
        <f t="shared" ref="Z28:Z40" si="15">Q28</f>
        <v>111</v>
      </c>
      <c r="AA28" s="1812">
        <f t="shared" si="3"/>
        <v>1</v>
      </c>
      <c r="AB28" s="1812">
        <f t="shared" si="4"/>
        <v>1</v>
      </c>
      <c r="AC28" s="1812">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64" t="s">
        <v>2563</v>
      </c>
      <c r="Q29" s="1811" t="str">
        <f t="shared" si="11"/>
        <v>建筑类型</v>
      </c>
      <c r="R29" s="773" t="s">
        <v>17</v>
      </c>
      <c r="S29" s="774">
        <f t="shared" si="12"/>
        <v>100</v>
      </c>
      <c r="T29" s="773" t="s">
        <v>17</v>
      </c>
      <c r="U29" s="774">
        <f t="shared" si="13"/>
        <v>100</v>
      </c>
      <c r="V29" s="773" t="s">
        <v>17</v>
      </c>
      <c r="W29" s="774">
        <f t="shared" si="14"/>
        <v>100</v>
      </c>
      <c r="X29" s="1814"/>
      <c r="Y29" s="3184"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4"/>
      <c r="Q30" s="775" t="str">
        <f t="shared" si="11"/>
        <v>项目建筑规模</v>
      </c>
      <c r="R30" s="776" t="s">
        <v>17</v>
      </c>
      <c r="S30" s="777" t="e">
        <f t="shared" si="12"/>
        <v>#N/A</v>
      </c>
      <c r="T30" s="776" t="s">
        <v>17</v>
      </c>
      <c r="U30" s="777" t="e">
        <f t="shared" si="13"/>
        <v>#N/A</v>
      </c>
      <c r="V30" s="776" t="s">
        <v>17</v>
      </c>
      <c r="W30" s="777" t="e">
        <f t="shared" si="14"/>
        <v>#N/A</v>
      </c>
      <c r="X30" s="778"/>
      <c r="Y30" s="3184"/>
      <c r="Z30" s="779"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4"/>
      <c r="Q31" s="1811" t="str">
        <f t="shared" si="11"/>
        <v>建筑结构</v>
      </c>
      <c r="R31" s="773" t="s">
        <v>17</v>
      </c>
      <c r="S31" s="774">
        <f t="shared" si="12"/>
        <v>100</v>
      </c>
      <c r="T31" s="773" t="s">
        <v>17</v>
      </c>
      <c r="U31" s="774">
        <f t="shared" si="13"/>
        <v>100</v>
      </c>
      <c r="V31" s="773" t="s">
        <v>17</v>
      </c>
      <c r="W31" s="774">
        <f t="shared" si="14"/>
        <v>100</v>
      </c>
      <c r="X31" s="1814"/>
      <c r="Y31" s="3184"/>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4"/>
      <c r="Q32" s="1811" t="str">
        <f t="shared" si="11"/>
        <v>公共部分装修</v>
      </c>
      <c r="R32" s="773" t="s">
        <v>17</v>
      </c>
      <c r="S32" s="774">
        <f t="shared" si="12"/>
        <v>100</v>
      </c>
      <c r="T32" s="773" t="s">
        <v>17</v>
      </c>
      <c r="U32" s="774">
        <f t="shared" si="13"/>
        <v>100</v>
      </c>
      <c r="V32" s="773" t="s">
        <v>17</v>
      </c>
      <c r="W32" s="774">
        <f t="shared" si="14"/>
        <v>100</v>
      </c>
      <c r="X32" s="1814"/>
      <c r="Y32" s="3184"/>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4"/>
      <c r="Q33" s="1811" t="str">
        <f t="shared" si="11"/>
        <v>成新度</v>
      </c>
      <c r="R33" s="773" t="s">
        <v>17</v>
      </c>
      <c r="S33" s="774" t="e">
        <f t="shared" si="12"/>
        <v>#N/A</v>
      </c>
      <c r="T33" s="773" t="s">
        <v>17</v>
      </c>
      <c r="U33" s="774" t="e">
        <f t="shared" si="13"/>
        <v>#N/A</v>
      </c>
      <c r="V33" s="773" t="s">
        <v>17</v>
      </c>
      <c r="W33" s="774" t="e">
        <f t="shared" si="14"/>
        <v>#N/A</v>
      </c>
      <c r="X33" s="1814"/>
      <c r="Y33" s="3184"/>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4"/>
      <c r="Q34" s="1796" t="str">
        <f t="shared" si="11"/>
        <v>物业管理</v>
      </c>
      <c r="R34" s="769" t="s">
        <v>17</v>
      </c>
      <c r="S34" s="770">
        <f t="shared" si="12"/>
        <v>100</v>
      </c>
      <c r="T34" s="769" t="s">
        <v>17</v>
      </c>
      <c r="U34" s="770">
        <f t="shared" si="13"/>
        <v>100</v>
      </c>
      <c r="V34" s="769" t="s">
        <v>17</v>
      </c>
      <c r="W34" s="770">
        <f t="shared" si="14"/>
        <v>100</v>
      </c>
      <c r="X34" s="771"/>
      <c r="Y34" s="3184"/>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4" t="s">
        <v>2563</v>
      </c>
      <c r="Q35" s="1811" t="str">
        <f t="shared" si="11"/>
        <v>市政基础设施</v>
      </c>
      <c r="R35" s="773" t="s">
        <v>17</v>
      </c>
      <c r="S35" s="774">
        <f t="shared" si="12"/>
        <v>100</v>
      </c>
      <c r="T35" s="773" t="s">
        <v>17</v>
      </c>
      <c r="U35" s="774">
        <f t="shared" si="13"/>
        <v>100</v>
      </c>
      <c r="V35" s="773" t="s">
        <v>17</v>
      </c>
      <c r="W35" s="774">
        <f t="shared" si="14"/>
        <v>100</v>
      </c>
      <c r="X35" s="1814"/>
      <c r="Y35" s="3184"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4"/>
      <c r="Q36" s="1811" t="str">
        <f t="shared" si="11"/>
        <v>内部装修</v>
      </c>
      <c r="R36" s="773" t="s">
        <v>17</v>
      </c>
      <c r="S36" s="774">
        <f t="shared" si="12"/>
        <v>100</v>
      </c>
      <c r="T36" s="773" t="s">
        <v>17</v>
      </c>
      <c r="U36" s="774">
        <f t="shared" si="13"/>
        <v>100</v>
      </c>
      <c r="V36" s="773" t="s">
        <v>17</v>
      </c>
      <c r="W36" s="774">
        <f t="shared" si="14"/>
        <v>100</v>
      </c>
      <c r="X36" s="1814"/>
      <c r="Y36" s="3184"/>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4"/>
      <c r="Q37" s="1811" t="str">
        <f t="shared" si="11"/>
        <v>内部装修状况</v>
      </c>
      <c r="R37" s="773" t="s">
        <v>17</v>
      </c>
      <c r="S37" s="774">
        <f t="shared" si="12"/>
        <v>100</v>
      </c>
      <c r="T37" s="773" t="s">
        <v>17</v>
      </c>
      <c r="U37" s="774">
        <f t="shared" si="13"/>
        <v>100</v>
      </c>
      <c r="V37" s="773" t="s">
        <v>17</v>
      </c>
      <c r="W37" s="774">
        <f t="shared" si="14"/>
        <v>100</v>
      </c>
      <c r="X37" s="1814"/>
      <c r="Y37" s="3184"/>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4"/>
      <c r="Q38" s="775">
        <f t="shared" si="11"/>
        <v>111</v>
      </c>
      <c r="R38" s="776" t="s">
        <v>17</v>
      </c>
      <c r="S38" s="777">
        <f t="shared" si="12"/>
        <v>100</v>
      </c>
      <c r="T38" s="776" t="s">
        <v>17</v>
      </c>
      <c r="U38" s="777">
        <f t="shared" si="13"/>
        <v>100</v>
      </c>
      <c r="V38" s="776" t="s">
        <v>17</v>
      </c>
      <c r="W38" s="777">
        <f t="shared" si="14"/>
        <v>100</v>
      </c>
      <c r="X38" s="778"/>
      <c r="Y38" s="3184"/>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4"/>
      <c r="Q39" s="1811">
        <f t="shared" si="11"/>
        <v>111</v>
      </c>
      <c r="R39" s="773" t="s">
        <v>17</v>
      </c>
      <c r="S39" s="774">
        <f t="shared" si="12"/>
        <v>100</v>
      </c>
      <c r="T39" s="773" t="s">
        <v>17</v>
      </c>
      <c r="U39" s="774">
        <f t="shared" si="13"/>
        <v>100</v>
      </c>
      <c r="V39" s="773" t="s">
        <v>17</v>
      </c>
      <c r="W39" s="774">
        <f t="shared" si="14"/>
        <v>100</v>
      </c>
      <c r="X39" s="1814"/>
      <c r="Y39" s="3184"/>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5"/>
      <c r="Q40" s="1811">
        <f t="shared" si="11"/>
        <v>111</v>
      </c>
      <c r="R40" s="773" t="s">
        <v>17</v>
      </c>
      <c r="S40" s="774">
        <f t="shared" si="12"/>
        <v>100</v>
      </c>
      <c r="T40" s="773" t="s">
        <v>17</v>
      </c>
      <c r="U40" s="774">
        <f t="shared" si="13"/>
        <v>100</v>
      </c>
      <c r="V40" s="773" t="s">
        <v>17</v>
      </c>
      <c r="W40" s="774">
        <f t="shared" si="14"/>
        <v>100</v>
      </c>
      <c r="X40" s="1814"/>
      <c r="Y40" s="3185"/>
      <c r="Z40" s="1815">
        <f t="shared" si="15"/>
        <v>111</v>
      </c>
      <c r="AA40" s="1812">
        <f t="shared" si="3"/>
        <v>1</v>
      </c>
      <c r="AB40" s="1812">
        <f t="shared" si="4"/>
        <v>1</v>
      </c>
      <c r="AC40" s="1812">
        <f t="shared" si="5"/>
        <v>1</v>
      </c>
    </row>
    <row r="41" spans="1:29" ht="15">
      <c r="A41" s="479" t="s">
        <v>2575</v>
      </c>
      <c r="B41" s="480"/>
      <c r="C41" s="1409" t="s">
        <v>1</v>
      </c>
      <c r="D41" s="1410"/>
      <c r="E41" s="1411"/>
      <c r="F41" s="1412"/>
      <c r="G41" s="1413"/>
      <c r="H41" s="1414"/>
      <c r="I41" s="1411"/>
      <c r="J41" s="1414"/>
      <c r="K41" s="782"/>
      <c r="L41" s="1145"/>
      <c r="M41" s="1146"/>
      <c r="N41" s="1133"/>
      <c r="O41" s="1146"/>
      <c r="P41" s="3172" t="str">
        <f>A41</f>
        <v>成交单价（元/平方米）</v>
      </c>
      <c r="Q41" s="3172"/>
      <c r="R41" s="3173">
        <f>E41</f>
        <v>0</v>
      </c>
      <c r="S41" s="3173"/>
      <c r="T41" s="3173">
        <f>G41</f>
        <v>0</v>
      </c>
      <c r="U41" s="3173"/>
      <c r="V41" s="3173">
        <f>I41</f>
        <v>0</v>
      </c>
      <c r="W41" s="3173"/>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174" t="str">
        <f>A43</f>
        <v>估价对象XX用房的比较价值（楼面单价，元/平方米）</v>
      </c>
      <c r="Q43" s="3175"/>
      <c r="R43" s="3176" t="e">
        <f>IF(F1="售价",ROUND(AVERAGE(R42:V42),0),ROUND(AVERAGE(R42:V42),1))</f>
        <v>#DIV/0!</v>
      </c>
      <c r="S43" s="3176"/>
      <c r="T43" s="3176"/>
      <c r="U43" s="3176"/>
      <c r="V43" s="3176"/>
      <c r="W43" s="317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河南华仪置业发展有限公司：</v>
      </c>
    </row>
    <row r="4" spans="1:1" ht="36">
      <c r="A4" s="1949" t="str">
        <f>"受贵公司委托，我公司对"&amp;项目基本情况!S1&amp;"进行了预评估。"</f>
        <v>受贵公司委托，我公司对河南省信阳市浉河区车站街道办事处工区路135号富丽华城市花园南虹广场1、2、3号商业楼房地产抵押价值进行了预评估。</v>
      </c>
    </row>
    <row r="5" spans="1:1" ht="18.75">
      <c r="A5" s="1950" t="s">
        <v>1612</v>
      </c>
    </row>
    <row r="6" spans="1:1" ht="18.75">
      <c r="A6" s="1951" t="s">
        <v>1613</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2018年7月26日（评估专业人员实地查勘之日）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9" t="s">
        <v>2646</v>
      </c>
      <c r="AC4" s="3188" t="s">
        <v>2647</v>
      </c>
    </row>
    <row r="5" spans="1:29" ht="15">
      <c r="A5" s="404"/>
      <c r="B5" s="405"/>
      <c r="C5" s="3246" t="s">
        <v>2540</v>
      </c>
      <c r="D5" s="3210"/>
      <c r="E5" s="3248" t="s">
        <v>2541</v>
      </c>
      <c r="F5" s="3218"/>
      <c r="G5" s="3246" t="s">
        <v>2542</v>
      </c>
      <c r="H5" s="3210"/>
      <c r="I5" s="3246" t="s">
        <v>2543</v>
      </c>
      <c r="J5" s="3210"/>
      <c r="K5" s="610"/>
      <c r="L5" s="1132"/>
      <c r="M5" s="1133"/>
      <c r="N5" s="1133"/>
      <c r="O5" s="1133"/>
      <c r="P5" s="3197"/>
      <c r="Q5" s="3198"/>
      <c r="R5" s="3203"/>
      <c r="S5" s="3204"/>
      <c r="T5" s="3203"/>
      <c r="U5" s="3204"/>
      <c r="V5" s="3186"/>
      <c r="W5" s="3186"/>
      <c r="X5" s="1814"/>
      <c r="Y5" s="3203"/>
      <c r="Z5" s="3204"/>
      <c r="AA5" s="3189"/>
      <c r="AB5" s="3189"/>
      <c r="AC5" s="3189"/>
    </row>
    <row r="6" spans="1:29" ht="15.75" thickBot="1">
      <c r="A6" s="406"/>
      <c r="B6" s="407"/>
      <c r="C6" s="3214" t="s">
        <v>2544</v>
      </c>
      <c r="D6" s="3208"/>
      <c r="E6" s="3247" t="s">
        <v>2544</v>
      </c>
      <c r="F6" s="3216"/>
      <c r="G6" s="3214" t="s">
        <v>2544</v>
      </c>
      <c r="H6" s="3208"/>
      <c r="I6" s="3214" t="s">
        <v>2544</v>
      </c>
      <c r="J6" s="3208"/>
      <c r="K6" s="610" t="s">
        <v>2545</v>
      </c>
      <c r="L6" s="1132"/>
      <c r="M6" s="1133"/>
      <c r="N6" s="1133"/>
      <c r="O6" s="1133"/>
      <c r="P6" s="3199"/>
      <c r="Q6" s="3200"/>
      <c r="R6" s="3203"/>
      <c r="S6" s="3204"/>
      <c r="T6" s="3205"/>
      <c r="U6" s="3206"/>
      <c r="V6" s="3186"/>
      <c r="W6" s="3186"/>
      <c r="X6" s="1814"/>
      <c r="Y6" s="3205"/>
      <c r="Z6" s="3206"/>
      <c r="AA6" s="3190"/>
      <c r="AB6" s="3190"/>
      <c r="AC6" s="3190"/>
    </row>
    <row r="7" spans="1:29" s="117" customFormat="1" ht="15.75" thickBot="1">
      <c r="A7" s="408" t="s">
        <v>2546</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1" t="s">
        <v>2547</v>
      </c>
      <c r="Q7" s="3213"/>
      <c r="R7" s="769" t="s">
        <v>17</v>
      </c>
      <c r="S7" s="770">
        <f t="shared" ref="S7:S14" si="0">F7</f>
        <v>0</v>
      </c>
      <c r="T7" s="769" t="s">
        <v>17</v>
      </c>
      <c r="U7" s="770">
        <f t="shared" ref="U7:U14" si="1">H7</f>
        <v>0</v>
      </c>
      <c r="V7" s="769" t="s">
        <v>17</v>
      </c>
      <c r="W7" s="770">
        <f t="shared" ref="W7:W14" si="2">J7</f>
        <v>0</v>
      </c>
      <c r="X7" s="771"/>
      <c r="Y7" s="3211" t="s">
        <v>2547</v>
      </c>
      <c r="Z7" s="3212"/>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1" t="s">
        <v>2550</v>
      </c>
      <c r="Q8" s="3212"/>
      <c r="R8" s="769" t="s">
        <v>17</v>
      </c>
      <c r="S8" s="770">
        <f t="shared" si="0"/>
        <v>0</v>
      </c>
      <c r="T8" s="769" t="s">
        <v>17</v>
      </c>
      <c r="U8" s="770">
        <f t="shared" si="1"/>
        <v>0</v>
      </c>
      <c r="V8" s="769" t="s">
        <v>17</v>
      </c>
      <c r="W8" s="770">
        <f t="shared" si="2"/>
        <v>0</v>
      </c>
      <c r="X8" s="771"/>
      <c r="Y8" s="3211" t="s">
        <v>2550</v>
      </c>
      <c r="Z8" s="3212"/>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2" t="s">
        <v>2553</v>
      </c>
      <c r="Q9" s="1796" t="str">
        <f t="shared" ref="Q9:Q14" si="6">B9</f>
        <v>用途</v>
      </c>
      <c r="R9" s="769" t="s">
        <v>17</v>
      </c>
      <c r="S9" s="770">
        <f t="shared" si="0"/>
        <v>100</v>
      </c>
      <c r="T9" s="769" t="s">
        <v>17</v>
      </c>
      <c r="U9" s="770">
        <f t="shared" si="1"/>
        <v>100</v>
      </c>
      <c r="V9" s="769" t="s">
        <v>17</v>
      </c>
      <c r="W9" s="770">
        <f t="shared" si="2"/>
        <v>100</v>
      </c>
      <c r="X9" s="771"/>
      <c r="Y9" s="3027"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2"/>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2"/>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2"/>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2"/>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99.75">
      <c r="A14" s="401" t="s">
        <v>2557</v>
      </c>
      <c r="B14" s="628" t="s">
        <v>2707</v>
      </c>
      <c r="C14" s="2694"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9" t="s">
        <v>2558</v>
      </c>
      <c r="Q14" s="1811" t="str">
        <f t="shared" si="6"/>
        <v>交通便捷度</v>
      </c>
      <c r="R14" s="773" t="s">
        <v>17</v>
      </c>
      <c r="S14" s="774">
        <f t="shared" si="0"/>
        <v>100</v>
      </c>
      <c r="T14" s="773" t="s">
        <v>17</v>
      </c>
      <c r="U14" s="774">
        <f t="shared" si="1"/>
        <v>100</v>
      </c>
      <c r="V14" s="773" t="s">
        <v>17</v>
      </c>
      <c r="W14" s="774">
        <f t="shared" si="2"/>
        <v>100</v>
      </c>
      <c r="X14" s="1814"/>
      <c r="Y14" s="3179" t="s">
        <v>2558</v>
      </c>
      <c r="Z14" s="1815" t="str">
        <f t="shared" si="7"/>
        <v>交通便捷度</v>
      </c>
      <c r="AA14" s="1812">
        <f t="shared" si="3"/>
        <v>1</v>
      </c>
      <c r="AB14" s="1812">
        <f t="shared" si="4"/>
        <v>1</v>
      </c>
      <c r="AC14" s="1812">
        <f t="shared" si="5"/>
        <v>1</v>
      </c>
    </row>
    <row r="15" spans="1:29" ht="15">
      <c r="A15" s="404"/>
      <c r="B15" s="646"/>
      <c r="C15" s="447"/>
      <c r="D15" s="448"/>
      <c r="E15" s="447"/>
      <c r="F15" s="449"/>
      <c r="G15" s="447"/>
      <c r="H15" s="450"/>
      <c r="I15" s="447"/>
      <c r="J15" s="448"/>
      <c r="K15" s="615"/>
      <c r="L15" s="1142"/>
      <c r="M15" s="1133"/>
      <c r="N15" s="1133"/>
      <c r="O15" s="1133"/>
      <c r="P15" s="3180"/>
      <c r="Q15" s="1811"/>
      <c r="R15" s="773"/>
      <c r="S15" s="774"/>
      <c r="T15" s="773"/>
      <c r="U15" s="774"/>
      <c r="V15" s="773"/>
      <c r="W15" s="774"/>
      <c r="X15" s="1814"/>
      <c r="Y15" s="3180"/>
      <c r="Z15" s="1815"/>
      <c r="AA15" s="1812">
        <v>1</v>
      </c>
      <c r="AB15" s="1812">
        <v>1</v>
      </c>
      <c r="AC15" s="1812">
        <v>1</v>
      </c>
    </row>
    <row r="16" spans="1:29" ht="42.75">
      <c r="A16" s="404"/>
      <c r="B16" s="630"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0"/>
      <c r="Q16" s="1811" t="str">
        <f>B16</f>
        <v>公共配套设施</v>
      </c>
      <c r="R16" s="773" t="s">
        <v>17</v>
      </c>
      <c r="S16" s="774">
        <f>F16</f>
        <v>100</v>
      </c>
      <c r="T16" s="773" t="s">
        <v>17</v>
      </c>
      <c r="U16" s="774">
        <f>H16</f>
        <v>100</v>
      </c>
      <c r="V16" s="773" t="s">
        <v>17</v>
      </c>
      <c r="W16" s="774">
        <f>J16</f>
        <v>100</v>
      </c>
      <c r="X16" s="1814"/>
      <c r="Y16" s="3180"/>
      <c r="Z16" s="1815" t="str">
        <f>Q16</f>
        <v>公共配套设施</v>
      </c>
      <c r="AA16" s="1812">
        <f t="shared" si="3"/>
        <v>1</v>
      </c>
      <c r="AB16" s="1812">
        <f t="shared" si="4"/>
        <v>1</v>
      </c>
      <c r="AC16" s="1812">
        <f t="shared" si="5"/>
        <v>1</v>
      </c>
    </row>
    <row r="17" spans="1:29" ht="15">
      <c r="A17" s="404"/>
      <c r="B17" s="631"/>
      <c r="C17" s="2609"/>
      <c r="D17" s="448"/>
      <c r="E17" s="447"/>
      <c r="F17" s="449"/>
      <c r="G17" s="447"/>
      <c r="H17" s="448"/>
      <c r="I17" s="447"/>
      <c r="J17" s="448"/>
      <c r="K17" s="615"/>
      <c r="L17" s="1142"/>
      <c r="M17" s="1133"/>
      <c r="N17" s="1133"/>
      <c r="O17" s="1133"/>
      <c r="P17" s="3180"/>
      <c r="Q17" s="1811"/>
      <c r="R17" s="773"/>
      <c r="S17" s="774"/>
      <c r="T17" s="773"/>
      <c r="U17" s="774"/>
      <c r="V17" s="773"/>
      <c r="W17" s="774"/>
      <c r="X17" s="1814"/>
      <c r="Y17" s="3180"/>
      <c r="Z17" s="1815"/>
      <c r="AA17" s="1812">
        <v>1</v>
      </c>
      <c r="AB17" s="1812">
        <v>1</v>
      </c>
      <c r="AC17" s="1812">
        <v>1</v>
      </c>
    </row>
    <row r="18" spans="1:29" ht="28.5">
      <c r="A18" s="404"/>
      <c r="B18" s="632"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0"/>
      <c r="Q18" s="1811" t="str">
        <f>B18</f>
        <v>基础设施水平</v>
      </c>
      <c r="R18" s="773" t="s">
        <v>17</v>
      </c>
      <c r="S18" s="774">
        <f>F18</f>
        <v>100</v>
      </c>
      <c r="T18" s="773" t="s">
        <v>17</v>
      </c>
      <c r="U18" s="774">
        <f>H18</f>
        <v>100</v>
      </c>
      <c r="V18" s="773" t="s">
        <v>17</v>
      </c>
      <c r="W18" s="774">
        <f>J18</f>
        <v>100</v>
      </c>
      <c r="X18" s="1814"/>
      <c r="Y18" s="3180"/>
      <c r="Z18" s="1815" t="str">
        <f>Q18</f>
        <v>基础设施水平</v>
      </c>
      <c r="AA18" s="1812">
        <f t="shared" ref="AA18" si="8">D18/F18</f>
        <v>1</v>
      </c>
      <c r="AB18" s="1812">
        <f t="shared" ref="AB18" si="9">D18/H18</f>
        <v>1</v>
      </c>
      <c r="AC18" s="1812">
        <f t="shared" ref="AC18" si="10">D18/J18</f>
        <v>1</v>
      </c>
    </row>
    <row r="19" spans="1:29" ht="15">
      <c r="A19" s="404"/>
      <c r="B19" s="632"/>
      <c r="C19" s="2609"/>
      <c r="D19" s="450"/>
      <c r="E19" s="2609"/>
      <c r="F19" s="453"/>
      <c r="G19" s="2609"/>
      <c r="H19" s="448"/>
      <c r="I19" s="447"/>
      <c r="J19" s="448"/>
      <c r="K19" s="1385"/>
      <c r="L19" s="1142"/>
      <c r="M19" s="1133"/>
      <c r="N19" s="1133"/>
      <c r="O19" s="1133"/>
      <c r="P19" s="3180"/>
      <c r="Q19" s="1811"/>
      <c r="R19" s="773"/>
      <c r="S19" s="774"/>
      <c r="T19" s="773"/>
      <c r="U19" s="774"/>
      <c r="V19" s="773"/>
      <c r="W19" s="774"/>
      <c r="X19" s="1814"/>
      <c r="Y19" s="3180"/>
      <c r="Z19" s="1815"/>
      <c r="AA19" s="1812">
        <v>1</v>
      </c>
      <c r="AB19" s="1812">
        <v>1</v>
      </c>
      <c r="AC19" s="1812">
        <v>1</v>
      </c>
    </row>
    <row r="20" spans="1:29" ht="57">
      <c r="A20" s="404"/>
      <c r="B20" s="630"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0"/>
      <c r="Q20" s="1811" t="str">
        <f>B20</f>
        <v>自然及人文环境</v>
      </c>
      <c r="R20" s="773" t="s">
        <v>17</v>
      </c>
      <c r="S20" s="774">
        <f>F20</f>
        <v>100</v>
      </c>
      <c r="T20" s="773" t="s">
        <v>17</v>
      </c>
      <c r="U20" s="774">
        <f>H20</f>
        <v>100</v>
      </c>
      <c r="V20" s="773" t="s">
        <v>17</v>
      </c>
      <c r="W20" s="774">
        <f>J20</f>
        <v>100</v>
      </c>
      <c r="X20" s="1814"/>
      <c r="Y20" s="3180"/>
      <c r="Z20" s="1815" t="str">
        <f>Q20</f>
        <v>自然及人文环境</v>
      </c>
      <c r="AA20" s="1812">
        <f t="shared" si="3"/>
        <v>1</v>
      </c>
      <c r="AB20" s="1812">
        <f t="shared" si="4"/>
        <v>1</v>
      </c>
      <c r="AC20" s="1812">
        <f t="shared" si="5"/>
        <v>1</v>
      </c>
    </row>
    <row r="21" spans="1:29" ht="15">
      <c r="A21" s="404"/>
      <c r="B21" s="631"/>
      <c r="C21" s="447"/>
      <c r="D21" s="448"/>
      <c r="E21" s="447"/>
      <c r="F21" s="449"/>
      <c r="G21" s="447"/>
      <c r="H21" s="448"/>
      <c r="I21" s="447"/>
      <c r="J21" s="448"/>
      <c r="K21" s="615"/>
      <c r="L21" s="1142"/>
      <c r="M21" s="1133"/>
      <c r="N21" s="1133"/>
      <c r="O21" s="1133"/>
      <c r="P21" s="3180"/>
      <c r="Q21" s="1811"/>
      <c r="R21" s="773"/>
      <c r="S21" s="774"/>
      <c r="T21" s="773"/>
      <c r="U21" s="774"/>
      <c r="V21" s="773"/>
      <c r="W21" s="774"/>
      <c r="X21" s="1814"/>
      <c r="Y21" s="3180"/>
      <c r="Z21" s="1815"/>
      <c r="AA21" s="1812">
        <v>1</v>
      </c>
      <c r="AB21" s="1812">
        <v>1</v>
      </c>
      <c r="AC21" s="1812">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0"/>
      <c r="Q22" s="1811" t="str">
        <f>B22</f>
        <v>楼层</v>
      </c>
      <c r="R22" s="773" t="s">
        <v>17</v>
      </c>
      <c r="S22" s="774">
        <f>F22</f>
        <v>100</v>
      </c>
      <c r="T22" s="773" t="s">
        <v>17</v>
      </c>
      <c r="U22" s="774">
        <f>H22</f>
        <v>100</v>
      </c>
      <c r="V22" s="773" t="s">
        <v>17</v>
      </c>
      <c r="W22" s="774">
        <f>J22</f>
        <v>100</v>
      </c>
      <c r="X22" s="1814"/>
      <c r="Y22" s="3180"/>
      <c r="Z22" s="1815" t="str">
        <f>Q22</f>
        <v>楼层</v>
      </c>
      <c r="AA22" s="1812">
        <f t="shared" si="3"/>
        <v>1</v>
      </c>
      <c r="AB22" s="1812">
        <f t="shared" si="4"/>
        <v>1</v>
      </c>
      <c r="AC22" s="1812">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0"/>
      <c r="Q23" s="1811">
        <f>B23</f>
        <v>111</v>
      </c>
      <c r="R23" s="773" t="s">
        <v>17</v>
      </c>
      <c r="S23" s="774">
        <f>F23</f>
        <v>100</v>
      </c>
      <c r="T23" s="773" t="s">
        <v>17</v>
      </c>
      <c r="U23" s="774">
        <f>H23</f>
        <v>100</v>
      </c>
      <c r="V23" s="773" t="s">
        <v>17</v>
      </c>
      <c r="W23" s="774">
        <f>J23</f>
        <v>100</v>
      </c>
      <c r="X23" s="1814"/>
      <c r="Y23" s="3180"/>
      <c r="Z23" s="1815">
        <f>Q23</f>
        <v>111</v>
      </c>
      <c r="AA23" s="1812">
        <f t="shared" si="3"/>
        <v>1</v>
      </c>
      <c r="AB23" s="1812">
        <f t="shared" si="4"/>
        <v>1</v>
      </c>
      <c r="AC23" s="1812">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0"/>
      <c r="Q24" s="1811">
        <f t="shared" ref="Q24:Q36" si="11">B24</f>
        <v>111</v>
      </c>
      <c r="R24" s="773" t="s">
        <v>17</v>
      </c>
      <c r="S24" s="774">
        <f>F24</f>
        <v>100</v>
      </c>
      <c r="T24" s="773" t="s">
        <v>17</v>
      </c>
      <c r="U24" s="774">
        <f>H24</f>
        <v>100</v>
      </c>
      <c r="V24" s="773" t="s">
        <v>17</v>
      </c>
      <c r="W24" s="774">
        <f>J24</f>
        <v>100</v>
      </c>
      <c r="X24" s="1814"/>
      <c r="Y24" s="3180"/>
      <c r="Z24" s="1815">
        <f>Q24</f>
        <v>111</v>
      </c>
      <c r="AA24" s="1812">
        <f t="shared" si="3"/>
        <v>1</v>
      </c>
      <c r="AB24" s="1812">
        <f t="shared" si="4"/>
        <v>1</v>
      </c>
      <c r="AC24" s="1812">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180"/>
      <c r="Q25" s="1796">
        <f t="shared" si="11"/>
        <v>111</v>
      </c>
      <c r="R25" s="769" t="s">
        <v>17</v>
      </c>
      <c r="S25" s="770">
        <f>F25</f>
        <v>100</v>
      </c>
      <c r="T25" s="769" t="s">
        <v>17</v>
      </c>
      <c r="U25" s="770">
        <f>H25</f>
        <v>100</v>
      </c>
      <c r="V25" s="769" t="s">
        <v>17</v>
      </c>
      <c r="W25" s="770">
        <f>J25</f>
        <v>100</v>
      </c>
      <c r="X25" s="771"/>
      <c r="Y25" s="3180"/>
      <c r="Z25" s="55">
        <f>Q25</f>
        <v>111</v>
      </c>
      <c r="AA25" s="1812">
        <f>D25/F25</f>
        <v>1</v>
      </c>
      <c r="AB25" s="1812">
        <f>D25/H25</f>
        <v>1</v>
      </c>
      <c r="AC25" s="1812">
        <f>D25/J25</f>
        <v>1</v>
      </c>
    </row>
    <row r="26" spans="1:29" ht="15">
      <c r="A26" s="651"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4" t="s">
        <v>2563</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4" t="s">
        <v>2563</v>
      </c>
      <c r="Z26" s="1815" t="str">
        <f t="shared" ref="Z26:Z36" si="15">Q26</f>
        <v>配套类型</v>
      </c>
      <c r="AA26" s="1812">
        <f t="shared" si="3"/>
        <v>1</v>
      </c>
      <c r="AB26" s="1812">
        <f t="shared" si="4"/>
        <v>1</v>
      </c>
      <c r="AC26" s="1812">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184"/>
      <c r="Q27" s="775" t="str">
        <f t="shared" si="11"/>
        <v>项目停车位配比</v>
      </c>
      <c r="R27" s="776" t="s">
        <v>17</v>
      </c>
      <c r="S27" s="777">
        <f t="shared" si="12"/>
        <v>100</v>
      </c>
      <c r="T27" s="776" t="s">
        <v>17</v>
      </c>
      <c r="U27" s="777">
        <f t="shared" si="13"/>
        <v>100</v>
      </c>
      <c r="V27" s="776" t="s">
        <v>17</v>
      </c>
      <c r="W27" s="777">
        <f t="shared" si="14"/>
        <v>100</v>
      </c>
      <c r="X27" s="778"/>
      <c r="Y27" s="3184"/>
      <c r="Z27" s="779" t="str">
        <f t="shared" si="15"/>
        <v>项目停车位配比</v>
      </c>
      <c r="AA27" s="1812">
        <f t="shared" si="3"/>
        <v>1</v>
      </c>
      <c r="AB27" s="1812">
        <f t="shared" si="4"/>
        <v>1</v>
      </c>
      <c r="AC27" s="1812">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4"/>
      <c r="Q28" s="1811" t="str">
        <f t="shared" si="11"/>
        <v>公共部分装修</v>
      </c>
      <c r="R28" s="773" t="s">
        <v>17</v>
      </c>
      <c r="S28" s="774">
        <f t="shared" si="12"/>
        <v>100</v>
      </c>
      <c r="T28" s="773" t="s">
        <v>17</v>
      </c>
      <c r="U28" s="774">
        <f t="shared" si="13"/>
        <v>100</v>
      </c>
      <c r="V28" s="773" t="s">
        <v>17</v>
      </c>
      <c r="W28" s="774">
        <f t="shared" si="14"/>
        <v>100</v>
      </c>
      <c r="X28" s="1814"/>
      <c r="Y28" s="3184"/>
      <c r="Z28" s="1815" t="str">
        <f t="shared" si="15"/>
        <v>公共部分装修</v>
      </c>
      <c r="AA28" s="1812">
        <f t="shared" si="3"/>
        <v>1</v>
      </c>
      <c r="AB28" s="1812">
        <f t="shared" si="4"/>
        <v>1</v>
      </c>
      <c r="AC28" s="1812">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4"/>
      <c r="Q29" s="1811" t="str">
        <f t="shared" si="11"/>
        <v>成新率</v>
      </c>
      <c r="R29" s="773" t="s">
        <v>17</v>
      </c>
      <c r="S29" s="774" t="e">
        <f t="shared" si="12"/>
        <v>#N/A</v>
      </c>
      <c r="T29" s="773" t="s">
        <v>17</v>
      </c>
      <c r="U29" s="774" t="e">
        <f t="shared" si="13"/>
        <v>#N/A</v>
      </c>
      <c r="V29" s="773" t="s">
        <v>17</v>
      </c>
      <c r="W29" s="774" t="e">
        <f t="shared" si="14"/>
        <v>#N/A</v>
      </c>
      <c r="X29" s="1814"/>
      <c r="Y29" s="3184"/>
      <c r="Z29" s="1815" t="str">
        <f t="shared" si="15"/>
        <v>成新率</v>
      </c>
      <c r="AA29" s="1812" t="e">
        <f t="shared" si="3"/>
        <v>#N/A</v>
      </c>
      <c r="AB29" s="1812" t="e">
        <f t="shared" si="4"/>
        <v>#N/A</v>
      </c>
      <c r="AC29" s="1812"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184"/>
      <c r="Q30" s="1811" t="str">
        <f t="shared" si="11"/>
        <v>物业等级</v>
      </c>
      <c r="R30" s="773" t="s">
        <v>17</v>
      </c>
      <c r="S30" s="774">
        <f t="shared" si="12"/>
        <v>100</v>
      </c>
      <c r="T30" s="773" t="s">
        <v>17</v>
      </c>
      <c r="U30" s="774">
        <f t="shared" si="13"/>
        <v>100</v>
      </c>
      <c r="V30" s="773" t="s">
        <v>17</v>
      </c>
      <c r="W30" s="774">
        <f t="shared" si="14"/>
        <v>100</v>
      </c>
      <c r="X30" s="1814"/>
      <c r="Y30" s="3184"/>
      <c r="Z30" s="1815" t="str">
        <f t="shared" si="15"/>
        <v>物业等级</v>
      </c>
      <c r="AA30" s="1812">
        <f t="shared" si="3"/>
        <v>1</v>
      </c>
      <c r="AB30" s="1812">
        <f t="shared" si="4"/>
        <v>1</v>
      </c>
      <c r="AC30" s="1812">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4"/>
      <c r="Q31" s="1796" t="str">
        <f t="shared" si="11"/>
        <v>停车位面积</v>
      </c>
      <c r="R31" s="769" t="s">
        <v>17</v>
      </c>
      <c r="S31" s="770" t="e">
        <f t="shared" si="12"/>
        <v>#N/A</v>
      </c>
      <c r="T31" s="769" t="s">
        <v>17</v>
      </c>
      <c r="U31" s="770" t="e">
        <f t="shared" si="13"/>
        <v>#N/A</v>
      </c>
      <c r="V31" s="769" t="s">
        <v>17</v>
      </c>
      <c r="W31" s="770" t="e">
        <f t="shared" si="14"/>
        <v>#N/A</v>
      </c>
      <c r="X31" s="771"/>
      <c r="Y31" s="3184"/>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4" t="s">
        <v>2563</v>
      </c>
      <c r="Q32" s="1811" t="str">
        <f t="shared" si="11"/>
        <v>车位类型</v>
      </c>
      <c r="R32" s="773" t="s">
        <v>17</v>
      </c>
      <c r="S32" s="774">
        <f t="shared" si="12"/>
        <v>100</v>
      </c>
      <c r="T32" s="773" t="s">
        <v>17</v>
      </c>
      <c r="U32" s="774">
        <f t="shared" si="13"/>
        <v>100</v>
      </c>
      <c r="V32" s="773" t="s">
        <v>17</v>
      </c>
      <c r="W32" s="774">
        <f t="shared" si="14"/>
        <v>100</v>
      </c>
      <c r="X32" s="1814"/>
      <c r="Y32" s="3184" t="s">
        <v>2563</v>
      </c>
      <c r="Z32" s="1815" t="str">
        <f t="shared" si="15"/>
        <v>车位类型</v>
      </c>
      <c r="AA32" s="1812">
        <f t="shared" si="3"/>
        <v>1</v>
      </c>
      <c r="AB32" s="1812">
        <f t="shared" si="4"/>
        <v>1</v>
      </c>
      <c r="AC32" s="1812">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4"/>
      <c r="Q33" s="1811" t="str">
        <f t="shared" si="11"/>
        <v>是否直接入户</v>
      </c>
      <c r="R33" s="773" t="s">
        <v>17</v>
      </c>
      <c r="S33" s="774">
        <f t="shared" si="12"/>
        <v>100</v>
      </c>
      <c r="T33" s="773" t="s">
        <v>17</v>
      </c>
      <c r="U33" s="774">
        <f t="shared" si="13"/>
        <v>100</v>
      </c>
      <c r="V33" s="773" t="s">
        <v>17</v>
      </c>
      <c r="W33" s="774">
        <f t="shared" si="14"/>
        <v>100</v>
      </c>
      <c r="X33" s="1814"/>
      <c r="Y33" s="3184"/>
      <c r="Z33" s="1815" t="str">
        <f t="shared" si="15"/>
        <v>是否直接入户</v>
      </c>
      <c r="AA33" s="1812">
        <f t="shared" si="3"/>
        <v>1</v>
      </c>
      <c r="AB33" s="1812">
        <f t="shared" si="4"/>
        <v>1</v>
      </c>
      <c r="AC33" s="1812">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4"/>
      <c r="Q34" s="1811">
        <f t="shared" si="11"/>
        <v>111</v>
      </c>
      <c r="R34" s="773" t="s">
        <v>17</v>
      </c>
      <c r="S34" s="774">
        <f t="shared" si="12"/>
        <v>100</v>
      </c>
      <c r="T34" s="773" t="s">
        <v>17</v>
      </c>
      <c r="U34" s="774">
        <f t="shared" si="13"/>
        <v>100</v>
      </c>
      <c r="V34" s="773" t="s">
        <v>17</v>
      </c>
      <c r="W34" s="774">
        <f t="shared" si="14"/>
        <v>100</v>
      </c>
      <c r="X34" s="1814"/>
      <c r="Y34" s="3184"/>
      <c r="Z34" s="1815">
        <f t="shared" si="15"/>
        <v>111</v>
      </c>
      <c r="AA34" s="1812">
        <f t="shared" si="3"/>
        <v>1</v>
      </c>
      <c r="AB34" s="1812">
        <f t="shared" si="4"/>
        <v>1</v>
      </c>
      <c r="AC34" s="1812">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4"/>
      <c r="Q35" s="775">
        <f t="shared" si="11"/>
        <v>111</v>
      </c>
      <c r="R35" s="776" t="s">
        <v>17</v>
      </c>
      <c r="S35" s="777">
        <f t="shared" si="12"/>
        <v>100</v>
      </c>
      <c r="T35" s="776" t="s">
        <v>17</v>
      </c>
      <c r="U35" s="777">
        <f t="shared" si="13"/>
        <v>100</v>
      </c>
      <c r="V35" s="776" t="s">
        <v>17</v>
      </c>
      <c r="W35" s="777">
        <f t="shared" si="14"/>
        <v>100</v>
      </c>
      <c r="X35" s="778"/>
      <c r="Y35" s="3184"/>
      <c r="Z35" s="779">
        <f t="shared" si="15"/>
        <v>111</v>
      </c>
      <c r="AA35" s="1812">
        <f t="shared" si="3"/>
        <v>1</v>
      </c>
      <c r="AB35" s="1812">
        <f t="shared" si="4"/>
        <v>1</v>
      </c>
      <c r="AC35" s="1812">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4"/>
      <c r="Q36" s="1811">
        <f t="shared" si="11"/>
        <v>111</v>
      </c>
      <c r="R36" s="773" t="s">
        <v>17</v>
      </c>
      <c r="S36" s="774">
        <f t="shared" si="12"/>
        <v>100</v>
      </c>
      <c r="T36" s="773" t="s">
        <v>17</v>
      </c>
      <c r="U36" s="774">
        <f t="shared" si="13"/>
        <v>100</v>
      </c>
      <c r="V36" s="773" t="s">
        <v>17</v>
      </c>
      <c r="W36" s="774">
        <f t="shared" si="14"/>
        <v>100</v>
      </c>
      <c r="X36" s="1814"/>
      <c r="Y36" s="3184"/>
      <c r="Z36" s="1815">
        <f t="shared" si="15"/>
        <v>111</v>
      </c>
      <c r="AA36" s="1812">
        <f t="shared" si="3"/>
        <v>1</v>
      </c>
      <c r="AB36" s="1812">
        <f t="shared" si="4"/>
        <v>1</v>
      </c>
      <c r="AC36" s="1812">
        <f t="shared" si="5"/>
        <v>1</v>
      </c>
    </row>
    <row r="37" spans="1:29" ht="15">
      <c r="A37" s="479" t="s">
        <v>2718</v>
      </c>
      <c r="B37" s="2696" t="s">
        <v>2719</v>
      </c>
      <c r="C37" s="1409" t="s">
        <v>1</v>
      </c>
      <c r="D37" s="1410"/>
      <c r="E37" s="1411"/>
      <c r="F37" s="1412"/>
      <c r="G37" s="1413"/>
      <c r="H37" s="1414"/>
      <c r="I37" s="1411"/>
      <c r="J37" s="1414"/>
      <c r="K37" s="618"/>
      <c r="L37" s="1145"/>
      <c r="M37" s="1146"/>
      <c r="N37" s="1133"/>
      <c r="O37" s="1146"/>
      <c r="P37" s="3172" t="str">
        <f>A37</f>
        <v>成交单价</v>
      </c>
      <c r="Q37" s="3172"/>
      <c r="R37" s="3173">
        <f>E37</f>
        <v>0</v>
      </c>
      <c r="S37" s="3173"/>
      <c r="T37" s="3173">
        <f>G37</f>
        <v>0</v>
      </c>
      <c r="U37" s="3173"/>
      <c r="V37" s="3173">
        <f>I37</f>
        <v>0</v>
      </c>
      <c r="W37" s="3173"/>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174" t="str">
        <f>A39</f>
        <v>估价对象XX用房的比较价值（楼面单价，元/平方米）</v>
      </c>
      <c r="Q39" s="3175"/>
      <c r="R39" s="3176" t="e">
        <f>IF(F1="售价",ROUND(AVERAGE(R38:V38),0),ROUND(AVERAGE(R38:V38),1))</f>
        <v>#DIV/0!</v>
      </c>
      <c r="S39" s="3176"/>
      <c r="T39" s="3176"/>
      <c r="U39" s="3176"/>
      <c r="V39" s="3176"/>
      <c r="W39" s="317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9" t="s">
        <v>2646</v>
      </c>
      <c r="AC4" s="3188" t="s">
        <v>2647</v>
      </c>
    </row>
    <row r="5" spans="1:29" ht="15">
      <c r="A5" s="404"/>
      <c r="B5" s="405"/>
      <c r="C5" s="3246" t="s">
        <v>2540</v>
      </c>
      <c r="D5" s="3210"/>
      <c r="E5" s="3248" t="s">
        <v>2541</v>
      </c>
      <c r="F5" s="3218"/>
      <c r="G5" s="3246" t="s">
        <v>2542</v>
      </c>
      <c r="H5" s="3210"/>
      <c r="I5" s="3246" t="s">
        <v>2543</v>
      </c>
      <c r="J5" s="3210"/>
      <c r="K5" s="610"/>
      <c r="L5" s="1132"/>
      <c r="M5" s="1133"/>
      <c r="N5" s="1133"/>
      <c r="O5" s="1133"/>
      <c r="P5" s="3197"/>
      <c r="Q5" s="3198"/>
      <c r="R5" s="3203"/>
      <c r="S5" s="3204"/>
      <c r="T5" s="3203"/>
      <c r="U5" s="3204"/>
      <c r="V5" s="3186"/>
      <c r="W5" s="3186"/>
      <c r="X5" s="1814"/>
      <c r="Y5" s="3203"/>
      <c r="Z5" s="3204"/>
      <c r="AA5" s="3189"/>
      <c r="AB5" s="3189"/>
      <c r="AC5" s="3189"/>
    </row>
    <row r="6" spans="1:29" ht="15.75" thickBot="1">
      <c r="A6" s="406"/>
      <c r="B6" s="407"/>
      <c r="C6" s="3214" t="s">
        <v>2544</v>
      </c>
      <c r="D6" s="3208"/>
      <c r="E6" s="3247" t="s">
        <v>2544</v>
      </c>
      <c r="F6" s="3216"/>
      <c r="G6" s="3214" t="s">
        <v>2544</v>
      </c>
      <c r="H6" s="3208"/>
      <c r="I6" s="3214" t="s">
        <v>2544</v>
      </c>
      <c r="J6" s="3208"/>
      <c r="K6" s="610" t="s">
        <v>2545</v>
      </c>
      <c r="L6" s="1132"/>
      <c r="M6" s="1133"/>
      <c r="N6" s="1133"/>
      <c r="O6" s="1133"/>
      <c r="P6" s="3199"/>
      <c r="Q6" s="3200"/>
      <c r="R6" s="3203"/>
      <c r="S6" s="3204"/>
      <c r="T6" s="3205"/>
      <c r="U6" s="3206"/>
      <c r="V6" s="3186"/>
      <c r="W6" s="3186"/>
      <c r="X6" s="1814"/>
      <c r="Y6" s="3205"/>
      <c r="Z6" s="3206"/>
      <c r="AA6" s="3190"/>
      <c r="AB6" s="3190"/>
      <c r="AC6" s="3190"/>
    </row>
    <row r="7" spans="1:29" s="117" customFormat="1" ht="15.75" thickBot="1">
      <c r="A7" s="408" t="s">
        <v>2546</v>
      </c>
      <c r="B7" s="409"/>
      <c r="C7" s="410">
        <f>'数据-取费表'!B2</f>
        <v>43307</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211" t="s">
        <v>2547</v>
      </c>
      <c r="Q7" s="3213"/>
      <c r="R7" s="769" t="s">
        <v>17</v>
      </c>
      <c r="S7" s="770">
        <f t="shared" ref="S7:S14" si="0">F7</f>
        <v>0</v>
      </c>
      <c r="T7" s="769" t="s">
        <v>17</v>
      </c>
      <c r="U7" s="770">
        <f t="shared" ref="U7:U14" si="1">H7</f>
        <v>0</v>
      </c>
      <c r="V7" s="769" t="s">
        <v>17</v>
      </c>
      <c r="W7" s="770">
        <f t="shared" ref="W7:W14" si="2">J7</f>
        <v>0</v>
      </c>
      <c r="X7" s="771"/>
      <c r="Y7" s="3211" t="s">
        <v>2547</v>
      </c>
      <c r="Z7" s="3212"/>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1" t="s">
        <v>2550</v>
      </c>
      <c r="Q8" s="3212"/>
      <c r="R8" s="769" t="s">
        <v>17</v>
      </c>
      <c r="S8" s="770">
        <f t="shared" si="0"/>
        <v>0</v>
      </c>
      <c r="T8" s="769" t="s">
        <v>17</v>
      </c>
      <c r="U8" s="770">
        <f t="shared" si="1"/>
        <v>0</v>
      </c>
      <c r="V8" s="769" t="s">
        <v>17</v>
      </c>
      <c r="W8" s="770">
        <f t="shared" si="2"/>
        <v>0</v>
      </c>
      <c r="X8" s="771"/>
      <c r="Y8" s="3211" t="s">
        <v>2550</v>
      </c>
      <c r="Z8" s="3212"/>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2" t="s">
        <v>2553</v>
      </c>
      <c r="Q9" s="1796" t="str">
        <f t="shared" ref="Q9:Q14" si="6">B9</f>
        <v>用途</v>
      </c>
      <c r="R9" s="769" t="s">
        <v>17</v>
      </c>
      <c r="S9" s="770">
        <f t="shared" si="0"/>
        <v>100</v>
      </c>
      <c r="T9" s="769" t="s">
        <v>17</v>
      </c>
      <c r="U9" s="770">
        <f t="shared" si="1"/>
        <v>100</v>
      </c>
      <c r="V9" s="769" t="s">
        <v>17</v>
      </c>
      <c r="W9" s="770">
        <f t="shared" si="2"/>
        <v>100</v>
      </c>
      <c r="X9" s="771"/>
      <c r="Y9" s="3027"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2"/>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2"/>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99.75">
      <c r="A14" s="440" t="s">
        <v>2557</v>
      </c>
      <c r="B14" s="69" t="s">
        <v>2707</v>
      </c>
      <c r="C14" s="2694"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9" t="s">
        <v>2558</v>
      </c>
      <c r="Q14" s="1811" t="str">
        <f t="shared" si="6"/>
        <v>交通便捷度</v>
      </c>
      <c r="R14" s="773" t="s">
        <v>17</v>
      </c>
      <c r="S14" s="774">
        <f t="shared" si="0"/>
        <v>100</v>
      </c>
      <c r="T14" s="773" t="s">
        <v>17</v>
      </c>
      <c r="U14" s="774">
        <f t="shared" si="1"/>
        <v>100</v>
      </c>
      <c r="V14" s="773" t="s">
        <v>17</v>
      </c>
      <c r="W14" s="774">
        <f t="shared" si="2"/>
        <v>100</v>
      </c>
      <c r="X14" s="1814"/>
      <c r="Y14" s="3179"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180"/>
      <c r="Q15" s="1811"/>
      <c r="R15" s="773"/>
      <c r="S15" s="774"/>
      <c r="T15" s="773"/>
      <c r="U15" s="774"/>
      <c r="V15" s="773"/>
      <c r="W15" s="774"/>
      <c r="X15" s="1814"/>
      <c r="Y15" s="3180"/>
      <c r="Z15" s="1815"/>
      <c r="AA15" s="1812">
        <v>1</v>
      </c>
      <c r="AB15" s="1812">
        <v>1</v>
      </c>
      <c r="AC15" s="1812">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0"/>
      <c r="Q16" s="1811" t="str">
        <f>B16</f>
        <v>公共配套设施</v>
      </c>
      <c r="R16" s="773" t="s">
        <v>17</v>
      </c>
      <c r="S16" s="774">
        <f>F16</f>
        <v>100</v>
      </c>
      <c r="T16" s="773" t="s">
        <v>17</v>
      </c>
      <c r="U16" s="774">
        <f>H16</f>
        <v>100</v>
      </c>
      <c r="V16" s="773" t="s">
        <v>17</v>
      </c>
      <c r="W16" s="774">
        <f>J16</f>
        <v>100</v>
      </c>
      <c r="X16" s="1814"/>
      <c r="Y16" s="3180"/>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2"/>
      <c r="M17" s="1133"/>
      <c r="N17" s="1133"/>
      <c r="O17" s="1141"/>
      <c r="P17" s="3180"/>
      <c r="Q17" s="1811"/>
      <c r="R17" s="773"/>
      <c r="S17" s="774"/>
      <c r="T17" s="773"/>
      <c r="U17" s="774"/>
      <c r="V17" s="773"/>
      <c r="W17" s="774"/>
      <c r="X17" s="1814"/>
      <c r="Y17" s="3180"/>
      <c r="Z17" s="1815"/>
      <c r="AA17" s="1812">
        <v>1</v>
      </c>
      <c r="AB17" s="1812">
        <v>1</v>
      </c>
      <c r="AC17" s="1812">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0"/>
      <c r="Q18" s="1811" t="str">
        <f>B18</f>
        <v>基础设施水平</v>
      </c>
      <c r="R18" s="773" t="s">
        <v>17</v>
      </c>
      <c r="S18" s="774">
        <f>F18</f>
        <v>100</v>
      </c>
      <c r="T18" s="773" t="s">
        <v>17</v>
      </c>
      <c r="U18" s="774">
        <f>H18</f>
        <v>100</v>
      </c>
      <c r="V18" s="773" t="s">
        <v>17</v>
      </c>
      <c r="W18" s="774">
        <f>J18</f>
        <v>100</v>
      </c>
      <c r="X18" s="1814"/>
      <c r="Y18" s="3180"/>
      <c r="Z18" s="1815" t="str">
        <f>Q18</f>
        <v>基础设施水平</v>
      </c>
      <c r="AA18" s="1812">
        <f t="shared" ref="AA18" si="8">D18/F18</f>
        <v>1</v>
      </c>
      <c r="AB18" s="1812">
        <f t="shared" ref="AB18" si="9">D18/H18</f>
        <v>1</v>
      </c>
      <c r="AC18" s="1812">
        <f t="shared" ref="AC18" si="10">D18/J18</f>
        <v>1</v>
      </c>
    </row>
    <row r="19" spans="1:29" ht="15">
      <c r="A19" s="428"/>
      <c r="B19" s="1386"/>
      <c r="C19" s="2609"/>
      <c r="D19" s="450"/>
      <c r="E19" s="2609"/>
      <c r="F19" s="453"/>
      <c r="G19" s="2609"/>
      <c r="H19" s="448"/>
      <c r="I19" s="447"/>
      <c r="J19" s="448"/>
      <c r="K19" s="1385"/>
      <c r="L19" s="1142"/>
      <c r="M19" s="1133"/>
      <c r="N19" s="1133"/>
      <c r="O19" s="1141"/>
      <c r="P19" s="3180"/>
      <c r="Q19" s="1811"/>
      <c r="R19" s="773"/>
      <c r="S19" s="774"/>
      <c r="T19" s="773"/>
      <c r="U19" s="774"/>
      <c r="V19" s="773"/>
      <c r="W19" s="774"/>
      <c r="X19" s="1814"/>
      <c r="Y19" s="3180"/>
      <c r="Z19" s="1815"/>
      <c r="AA19" s="1812">
        <v>1</v>
      </c>
      <c r="AB19" s="1812">
        <v>1</v>
      </c>
      <c r="AC19" s="1812">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0"/>
      <c r="Q20" s="1811" t="str">
        <f>B20</f>
        <v>自然及人文环境</v>
      </c>
      <c r="R20" s="773" t="s">
        <v>17</v>
      </c>
      <c r="S20" s="774">
        <f>F20</f>
        <v>100</v>
      </c>
      <c r="T20" s="773" t="s">
        <v>17</v>
      </c>
      <c r="U20" s="774">
        <f>H20</f>
        <v>100</v>
      </c>
      <c r="V20" s="773" t="s">
        <v>17</v>
      </c>
      <c r="W20" s="774">
        <f>J20</f>
        <v>100</v>
      </c>
      <c r="X20" s="1814"/>
      <c r="Y20" s="318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180"/>
      <c r="Q21" s="1811"/>
      <c r="R21" s="773"/>
      <c r="S21" s="774"/>
      <c r="T21" s="773"/>
      <c r="U21" s="774"/>
      <c r="V21" s="773"/>
      <c r="W21" s="774"/>
      <c r="X21" s="1814"/>
      <c r="Y21" s="3180"/>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0"/>
      <c r="Q22" s="1811" t="str">
        <f>B22</f>
        <v>楼层</v>
      </c>
      <c r="R22" s="773" t="s">
        <v>17</v>
      </c>
      <c r="S22" s="774">
        <f>F22</f>
        <v>100</v>
      </c>
      <c r="T22" s="773" t="s">
        <v>17</v>
      </c>
      <c r="U22" s="774">
        <f>H22</f>
        <v>100</v>
      </c>
      <c r="V22" s="773" t="s">
        <v>17</v>
      </c>
      <c r="W22" s="774">
        <f>J22</f>
        <v>100</v>
      </c>
      <c r="X22" s="1814"/>
      <c r="Y22" s="3180"/>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0"/>
      <c r="Q23" s="1811">
        <f>B23</f>
        <v>111</v>
      </c>
      <c r="R23" s="773" t="s">
        <v>17</v>
      </c>
      <c r="S23" s="774">
        <f>F23</f>
        <v>100</v>
      </c>
      <c r="T23" s="773" t="s">
        <v>17</v>
      </c>
      <c r="U23" s="774">
        <f>H23</f>
        <v>100</v>
      </c>
      <c r="V23" s="773" t="s">
        <v>17</v>
      </c>
      <c r="W23" s="774">
        <f>J23</f>
        <v>100</v>
      </c>
      <c r="X23" s="1814"/>
      <c r="Y23" s="3180"/>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0"/>
      <c r="Q24" s="1811">
        <f t="shared" ref="Q24:Q34" si="11">B24</f>
        <v>111</v>
      </c>
      <c r="R24" s="773" t="s">
        <v>17</v>
      </c>
      <c r="S24" s="774">
        <f>F24</f>
        <v>100</v>
      </c>
      <c r="T24" s="773" t="s">
        <v>17</v>
      </c>
      <c r="U24" s="774">
        <f>H24</f>
        <v>100</v>
      </c>
      <c r="V24" s="773" t="s">
        <v>17</v>
      </c>
      <c r="W24" s="774">
        <f>J24</f>
        <v>100</v>
      </c>
      <c r="X24" s="1814"/>
      <c r="Y24" s="3180"/>
      <c r="Z24" s="1815">
        <f>Q24</f>
        <v>111</v>
      </c>
      <c r="AA24" s="1812">
        <f t="shared" si="3"/>
        <v>1</v>
      </c>
      <c r="AB24" s="1812">
        <f t="shared" si="4"/>
        <v>1</v>
      </c>
      <c r="AC24" s="1812">
        <f t="shared" si="5"/>
        <v>1</v>
      </c>
    </row>
    <row r="25" spans="1:29" s="117" customFormat="1" ht="15.75" thickBot="1">
      <c r="A25" s="431"/>
      <c r="B25" s="2601">
        <v>111</v>
      </c>
      <c r="C25" s="2699"/>
      <c r="D25" s="664">
        <v>100</v>
      </c>
      <c r="E25" s="2699"/>
      <c r="F25" s="665">
        <f>SUMIF(75:75,E25,76:76)-SUMIF(75:75,C25,76:76)+100</f>
        <v>100</v>
      </c>
      <c r="G25" s="2699"/>
      <c r="H25" s="664">
        <f>SUMIF(75:75,G25,76:76)-SUMIF(75:75,C25,76:76)+100</f>
        <v>100</v>
      </c>
      <c r="I25" s="2699"/>
      <c r="J25" s="664">
        <f>SUMIF(75:75,I25,76:76)-SUMIF(75:75,C25,76:76)+100</f>
        <v>100</v>
      </c>
      <c r="K25" s="613"/>
      <c r="L25" s="1134"/>
      <c r="M25" s="1135"/>
      <c r="N25" s="1135"/>
      <c r="O25" s="1136"/>
      <c r="P25" s="3180"/>
      <c r="Q25" s="1796">
        <f t="shared" si="11"/>
        <v>111</v>
      </c>
      <c r="R25" s="769" t="s">
        <v>17</v>
      </c>
      <c r="S25" s="770">
        <f>F25</f>
        <v>100</v>
      </c>
      <c r="T25" s="769" t="s">
        <v>17</v>
      </c>
      <c r="U25" s="770">
        <f>H25</f>
        <v>100</v>
      </c>
      <c r="V25" s="769" t="s">
        <v>17</v>
      </c>
      <c r="W25" s="770">
        <f>J25</f>
        <v>100</v>
      </c>
      <c r="X25" s="771"/>
      <c r="Y25" s="3180"/>
      <c r="Z25" s="55">
        <f>Q25</f>
        <v>111</v>
      </c>
      <c r="AA25" s="1812">
        <f>D25/F25</f>
        <v>1</v>
      </c>
      <c r="AB25" s="1812">
        <f>D25/H25</f>
        <v>1</v>
      </c>
      <c r="AC25" s="1812">
        <f>D25/J25</f>
        <v>1</v>
      </c>
    </row>
    <row r="26" spans="1:29" ht="15">
      <c r="A26" s="466" t="s">
        <v>2561</v>
      </c>
      <c r="B26" s="71" t="s">
        <v>2712</v>
      </c>
      <c r="C26" s="2680"/>
      <c r="D26" s="467">
        <v>100</v>
      </c>
      <c r="E26" s="2680"/>
      <c r="F26" s="666">
        <f>SUMIF(77:77,E26,78:78)-SUMIF(77:77,C26,78:78)+100</f>
        <v>100</v>
      </c>
      <c r="G26" s="2680"/>
      <c r="H26" s="467">
        <f>SUMIF(77:77,G26,78:78)-SUMIF(77:77,C26,78:78)+100</f>
        <v>100</v>
      </c>
      <c r="I26" s="2680"/>
      <c r="J26" s="467">
        <f>SUMIF(77:77,I26,78:78)-SUMIF(77:77,C26,78:78)+100</f>
        <v>100</v>
      </c>
      <c r="K26" s="612"/>
      <c r="L26" s="1142"/>
      <c r="M26" s="1133"/>
      <c r="N26" s="1133"/>
      <c r="O26" s="1141"/>
      <c r="P26" s="3264" t="s">
        <v>2563</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4"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4"/>
      <c r="Q27" s="775" t="str">
        <f t="shared" si="11"/>
        <v>成新率</v>
      </c>
      <c r="R27" s="776" t="s">
        <v>17</v>
      </c>
      <c r="S27" s="777" t="e">
        <f t="shared" si="12"/>
        <v>#N/A</v>
      </c>
      <c r="T27" s="776" t="s">
        <v>17</v>
      </c>
      <c r="U27" s="777" t="e">
        <f t="shared" si="13"/>
        <v>#N/A</v>
      </c>
      <c r="V27" s="776" t="s">
        <v>17</v>
      </c>
      <c r="W27" s="777" t="e">
        <f t="shared" si="14"/>
        <v>#N/A</v>
      </c>
      <c r="X27" s="778"/>
      <c r="Y27" s="3184"/>
      <c r="Z27" s="779"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4"/>
      <c r="Q28" s="1811" t="str">
        <f t="shared" si="11"/>
        <v>物业等级</v>
      </c>
      <c r="R28" s="773" t="s">
        <v>17</v>
      </c>
      <c r="S28" s="774">
        <f t="shared" si="12"/>
        <v>100</v>
      </c>
      <c r="T28" s="773" t="s">
        <v>17</v>
      </c>
      <c r="U28" s="774">
        <f t="shared" si="13"/>
        <v>100</v>
      </c>
      <c r="V28" s="773" t="s">
        <v>17</v>
      </c>
      <c r="W28" s="774">
        <f t="shared" si="14"/>
        <v>100</v>
      </c>
      <c r="X28" s="1814"/>
      <c r="Y28" s="3184"/>
      <c r="Z28" s="1815" t="str">
        <f t="shared" si="15"/>
        <v>物业等级</v>
      </c>
      <c r="AA28" s="1812">
        <f t="shared" si="3"/>
        <v>1</v>
      </c>
      <c r="AB28" s="1812">
        <f t="shared" si="4"/>
        <v>1</v>
      </c>
      <c r="AC28" s="1812">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184"/>
      <c r="Q29" s="1811" t="str">
        <f t="shared" si="11"/>
        <v>有无电梯</v>
      </c>
      <c r="R29" s="773" t="s">
        <v>17</v>
      </c>
      <c r="S29" s="774">
        <f t="shared" si="12"/>
        <v>100</v>
      </c>
      <c r="T29" s="773" t="s">
        <v>17</v>
      </c>
      <c r="U29" s="774">
        <f t="shared" si="13"/>
        <v>100</v>
      </c>
      <c r="V29" s="773" t="s">
        <v>17</v>
      </c>
      <c r="W29" s="774">
        <f t="shared" si="14"/>
        <v>100</v>
      </c>
      <c r="X29" s="1814"/>
      <c r="Y29" s="3184"/>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4"/>
      <c r="Q30" s="1811" t="str">
        <f t="shared" si="11"/>
        <v>建筑面积</v>
      </c>
      <c r="R30" s="773" t="s">
        <v>17</v>
      </c>
      <c r="S30" s="774" t="e">
        <f t="shared" si="12"/>
        <v>#N/A</v>
      </c>
      <c r="T30" s="773" t="s">
        <v>17</v>
      </c>
      <c r="U30" s="774" t="e">
        <f t="shared" si="13"/>
        <v>#N/A</v>
      </c>
      <c r="V30" s="773" t="s">
        <v>17</v>
      </c>
      <c r="W30" s="774" t="e">
        <f t="shared" si="14"/>
        <v>#N/A</v>
      </c>
      <c r="X30" s="1814"/>
      <c r="Y30" s="3184"/>
      <c r="Z30" s="1815" t="str">
        <f t="shared" si="15"/>
        <v>建筑面积</v>
      </c>
      <c r="AA30" s="1812" t="e">
        <f t="shared" si="3"/>
        <v>#N/A</v>
      </c>
      <c r="AB30" s="1812" t="e">
        <f t="shared" si="4"/>
        <v>#N/A</v>
      </c>
      <c r="AC30" s="1812"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184"/>
      <c r="Q31" s="1796" t="str">
        <f t="shared" si="11"/>
        <v>是否封闭</v>
      </c>
      <c r="R31" s="769" t="s">
        <v>17</v>
      </c>
      <c r="S31" s="770">
        <f t="shared" si="12"/>
        <v>100</v>
      </c>
      <c r="T31" s="769" t="s">
        <v>17</v>
      </c>
      <c r="U31" s="770">
        <f t="shared" si="13"/>
        <v>100</v>
      </c>
      <c r="V31" s="769" t="s">
        <v>17</v>
      </c>
      <c r="W31" s="770">
        <f t="shared" si="14"/>
        <v>100</v>
      </c>
      <c r="X31" s="771"/>
      <c r="Y31" s="3184"/>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4" t="s">
        <v>2563</v>
      </c>
      <c r="Q32" s="1811">
        <f t="shared" si="11"/>
        <v>111</v>
      </c>
      <c r="R32" s="773" t="s">
        <v>17</v>
      </c>
      <c r="S32" s="774">
        <f t="shared" si="12"/>
        <v>100</v>
      </c>
      <c r="T32" s="773" t="s">
        <v>17</v>
      </c>
      <c r="U32" s="774">
        <f t="shared" si="13"/>
        <v>100</v>
      </c>
      <c r="V32" s="773" t="s">
        <v>17</v>
      </c>
      <c r="W32" s="774">
        <f t="shared" si="14"/>
        <v>100</v>
      </c>
      <c r="X32" s="1814"/>
      <c r="Y32" s="3184" t="s">
        <v>2563</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4"/>
      <c r="Q33" s="1811">
        <f t="shared" si="11"/>
        <v>111</v>
      </c>
      <c r="R33" s="773" t="s">
        <v>17</v>
      </c>
      <c r="S33" s="774">
        <f t="shared" si="12"/>
        <v>100</v>
      </c>
      <c r="T33" s="773" t="s">
        <v>17</v>
      </c>
      <c r="U33" s="774">
        <f t="shared" si="13"/>
        <v>100</v>
      </c>
      <c r="V33" s="773" t="s">
        <v>17</v>
      </c>
      <c r="W33" s="774">
        <f t="shared" si="14"/>
        <v>100</v>
      </c>
      <c r="X33" s="1814"/>
      <c r="Y33" s="3184"/>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84"/>
      <c r="Q34" s="1811">
        <f t="shared" si="11"/>
        <v>111</v>
      </c>
      <c r="R34" s="773" t="s">
        <v>17</v>
      </c>
      <c r="S34" s="774">
        <f t="shared" si="12"/>
        <v>100</v>
      </c>
      <c r="T34" s="773" t="s">
        <v>17</v>
      </c>
      <c r="U34" s="774">
        <f t="shared" si="13"/>
        <v>100</v>
      </c>
      <c r="V34" s="773" t="s">
        <v>17</v>
      </c>
      <c r="W34" s="774">
        <f t="shared" si="14"/>
        <v>100</v>
      </c>
      <c r="X34" s="1814"/>
      <c r="Y34" s="3184"/>
      <c r="Z34" s="1815">
        <f t="shared" si="15"/>
        <v>111</v>
      </c>
      <c r="AA34" s="1812">
        <f t="shared" si="3"/>
        <v>1</v>
      </c>
      <c r="AB34" s="1812">
        <f t="shared" si="4"/>
        <v>1</v>
      </c>
      <c r="AC34" s="1812">
        <f t="shared" si="5"/>
        <v>1</v>
      </c>
    </row>
    <row r="35" spans="1:29" ht="15">
      <c r="A35" s="479" t="s">
        <v>2575</v>
      </c>
      <c r="B35" s="480"/>
      <c r="C35" s="1409" t="s">
        <v>1</v>
      </c>
      <c r="D35" s="1410"/>
      <c r="E35" s="1411"/>
      <c r="F35" s="1412"/>
      <c r="G35" s="1413"/>
      <c r="H35" s="1414"/>
      <c r="I35" s="1411"/>
      <c r="J35" s="1414"/>
      <c r="K35" s="782"/>
      <c r="L35" s="1145"/>
      <c r="M35" s="1146"/>
      <c r="N35" s="1133"/>
      <c r="O35" s="1146"/>
      <c r="P35" s="3172" t="str">
        <f>A35</f>
        <v>成交单价（元/平方米）</v>
      </c>
      <c r="Q35" s="3172"/>
      <c r="R35" s="3173">
        <f>E35</f>
        <v>0</v>
      </c>
      <c r="S35" s="3173"/>
      <c r="T35" s="3173">
        <f>G35</f>
        <v>0</v>
      </c>
      <c r="U35" s="3173"/>
      <c r="V35" s="3173">
        <f>I35</f>
        <v>0</v>
      </c>
      <c r="W35" s="3173"/>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174" t="str">
        <f>A37</f>
        <v>估价对象XX用房的比较价值（楼面单价，元/平方米）</v>
      </c>
      <c r="Q37" s="3175"/>
      <c r="R37" s="3176" t="e">
        <f>IF(F1="售价",ROUND(AVERAGE(R36:V36),0),ROUND(AVERAGE(R36:V36),1))</f>
        <v>#DIV/0!</v>
      </c>
      <c r="S37" s="3176"/>
      <c r="T37" s="3176"/>
      <c r="U37" s="3176"/>
      <c r="V37" s="3176"/>
      <c r="W37" s="317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9" t="s">
        <v>2646</v>
      </c>
      <c r="AC4" s="3188" t="s">
        <v>2647</v>
      </c>
    </row>
    <row r="5" spans="1:30" ht="15">
      <c r="A5" s="404"/>
      <c r="B5" s="405"/>
      <c r="C5" s="3246" t="s">
        <v>2540</v>
      </c>
      <c r="D5" s="3210"/>
      <c r="E5" s="3248" t="s">
        <v>2541</v>
      </c>
      <c r="F5" s="3218"/>
      <c r="G5" s="3246" t="s">
        <v>2542</v>
      </c>
      <c r="H5" s="3210"/>
      <c r="I5" s="3246" t="s">
        <v>2543</v>
      </c>
      <c r="J5" s="3210"/>
      <c r="K5" s="610"/>
      <c r="L5" s="1132"/>
      <c r="M5" s="1133"/>
      <c r="N5" s="1133"/>
      <c r="O5" s="1133"/>
      <c r="P5" s="3197"/>
      <c r="Q5" s="3198"/>
      <c r="R5" s="3203"/>
      <c r="S5" s="3204"/>
      <c r="T5" s="3203"/>
      <c r="U5" s="3204"/>
      <c r="V5" s="3186"/>
      <c r="W5" s="3186"/>
      <c r="X5" s="1814"/>
      <c r="Y5" s="3203"/>
      <c r="Z5" s="3204"/>
      <c r="AA5" s="3189"/>
      <c r="AB5" s="3189"/>
      <c r="AC5" s="3189"/>
    </row>
    <row r="6" spans="1:30" ht="15.75" thickBot="1">
      <c r="A6" s="406"/>
      <c r="B6" s="407"/>
      <c r="C6" s="3214" t="s">
        <v>2544</v>
      </c>
      <c r="D6" s="3208"/>
      <c r="E6" s="3247" t="s">
        <v>2544</v>
      </c>
      <c r="F6" s="3216"/>
      <c r="G6" s="3214" t="s">
        <v>2544</v>
      </c>
      <c r="H6" s="3208"/>
      <c r="I6" s="3214" t="s">
        <v>2544</v>
      </c>
      <c r="J6" s="3208"/>
      <c r="K6" s="610" t="s">
        <v>2545</v>
      </c>
      <c r="L6" s="1132"/>
      <c r="M6" s="1133"/>
      <c r="N6" s="1133"/>
      <c r="O6" s="1133"/>
      <c r="P6" s="3199"/>
      <c r="Q6" s="3200"/>
      <c r="R6" s="3203"/>
      <c r="S6" s="3204"/>
      <c r="T6" s="3205"/>
      <c r="U6" s="3206"/>
      <c r="V6" s="3186"/>
      <c r="W6" s="3186"/>
      <c r="X6" s="1814"/>
      <c r="Y6" s="3205"/>
      <c r="Z6" s="3206"/>
      <c r="AA6" s="3190"/>
      <c r="AB6" s="3190"/>
      <c r="AC6" s="3190"/>
    </row>
    <row r="7" spans="1:30" s="117" customFormat="1" ht="15.75" thickBot="1">
      <c r="A7" s="408" t="s">
        <v>2546</v>
      </c>
      <c r="B7" s="409"/>
      <c r="C7" s="410">
        <f>'数据-取费表'!B2</f>
        <v>43307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211" t="s">
        <v>2547</v>
      </c>
      <c r="Q7" s="3213"/>
      <c r="R7" s="769" t="s">
        <v>17</v>
      </c>
      <c r="S7" s="770">
        <f t="shared" ref="S7:S15" si="0">F7</f>
        <v>0</v>
      </c>
      <c r="T7" s="769" t="s">
        <v>17</v>
      </c>
      <c r="U7" s="770">
        <f t="shared" ref="U7:U15" si="1">H7</f>
        <v>0</v>
      </c>
      <c r="V7" s="769" t="s">
        <v>17</v>
      </c>
      <c r="W7" s="770">
        <f t="shared" ref="W7:W15" si="2">J7</f>
        <v>0</v>
      </c>
      <c r="X7" s="771"/>
      <c r="Y7" s="3211" t="s">
        <v>2547</v>
      </c>
      <c r="Z7" s="3212"/>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1" t="s">
        <v>2550</v>
      </c>
      <c r="Q8" s="3212"/>
      <c r="R8" s="769" t="s">
        <v>17</v>
      </c>
      <c r="S8" s="770">
        <f t="shared" si="0"/>
        <v>0</v>
      </c>
      <c r="T8" s="769" t="s">
        <v>17</v>
      </c>
      <c r="U8" s="770">
        <f t="shared" si="1"/>
        <v>0</v>
      </c>
      <c r="V8" s="769" t="s">
        <v>17</v>
      </c>
      <c r="W8" s="770">
        <f t="shared" si="2"/>
        <v>0</v>
      </c>
      <c r="X8" s="771"/>
      <c r="Y8" s="3211" t="s">
        <v>2550</v>
      </c>
      <c r="Z8" s="3212"/>
      <c r="AA8" s="772" t="e">
        <f t="shared" ref="AA8:AA45" si="3">D8/F8</f>
        <v>#DIV/0!</v>
      </c>
      <c r="AB8" s="772" t="e">
        <f t="shared" ref="AB8:AB45" si="4">D8/H8</f>
        <v>#DIV/0!</v>
      </c>
      <c r="AC8" s="772"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172"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1"/>
      <c r="L10" s="1137"/>
      <c r="M10" s="1138"/>
      <c r="N10" s="1138"/>
      <c r="O10" s="1139"/>
      <c r="P10" s="3172"/>
      <c r="Q10" s="1796" t="str">
        <f t="shared" si="6"/>
        <v>土地使用年限（年）</v>
      </c>
      <c r="R10" s="769" t="s">
        <v>17</v>
      </c>
      <c r="S10" s="770">
        <f t="shared" si="0"/>
        <v>109</v>
      </c>
      <c r="T10" s="769" t="s">
        <v>17</v>
      </c>
      <c r="U10" s="770">
        <f t="shared" si="1"/>
        <v>109</v>
      </c>
      <c r="V10" s="769" t="s">
        <v>17</v>
      </c>
      <c r="W10" s="770">
        <f t="shared" si="2"/>
        <v>109</v>
      </c>
      <c r="X10" s="771"/>
      <c r="Y10" s="3027"/>
      <c r="Z10" s="55" t="str">
        <f t="shared" si="7"/>
        <v>土地使用年限（年）</v>
      </c>
      <c r="AA10" s="772">
        <f t="shared" si="3"/>
        <v>0.91743119266055051</v>
      </c>
      <c r="AB10" s="772">
        <f t="shared" si="4"/>
        <v>0.91743119266055051</v>
      </c>
      <c r="AC10" s="772">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172"/>
      <c r="Q12" s="1796"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40" t="s">
        <v>2557</v>
      </c>
      <c r="B15" s="69" t="s">
        <v>2086</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179" t="s">
        <v>2558</v>
      </c>
      <c r="Q15" s="1811" t="str">
        <f t="shared" si="6"/>
        <v>居住社区成熟度</v>
      </c>
      <c r="R15" s="773" t="s">
        <v>17</v>
      </c>
      <c r="S15" s="774">
        <f t="shared" si="0"/>
        <v>100</v>
      </c>
      <c r="T15" s="773" t="s">
        <v>17</v>
      </c>
      <c r="U15" s="774">
        <f t="shared" si="1"/>
        <v>100</v>
      </c>
      <c r="V15" s="773" t="s">
        <v>17</v>
      </c>
      <c r="W15" s="774">
        <f t="shared" si="2"/>
        <v>100</v>
      </c>
      <c r="X15" s="1814"/>
      <c r="Y15" s="3179" t="s">
        <v>2558</v>
      </c>
      <c r="Z15" s="1815" t="str">
        <f t="shared" si="7"/>
        <v>居住社区成熟度</v>
      </c>
      <c r="AA15" s="1812">
        <f t="shared" si="3"/>
        <v>1</v>
      </c>
      <c r="AB15" s="1812">
        <f t="shared" si="4"/>
        <v>1</v>
      </c>
      <c r="AC15" s="1812">
        <f t="shared" si="5"/>
        <v>1</v>
      </c>
    </row>
    <row r="16" spans="1:30" ht="15">
      <c r="A16" s="428"/>
      <c r="B16" s="446"/>
      <c r="C16" s="447"/>
      <c r="D16" s="448"/>
      <c r="E16" s="2606"/>
      <c r="F16" s="448"/>
      <c r="G16" s="2606"/>
      <c r="H16" s="450"/>
      <c r="I16" s="2605"/>
      <c r="J16" s="448"/>
      <c r="K16" s="671"/>
      <c r="L16" s="1142"/>
      <c r="M16" s="1133"/>
      <c r="N16" s="1133"/>
      <c r="O16" s="1141"/>
      <c r="P16" s="3180"/>
      <c r="Q16" s="1811"/>
      <c r="R16" s="773"/>
      <c r="S16" s="774"/>
      <c r="T16" s="773"/>
      <c r="U16" s="774"/>
      <c r="V16" s="773"/>
      <c r="W16" s="774"/>
      <c r="X16" s="1814"/>
      <c r="Y16" s="3180"/>
      <c r="Z16" s="1815"/>
      <c r="AA16" s="1812">
        <v>1</v>
      </c>
      <c r="AB16" s="1812">
        <v>1</v>
      </c>
      <c r="AC16" s="1812">
        <v>1</v>
      </c>
    </row>
    <row r="17" spans="1:29" ht="71.25">
      <c r="A17" s="428"/>
      <c r="B17" s="451" t="s">
        <v>2651</v>
      </c>
      <c r="C17" s="2665" t="str">
        <f>估价对象房地状况!C16</f>
        <v>估价对象位于浉河区，周边商业氛围较好，人流量较大，商业繁华度较好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180"/>
      <c r="Q17" s="1811" t="str">
        <f>B17</f>
        <v>商业繁华度</v>
      </c>
      <c r="R17" s="773" t="s">
        <v>17</v>
      </c>
      <c r="S17" s="774">
        <f>F17</f>
        <v>100</v>
      </c>
      <c r="T17" s="773" t="s">
        <v>17</v>
      </c>
      <c r="U17" s="774">
        <f>H17</f>
        <v>100</v>
      </c>
      <c r="V17" s="773" t="s">
        <v>17</v>
      </c>
      <c r="W17" s="774">
        <f>J17</f>
        <v>100</v>
      </c>
      <c r="X17" s="1814"/>
      <c r="Y17" s="3180"/>
      <c r="Z17" s="1815" t="str">
        <f>Q17</f>
        <v>商业繁华度</v>
      </c>
      <c r="AA17" s="1812">
        <f t="shared" si="3"/>
        <v>1</v>
      </c>
      <c r="AB17" s="1812">
        <f t="shared" si="4"/>
        <v>1</v>
      </c>
      <c r="AC17" s="1812">
        <f t="shared" si="5"/>
        <v>1</v>
      </c>
    </row>
    <row r="18" spans="1:29" ht="15">
      <c r="A18" s="428"/>
      <c r="B18" s="456"/>
      <c r="C18" s="2609"/>
      <c r="D18" s="450"/>
      <c r="E18" s="2611"/>
      <c r="F18" s="450"/>
      <c r="G18" s="2611"/>
      <c r="H18" s="448"/>
      <c r="I18" s="2610"/>
      <c r="J18" s="448"/>
      <c r="K18" s="671"/>
      <c r="L18" s="1142"/>
      <c r="M18" s="1133"/>
      <c r="N18" s="1133"/>
      <c r="O18" s="1141"/>
      <c r="P18" s="3180"/>
      <c r="Q18" s="1811"/>
      <c r="R18" s="773"/>
      <c r="S18" s="774"/>
      <c r="T18" s="773"/>
      <c r="U18" s="774"/>
      <c r="V18" s="773"/>
      <c r="W18" s="774"/>
      <c r="X18" s="1814"/>
      <c r="Y18" s="3180"/>
      <c r="Z18" s="1815"/>
      <c r="AA18" s="1812">
        <v>1</v>
      </c>
      <c r="AB18" s="1812">
        <v>1</v>
      </c>
      <c r="AC18" s="1812">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180"/>
      <c r="Q19" s="1811" t="str">
        <f>B19</f>
        <v>办公集聚程度</v>
      </c>
      <c r="R19" s="773" t="s">
        <v>17</v>
      </c>
      <c r="S19" s="774">
        <f>F19</f>
        <v>100</v>
      </c>
      <c r="T19" s="773" t="s">
        <v>17</v>
      </c>
      <c r="U19" s="774">
        <f>H19</f>
        <v>100</v>
      </c>
      <c r="V19" s="773" t="s">
        <v>17</v>
      </c>
      <c r="W19" s="774">
        <f>J19</f>
        <v>100</v>
      </c>
      <c r="X19" s="1814"/>
      <c r="Y19" s="3180"/>
      <c r="Z19" s="1815" t="str">
        <f>Q19</f>
        <v>办公集聚程度</v>
      </c>
      <c r="AA19" s="1812">
        <f t="shared" si="3"/>
        <v>1</v>
      </c>
      <c r="AB19" s="1812">
        <f t="shared" si="4"/>
        <v>1</v>
      </c>
      <c r="AC19" s="1812">
        <f t="shared" si="5"/>
        <v>1</v>
      </c>
    </row>
    <row r="20" spans="1:29" ht="15">
      <c r="A20" s="428"/>
      <c r="B20" s="456"/>
      <c r="C20" s="447"/>
      <c r="D20" s="448"/>
      <c r="E20" s="2606"/>
      <c r="F20" s="448"/>
      <c r="G20" s="2606"/>
      <c r="H20" s="448"/>
      <c r="I20" s="2605"/>
      <c r="J20" s="448"/>
      <c r="K20" s="671"/>
      <c r="L20" s="1142"/>
      <c r="M20" s="1133"/>
      <c r="N20" s="1133"/>
      <c r="O20" s="1141"/>
      <c r="P20" s="3180"/>
      <c r="Q20" s="1811"/>
      <c r="R20" s="773"/>
      <c r="S20" s="774"/>
      <c r="T20" s="773"/>
      <c r="U20" s="774"/>
      <c r="V20" s="773"/>
      <c r="W20" s="774"/>
      <c r="X20" s="1814"/>
      <c r="Y20" s="3180"/>
      <c r="Z20" s="1815"/>
      <c r="AA20" s="1812">
        <v>1</v>
      </c>
      <c r="AB20" s="1812">
        <v>1</v>
      </c>
      <c r="AC20" s="1812">
        <v>1</v>
      </c>
    </row>
    <row r="21" spans="1:29" ht="99.75">
      <c r="A21" s="428"/>
      <c r="B21" s="451" t="s">
        <v>2707</v>
      </c>
      <c r="C21" s="2608"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180"/>
      <c r="Q21" s="1811" t="str">
        <f>B21</f>
        <v>交通便捷度</v>
      </c>
      <c r="R21" s="773" t="s">
        <v>17</v>
      </c>
      <c r="S21" s="774">
        <f>F21</f>
        <v>100</v>
      </c>
      <c r="T21" s="773" t="s">
        <v>17</v>
      </c>
      <c r="U21" s="774">
        <f>H21</f>
        <v>100</v>
      </c>
      <c r="V21" s="773" t="s">
        <v>17</v>
      </c>
      <c r="W21" s="774">
        <f>J21</f>
        <v>100</v>
      </c>
      <c r="X21" s="1814"/>
      <c r="Y21" s="3180"/>
      <c r="Z21" s="1815" t="str">
        <f>Q21</f>
        <v>交通便捷度</v>
      </c>
      <c r="AA21" s="1812">
        <f t="shared" si="3"/>
        <v>1</v>
      </c>
      <c r="AB21" s="1812">
        <f t="shared" si="4"/>
        <v>1</v>
      </c>
      <c r="AC21" s="1812">
        <f t="shared" si="5"/>
        <v>1</v>
      </c>
    </row>
    <row r="22" spans="1:29" ht="15">
      <c r="A22" s="428"/>
      <c r="B22" s="1386"/>
      <c r="C22" s="447"/>
      <c r="D22" s="450"/>
      <c r="E22" s="2606"/>
      <c r="F22" s="448"/>
      <c r="G22" s="2606"/>
      <c r="H22" s="448"/>
      <c r="I22" s="2605"/>
      <c r="J22" s="448"/>
      <c r="K22" s="671"/>
      <c r="L22" s="1142"/>
      <c r="M22" s="1133"/>
      <c r="N22" s="1133"/>
      <c r="O22" s="1141"/>
      <c r="P22" s="3180"/>
      <c r="Q22" s="1811"/>
      <c r="R22" s="773"/>
      <c r="S22" s="774"/>
      <c r="T22" s="773"/>
      <c r="U22" s="774"/>
      <c r="V22" s="773"/>
      <c r="W22" s="774"/>
      <c r="X22" s="1814"/>
      <c r="Y22" s="3180"/>
      <c r="Z22" s="1815"/>
      <c r="AA22" s="1812">
        <v>1</v>
      </c>
      <c r="AB22" s="1812">
        <v>1</v>
      </c>
      <c r="AC22" s="1812">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180"/>
      <c r="Q23" s="1811" t="str">
        <f t="shared" ref="Q23:Q37" si="8">B23</f>
        <v>区域土地利用方向</v>
      </c>
      <c r="R23" s="773" t="s">
        <v>17</v>
      </c>
      <c r="S23" s="774">
        <f>F23</f>
        <v>100</v>
      </c>
      <c r="T23" s="773" t="s">
        <v>17</v>
      </c>
      <c r="U23" s="774">
        <f>H23</f>
        <v>100</v>
      </c>
      <c r="V23" s="773" t="s">
        <v>17</v>
      </c>
      <c r="W23" s="774">
        <f>J23</f>
        <v>100</v>
      </c>
      <c r="X23" s="1814"/>
      <c r="Y23" s="3180"/>
      <c r="Z23" s="1815" t="str">
        <f>Q23</f>
        <v>区域土地利用方向</v>
      </c>
      <c r="AA23" s="1812">
        <f t="shared" si="3"/>
        <v>1</v>
      </c>
      <c r="AB23" s="1812">
        <f t="shared" si="4"/>
        <v>1</v>
      </c>
      <c r="AC23" s="1812">
        <f t="shared" si="5"/>
        <v>1</v>
      </c>
    </row>
    <row r="24" spans="1:29" ht="15">
      <c r="A24" s="404"/>
      <c r="B24" s="456"/>
      <c r="C24" s="616"/>
      <c r="D24" s="448"/>
      <c r="E24" s="2606"/>
      <c r="F24" s="448"/>
      <c r="G24" s="2605"/>
      <c r="H24" s="448"/>
      <c r="I24" s="2605"/>
      <c r="J24" s="448"/>
      <c r="K24" s="811"/>
      <c r="L24" s="1142"/>
      <c r="M24" s="1133"/>
      <c r="N24" s="1133"/>
      <c r="O24" s="1141"/>
      <c r="P24" s="3180"/>
      <c r="Q24" s="1811"/>
      <c r="R24" s="773"/>
      <c r="S24" s="774"/>
      <c r="T24" s="773"/>
      <c r="U24" s="774"/>
      <c r="V24" s="773"/>
      <c r="W24" s="774"/>
      <c r="X24" s="1814"/>
      <c r="Y24" s="3180"/>
      <c r="Z24" s="1815"/>
      <c r="AA24" s="1812"/>
      <c r="AB24" s="1812"/>
      <c r="AC24" s="1812"/>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180"/>
      <c r="Q25" s="1811" t="str">
        <f t="shared" si="8"/>
        <v>自然及人文环境状况</v>
      </c>
      <c r="R25" s="773" t="s">
        <v>17</v>
      </c>
      <c r="S25" s="774">
        <f>F25</f>
        <v>100</v>
      </c>
      <c r="T25" s="773" t="s">
        <v>17</v>
      </c>
      <c r="U25" s="774">
        <f>H25</f>
        <v>100</v>
      </c>
      <c r="V25" s="773" t="s">
        <v>17</v>
      </c>
      <c r="W25" s="774">
        <f>J25</f>
        <v>100</v>
      </c>
      <c r="X25" s="1814"/>
      <c r="Y25" s="3180"/>
      <c r="Z25" s="1815" t="str">
        <f>Q25</f>
        <v>自然及人文环境状况</v>
      </c>
      <c r="AA25" s="1812">
        <f t="shared" si="3"/>
        <v>1</v>
      </c>
      <c r="AB25" s="1812">
        <f t="shared" si="4"/>
        <v>1</v>
      </c>
      <c r="AC25" s="1812">
        <f t="shared" si="5"/>
        <v>1</v>
      </c>
    </row>
    <row r="26" spans="1:29" ht="15">
      <c r="A26" s="404"/>
      <c r="B26" s="456"/>
      <c r="C26" s="447"/>
      <c r="D26" s="448"/>
      <c r="E26" s="2612"/>
      <c r="F26" s="448"/>
      <c r="G26" s="2612"/>
      <c r="H26" s="448"/>
      <c r="I26" s="447"/>
      <c r="J26" s="448"/>
      <c r="K26" s="671"/>
      <c r="L26" s="1142"/>
      <c r="M26" s="1133"/>
      <c r="N26" s="1133"/>
      <c r="O26" s="1141"/>
      <c r="P26" s="3180"/>
      <c r="Q26" s="1811"/>
      <c r="R26" s="773"/>
      <c r="S26" s="774"/>
      <c r="T26" s="773"/>
      <c r="U26" s="774"/>
      <c r="V26" s="773"/>
      <c r="W26" s="774"/>
      <c r="X26" s="1814"/>
      <c r="Y26" s="3180"/>
      <c r="Z26" s="1815"/>
      <c r="AA26" s="1812">
        <v>1</v>
      </c>
      <c r="AB26" s="1812">
        <v>1</v>
      </c>
      <c r="AC26" s="1812">
        <v>1</v>
      </c>
    </row>
    <row r="27" spans="1:29" s="117" customFormat="1" ht="42.75">
      <c r="A27" s="648"/>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180"/>
      <c r="Q27" s="1796" t="str">
        <f t="shared" si="8"/>
        <v>公共配套设施</v>
      </c>
      <c r="R27" s="769" t="s">
        <v>17</v>
      </c>
      <c r="S27" s="770">
        <f>F27</f>
        <v>100</v>
      </c>
      <c r="T27" s="769" t="s">
        <v>17</v>
      </c>
      <c r="U27" s="770">
        <f>H27</f>
        <v>100</v>
      </c>
      <c r="V27" s="769" t="s">
        <v>17</v>
      </c>
      <c r="W27" s="770">
        <f>J27</f>
        <v>100</v>
      </c>
      <c r="X27" s="771"/>
      <c r="Y27" s="3180"/>
      <c r="Z27" s="55" t="str">
        <f>Q27</f>
        <v>公共配套设施</v>
      </c>
      <c r="AA27" s="1812">
        <f>D27/F27</f>
        <v>1</v>
      </c>
      <c r="AB27" s="1812">
        <f>D27/H27</f>
        <v>1</v>
      </c>
      <c r="AC27" s="1812">
        <f>D27/J27</f>
        <v>1</v>
      </c>
    </row>
    <row r="28" spans="1:29" s="117" customFormat="1" ht="15">
      <c r="A28" s="648"/>
      <c r="B28" s="456"/>
      <c r="C28" s="2701"/>
      <c r="D28" s="448"/>
      <c r="E28" s="2612"/>
      <c r="F28" s="448"/>
      <c r="G28" s="2612"/>
      <c r="H28" s="448"/>
      <c r="I28" s="447"/>
      <c r="J28" s="448"/>
      <c r="K28" s="671"/>
      <c r="L28" s="1134"/>
      <c r="M28" s="1135"/>
      <c r="N28" s="1135"/>
      <c r="O28" s="1136"/>
      <c r="P28" s="3180"/>
      <c r="Q28" s="1796"/>
      <c r="R28" s="769"/>
      <c r="S28" s="770"/>
      <c r="T28" s="769"/>
      <c r="U28" s="770"/>
      <c r="V28" s="769"/>
      <c r="W28" s="770"/>
      <c r="X28" s="771"/>
      <c r="Y28" s="3180"/>
      <c r="Z28" s="55"/>
      <c r="AA28" s="1812">
        <v>1</v>
      </c>
      <c r="AB28" s="1812">
        <v>1</v>
      </c>
      <c r="AC28" s="1812">
        <v>1</v>
      </c>
    </row>
    <row r="29" spans="1:29" s="117" customFormat="1" ht="28.5">
      <c r="A29" s="648"/>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180"/>
      <c r="Q29" s="1796" t="str">
        <f t="shared" ref="Q29" si="9">B29</f>
        <v>基础设施水平</v>
      </c>
      <c r="R29" s="769" t="s">
        <v>17</v>
      </c>
      <c r="S29" s="770">
        <f>F29</f>
        <v>100</v>
      </c>
      <c r="T29" s="769" t="s">
        <v>17</v>
      </c>
      <c r="U29" s="770">
        <f>H29</f>
        <v>100</v>
      </c>
      <c r="V29" s="769" t="s">
        <v>17</v>
      </c>
      <c r="W29" s="770">
        <f>J29</f>
        <v>100</v>
      </c>
      <c r="X29" s="771"/>
      <c r="Y29" s="3180"/>
      <c r="Z29" s="55" t="str">
        <f>Q29</f>
        <v>基础设施水平</v>
      </c>
      <c r="AA29" s="1812">
        <f>D29/F29</f>
        <v>1</v>
      </c>
      <c r="AB29" s="1812">
        <f>D29/H29</f>
        <v>1</v>
      </c>
      <c r="AC29" s="1812">
        <f>D29/J29</f>
        <v>1</v>
      </c>
    </row>
    <row r="30" spans="1:29" s="117" customFormat="1" ht="15">
      <c r="A30" s="648"/>
      <c r="B30" s="456"/>
      <c r="C30" s="2701"/>
      <c r="D30" s="448"/>
      <c r="E30" s="2702"/>
      <c r="F30" s="448"/>
      <c r="G30" s="2702"/>
      <c r="H30" s="448"/>
      <c r="I30" s="2702"/>
      <c r="J30" s="448"/>
      <c r="K30" s="671"/>
      <c r="L30" s="1134"/>
      <c r="M30" s="1135"/>
      <c r="N30" s="1135"/>
      <c r="O30" s="1136"/>
      <c r="P30" s="3180"/>
      <c r="Q30" s="1796"/>
      <c r="R30" s="769"/>
      <c r="S30" s="770"/>
      <c r="T30" s="769"/>
      <c r="U30" s="770"/>
      <c r="V30" s="769"/>
      <c r="W30" s="770"/>
      <c r="X30" s="771"/>
      <c r="Y30" s="3180"/>
      <c r="Z30" s="55"/>
      <c r="AA30" s="1812">
        <v>1</v>
      </c>
      <c r="AB30" s="1812">
        <v>1</v>
      </c>
      <c r="AC30" s="1812">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180"/>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0"/>
      <c r="Z31" s="1815" t="str">
        <f t="shared" ref="Z31:Z45" si="13">Q31</f>
        <v>临街状况</v>
      </c>
      <c r="AA31" s="1812">
        <f t="shared" si="3"/>
        <v>1</v>
      </c>
      <c r="AB31" s="1812">
        <f t="shared" si="4"/>
        <v>1</v>
      </c>
      <c r="AC31" s="1812">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180"/>
      <c r="Q32" s="1811" t="str">
        <f t="shared" si="8"/>
        <v>毗邻道路的类型与等级</v>
      </c>
      <c r="R32" s="773" t="s">
        <v>17</v>
      </c>
      <c r="S32" s="774">
        <f t="shared" si="10"/>
        <v>100</v>
      </c>
      <c r="T32" s="773" t="s">
        <v>17</v>
      </c>
      <c r="U32" s="774">
        <f t="shared" si="11"/>
        <v>100</v>
      </c>
      <c r="V32" s="773" t="s">
        <v>17</v>
      </c>
      <c r="W32" s="774">
        <f t="shared" si="12"/>
        <v>100</v>
      </c>
      <c r="X32" s="1814"/>
      <c r="Y32" s="3180"/>
      <c r="Z32" s="1815" t="str">
        <f t="shared" si="13"/>
        <v>毗邻道路的类型与等级</v>
      </c>
      <c r="AA32" s="1812">
        <f t="shared" si="3"/>
        <v>1</v>
      </c>
      <c r="AB32" s="1812">
        <f t="shared" si="4"/>
        <v>1</v>
      </c>
      <c r="AC32" s="1812">
        <f t="shared" si="5"/>
        <v>1</v>
      </c>
    </row>
    <row r="33" spans="1:29" ht="15">
      <c r="A33" s="428"/>
      <c r="B33" s="456"/>
      <c r="C33" s="447"/>
      <c r="D33" s="448"/>
      <c r="E33" s="2612"/>
      <c r="F33" s="448"/>
      <c r="G33" s="2612"/>
      <c r="H33" s="448"/>
      <c r="I33" s="447"/>
      <c r="J33" s="448"/>
      <c r="K33" s="613"/>
      <c r="L33" s="1142"/>
      <c r="M33" s="1133"/>
      <c r="N33" s="1133"/>
      <c r="O33" s="1141"/>
      <c r="P33" s="3180"/>
      <c r="Q33" s="1811"/>
      <c r="R33" s="773"/>
      <c r="S33" s="774"/>
      <c r="T33" s="773"/>
      <c r="U33" s="774"/>
      <c r="V33" s="773"/>
      <c r="W33" s="774"/>
      <c r="X33" s="1814"/>
      <c r="Y33" s="3180"/>
      <c r="Z33" s="1815"/>
      <c r="AA33" s="1812">
        <v>1</v>
      </c>
      <c r="AB33" s="1812">
        <v>1</v>
      </c>
      <c r="AC33" s="1812">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180"/>
      <c r="Q34" s="1811" t="str">
        <f t="shared" si="8"/>
        <v>土地级别</v>
      </c>
      <c r="R34" s="773" t="s">
        <v>17</v>
      </c>
      <c r="S34" s="774">
        <f t="shared" si="10"/>
        <v>100</v>
      </c>
      <c r="T34" s="773" t="s">
        <v>17</v>
      </c>
      <c r="U34" s="774">
        <f t="shared" si="11"/>
        <v>100</v>
      </c>
      <c r="V34" s="773" t="s">
        <v>17</v>
      </c>
      <c r="W34" s="774">
        <f t="shared" si="12"/>
        <v>100</v>
      </c>
      <c r="X34" s="1814"/>
      <c r="Y34" s="3180"/>
      <c r="Z34" s="1815" t="str">
        <f t="shared" si="13"/>
        <v>土地级别</v>
      </c>
      <c r="AA34" s="1812">
        <f t="shared" si="3"/>
        <v>1</v>
      </c>
      <c r="AB34" s="1812">
        <f t="shared" si="4"/>
        <v>1</v>
      </c>
      <c r="AC34" s="1812">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180"/>
      <c r="Q35" s="1811">
        <f t="shared" si="8"/>
        <v>111</v>
      </c>
      <c r="R35" s="773" t="s">
        <v>17</v>
      </c>
      <c r="S35" s="774">
        <f t="shared" si="10"/>
        <v>100</v>
      </c>
      <c r="T35" s="773" t="s">
        <v>17</v>
      </c>
      <c r="U35" s="774">
        <f t="shared" si="11"/>
        <v>100</v>
      </c>
      <c r="V35" s="773" t="s">
        <v>17</v>
      </c>
      <c r="W35" s="774">
        <f t="shared" si="12"/>
        <v>100</v>
      </c>
      <c r="X35" s="1814"/>
      <c r="Y35" s="3180"/>
      <c r="Z35" s="1815">
        <f t="shared" si="13"/>
        <v>111</v>
      </c>
      <c r="AA35" s="1812">
        <f t="shared" si="3"/>
        <v>1</v>
      </c>
      <c r="AB35" s="1812">
        <f t="shared" si="4"/>
        <v>1</v>
      </c>
      <c r="AC35" s="1812">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64" t="s">
        <v>2563</v>
      </c>
      <c r="Q36" s="1811">
        <f t="shared" si="8"/>
        <v>111</v>
      </c>
      <c r="R36" s="773" t="s">
        <v>17</v>
      </c>
      <c r="S36" s="774">
        <f t="shared" si="10"/>
        <v>100</v>
      </c>
      <c r="T36" s="773" t="s">
        <v>17</v>
      </c>
      <c r="U36" s="774">
        <f t="shared" si="11"/>
        <v>100</v>
      </c>
      <c r="V36" s="773" t="s">
        <v>17</v>
      </c>
      <c r="W36" s="774">
        <f t="shared" si="12"/>
        <v>100</v>
      </c>
      <c r="X36" s="1814"/>
      <c r="Y36" s="3184" t="s">
        <v>2563</v>
      </c>
      <c r="Z36" s="1815">
        <f t="shared" si="13"/>
        <v>111</v>
      </c>
      <c r="AA36" s="1812">
        <f t="shared" si="3"/>
        <v>1</v>
      </c>
      <c r="AB36" s="1812">
        <f t="shared" si="4"/>
        <v>1</v>
      </c>
      <c r="AC36" s="1812">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184"/>
      <c r="Q37" s="1811">
        <f t="shared" si="8"/>
        <v>111</v>
      </c>
      <c r="R37" s="776" t="s">
        <v>17</v>
      </c>
      <c r="S37" s="777">
        <f t="shared" si="10"/>
        <v>100</v>
      </c>
      <c r="T37" s="776" t="s">
        <v>17</v>
      </c>
      <c r="U37" s="777">
        <f t="shared" si="11"/>
        <v>100</v>
      </c>
      <c r="V37" s="776" t="s">
        <v>17</v>
      </c>
      <c r="W37" s="777">
        <f t="shared" si="12"/>
        <v>100</v>
      </c>
      <c r="X37" s="778"/>
      <c r="Y37" s="3184"/>
      <c r="Z37" s="779">
        <f t="shared" si="13"/>
        <v>111</v>
      </c>
      <c r="AA37" s="1812">
        <f t="shared" si="3"/>
        <v>1</v>
      </c>
      <c r="AB37" s="1812">
        <f t="shared" si="4"/>
        <v>1</v>
      </c>
      <c r="AC37" s="1812">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184"/>
      <c r="Q38" s="1811" t="str">
        <f>B38</f>
        <v>宗地面积</v>
      </c>
      <c r="R38" s="773" t="s">
        <v>17</v>
      </c>
      <c r="S38" s="774" t="e">
        <f t="shared" si="10"/>
        <v>#N/A</v>
      </c>
      <c r="T38" s="773" t="s">
        <v>17</v>
      </c>
      <c r="U38" s="774" t="e">
        <f t="shared" si="11"/>
        <v>#N/A</v>
      </c>
      <c r="V38" s="773" t="s">
        <v>17</v>
      </c>
      <c r="W38" s="774" t="e">
        <f t="shared" si="12"/>
        <v>#N/A</v>
      </c>
      <c r="X38" s="1814"/>
      <c r="Y38" s="3184"/>
      <c r="Z38" s="1815" t="str">
        <f t="shared" si="13"/>
        <v>宗地面积</v>
      </c>
      <c r="AA38" s="1812" t="e">
        <f t="shared" si="3"/>
        <v>#N/A</v>
      </c>
      <c r="AB38" s="1812" t="e">
        <f t="shared" si="4"/>
        <v>#N/A</v>
      </c>
      <c r="AC38" s="1812"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84"/>
      <c r="Q39" s="1811" t="str">
        <f t="shared" ref="Q39:Q45" si="14">B39</f>
        <v>宗地形状</v>
      </c>
      <c r="R39" s="773" t="s">
        <v>17</v>
      </c>
      <c r="S39" s="774">
        <f t="shared" si="10"/>
        <v>100</v>
      </c>
      <c r="T39" s="773" t="s">
        <v>17</v>
      </c>
      <c r="U39" s="774">
        <f t="shared" si="11"/>
        <v>100</v>
      </c>
      <c r="V39" s="773" t="s">
        <v>17</v>
      </c>
      <c r="W39" s="774">
        <f t="shared" si="12"/>
        <v>100</v>
      </c>
      <c r="X39" s="1814"/>
      <c r="Y39" s="3184"/>
      <c r="Z39" s="1815" t="str">
        <f t="shared" si="13"/>
        <v>宗地形状</v>
      </c>
      <c r="AA39" s="1812">
        <f t="shared" si="3"/>
        <v>1</v>
      </c>
      <c r="AB39" s="1812">
        <f t="shared" si="4"/>
        <v>1</v>
      </c>
      <c r="AC39" s="1812">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84"/>
      <c r="Q40" s="1811" t="str">
        <f t="shared" si="14"/>
        <v>临街宽度及深度</v>
      </c>
      <c r="R40" s="773" t="s">
        <v>17</v>
      </c>
      <c r="S40" s="774">
        <f t="shared" si="10"/>
        <v>100</v>
      </c>
      <c r="T40" s="773" t="s">
        <v>17</v>
      </c>
      <c r="U40" s="774">
        <f t="shared" si="11"/>
        <v>100</v>
      </c>
      <c r="V40" s="773" t="s">
        <v>17</v>
      </c>
      <c r="W40" s="774">
        <f t="shared" si="12"/>
        <v>100</v>
      </c>
      <c r="X40" s="1814"/>
      <c r="Y40" s="3184"/>
      <c r="Z40" s="1815" t="str">
        <f t="shared" si="13"/>
        <v>临街宽度及深度</v>
      </c>
      <c r="AA40" s="1812">
        <f t="shared" si="3"/>
        <v>1</v>
      </c>
      <c r="AB40" s="1812">
        <f t="shared" si="4"/>
        <v>1</v>
      </c>
      <c r="AC40" s="1812">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84"/>
      <c r="Q41" s="1811" t="str">
        <f t="shared" si="14"/>
        <v>宗地开发程度</v>
      </c>
      <c r="R41" s="769" t="s">
        <v>17</v>
      </c>
      <c r="S41" s="770">
        <f t="shared" si="10"/>
        <v>100</v>
      </c>
      <c r="T41" s="769" t="s">
        <v>17</v>
      </c>
      <c r="U41" s="770">
        <f t="shared" si="11"/>
        <v>100</v>
      </c>
      <c r="V41" s="769" t="s">
        <v>17</v>
      </c>
      <c r="W41" s="770">
        <f t="shared" si="12"/>
        <v>100</v>
      </c>
      <c r="X41" s="771"/>
      <c r="Y41" s="3184"/>
      <c r="Z41" s="55" t="str">
        <f t="shared" si="13"/>
        <v>宗地开发程度</v>
      </c>
      <c r="AA41" s="772">
        <f t="shared" si="3"/>
        <v>1</v>
      </c>
      <c r="AB41" s="772">
        <f t="shared" si="4"/>
        <v>1</v>
      </c>
      <c r="AC41" s="772">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84" t="s">
        <v>2563</v>
      </c>
      <c r="Q42" s="1811" t="str">
        <f t="shared" si="14"/>
        <v>工程地质条件</v>
      </c>
      <c r="R42" s="773" t="s">
        <v>17</v>
      </c>
      <c r="S42" s="774">
        <f t="shared" si="10"/>
        <v>100</v>
      </c>
      <c r="T42" s="773" t="s">
        <v>17</v>
      </c>
      <c r="U42" s="774">
        <f t="shared" si="11"/>
        <v>100</v>
      </c>
      <c r="V42" s="773" t="s">
        <v>17</v>
      </c>
      <c r="W42" s="774">
        <f t="shared" si="12"/>
        <v>100</v>
      </c>
      <c r="X42" s="1814"/>
      <c r="Y42" s="3184" t="s">
        <v>2563</v>
      </c>
      <c r="Z42" s="1815" t="str">
        <f t="shared" si="13"/>
        <v>工程地质条件</v>
      </c>
      <c r="AA42" s="1812">
        <f t="shared" si="3"/>
        <v>1</v>
      </c>
      <c r="AB42" s="1812">
        <f t="shared" si="4"/>
        <v>1</v>
      </c>
      <c r="AC42" s="1812">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184"/>
      <c r="Q43" s="1811">
        <f t="shared" si="14"/>
        <v>111</v>
      </c>
      <c r="R43" s="773" t="s">
        <v>17</v>
      </c>
      <c r="S43" s="774">
        <f t="shared" si="10"/>
        <v>100</v>
      </c>
      <c r="T43" s="773" t="s">
        <v>17</v>
      </c>
      <c r="U43" s="774">
        <f t="shared" si="11"/>
        <v>100</v>
      </c>
      <c r="V43" s="773" t="s">
        <v>17</v>
      </c>
      <c r="W43" s="774">
        <f t="shared" si="12"/>
        <v>100</v>
      </c>
      <c r="X43" s="1814"/>
      <c r="Y43" s="3184"/>
      <c r="Z43" s="1815">
        <f t="shared" si="13"/>
        <v>111</v>
      </c>
      <c r="AA43" s="1812">
        <f t="shared" si="3"/>
        <v>1</v>
      </c>
      <c r="AB43" s="1812">
        <f t="shared" si="4"/>
        <v>1</v>
      </c>
      <c r="AC43" s="1812">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184"/>
      <c r="Q44" s="1811">
        <f t="shared" si="14"/>
        <v>111</v>
      </c>
      <c r="R44" s="773" t="s">
        <v>17</v>
      </c>
      <c r="S44" s="774">
        <f t="shared" si="10"/>
        <v>100</v>
      </c>
      <c r="T44" s="773" t="s">
        <v>17</v>
      </c>
      <c r="U44" s="774">
        <f t="shared" si="11"/>
        <v>100</v>
      </c>
      <c r="V44" s="773" t="s">
        <v>17</v>
      </c>
      <c r="W44" s="774">
        <f t="shared" si="12"/>
        <v>100</v>
      </c>
      <c r="X44" s="1814"/>
      <c r="Y44" s="3184"/>
      <c r="Z44" s="1815">
        <f t="shared" si="13"/>
        <v>111</v>
      </c>
      <c r="AA44" s="1812">
        <f t="shared" si="3"/>
        <v>1</v>
      </c>
      <c r="AB44" s="1812">
        <f t="shared" si="4"/>
        <v>1</v>
      </c>
      <c r="AC44" s="1812">
        <f t="shared" si="5"/>
        <v>1</v>
      </c>
    </row>
    <row r="45" spans="1:29" s="471" customFormat="1" ht="15.75" thickBot="1">
      <c r="A45" s="468"/>
      <c r="B45" s="1389">
        <v>111</v>
      </c>
      <c r="C45" s="2704"/>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184"/>
      <c r="Q45" s="1811">
        <f t="shared" si="14"/>
        <v>111</v>
      </c>
      <c r="R45" s="776" t="s">
        <v>17</v>
      </c>
      <c r="S45" s="777">
        <f t="shared" si="10"/>
        <v>100</v>
      </c>
      <c r="T45" s="776" t="s">
        <v>17</v>
      </c>
      <c r="U45" s="777">
        <f t="shared" si="11"/>
        <v>100</v>
      </c>
      <c r="V45" s="776" t="s">
        <v>17</v>
      </c>
      <c r="W45" s="777">
        <f t="shared" si="12"/>
        <v>100</v>
      </c>
      <c r="X45" s="778"/>
      <c r="Y45" s="3184"/>
      <c r="Z45" s="779">
        <f t="shared" si="13"/>
        <v>111</v>
      </c>
      <c r="AA45" s="1812">
        <f t="shared" si="3"/>
        <v>1</v>
      </c>
      <c r="AB45" s="1812">
        <f t="shared" si="4"/>
        <v>1</v>
      </c>
      <c r="AC45" s="1812">
        <f t="shared" si="5"/>
        <v>1</v>
      </c>
    </row>
    <row r="46" spans="1:29" ht="15">
      <c r="A46" s="479" t="s">
        <v>2718</v>
      </c>
      <c r="B46" s="2705" t="s">
        <v>2754</v>
      </c>
      <c r="C46" s="681" t="s">
        <v>1</v>
      </c>
      <c r="D46" s="481"/>
      <c r="E46" s="482"/>
      <c r="F46" s="483"/>
      <c r="G46" s="484"/>
      <c r="H46" s="485"/>
      <c r="I46" s="482"/>
      <c r="J46" s="485"/>
      <c r="K46" s="782"/>
      <c r="L46" s="1145"/>
      <c r="M46" s="1146"/>
      <c r="N46" s="1133"/>
      <c r="O46" s="1146"/>
      <c r="P46" s="3172" t="str">
        <f>A46</f>
        <v>成交单价</v>
      </c>
      <c r="Q46" s="3172"/>
      <c r="R46" s="3186">
        <f>E46</f>
        <v>0</v>
      </c>
      <c r="S46" s="3186"/>
      <c r="T46" s="3186">
        <f>G46</f>
        <v>0</v>
      </c>
      <c r="U46" s="3186"/>
      <c r="V46" s="3186">
        <f>I46</f>
        <v>0</v>
      </c>
      <c r="W46" s="3186"/>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172" t="str">
        <f>A47</f>
        <v>比较价值（元/平方米）</v>
      </c>
      <c r="Q47" s="3172"/>
      <c r="R47" s="3265" t="e">
        <f>ROUND(PRODUCT(R46,AA7:AA45),0)</f>
        <v>#DIV/0!</v>
      </c>
      <c r="S47" s="3265"/>
      <c r="T47" s="3265" t="e">
        <f>ROUND(PRODUCT(T46,AB7:AB45),0)</f>
        <v>#DIV/0!</v>
      </c>
      <c r="U47" s="3265"/>
      <c r="V47" s="3265" t="e">
        <f>ROUND(PRODUCT(V46,AC7:AC45),0)</f>
        <v>#DIV/0!</v>
      </c>
      <c r="W47" s="3265"/>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174" t="str">
        <f>A48</f>
        <v>估价对象XX用房的比较价值（楼面单价，元/平方米）</v>
      </c>
      <c r="Q48" s="3175"/>
      <c r="R48" s="3266" t="e">
        <f>ROUND(AVERAGE(R47:V47),0)</f>
        <v>#DIV/0!</v>
      </c>
      <c r="S48" s="3266"/>
      <c r="T48" s="3266"/>
      <c r="U48" s="3266"/>
      <c r="V48" s="3266"/>
      <c r="W48" s="326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6" t="s">
        <v>2758</v>
      </c>
      <c r="D55" s="2707" t="s">
        <v>2759</v>
      </c>
      <c r="E55" s="685" t="s">
        <v>2760</v>
      </c>
      <c r="F55" s="1109" t="s">
        <v>2761</v>
      </c>
      <c r="G55" s="3191" t="s">
        <v>2762</v>
      </c>
      <c r="H55" s="3267"/>
      <c r="I55" s="144" t="s">
        <v>2763</v>
      </c>
      <c r="J55" s="2708" t="str">
        <f>项目基本情况!F35</f>
        <v>河南省</v>
      </c>
      <c r="K55" s="2709" t="s">
        <v>2764</v>
      </c>
      <c r="L55" s="1108"/>
      <c r="M55" s="1146"/>
      <c r="N55" s="1146"/>
      <c r="O55" s="1146"/>
    </row>
    <row r="56" spans="1:15" s="691" customFormat="1">
      <c r="A56" s="687" t="s">
        <v>2765</v>
      </c>
      <c r="B56" s="688" t="e">
        <f>C48</f>
        <v>#DIV/0!</v>
      </c>
      <c r="C56" s="689">
        <v>1</v>
      </c>
      <c r="D56" s="1165">
        <v>1</v>
      </c>
      <c r="E56" s="689">
        <f>'数据-汇总表'!E8+'数据-汇总表'!E9</f>
        <v>34044.230000000003</v>
      </c>
      <c r="F56" s="1105" t="e">
        <f t="shared" ref="F56:F65" si="15">ROUND(B56*E56/10000,0)</f>
        <v>#DIV/0!</v>
      </c>
      <c r="G56" s="3187"/>
      <c r="H56" s="3172"/>
      <c r="I56" s="1110">
        <v>1</v>
      </c>
      <c r="J56" s="1113">
        <v>1</v>
      </c>
      <c r="K56" s="1147"/>
      <c r="L56" s="943"/>
      <c r="M56" s="943"/>
      <c r="N56" s="943"/>
      <c r="O56" s="943"/>
    </row>
    <row r="57" spans="1:15" s="691" customFormat="1">
      <c r="A57" s="692" t="s">
        <v>2766</v>
      </c>
      <c r="B57" s="262" t="e">
        <f>ROUND($C$48*C57*D57,0)</f>
        <v>#DIV/0!</v>
      </c>
      <c r="C57" s="200">
        <f t="shared" ref="C57:C65" si="16">IF($C$55="北京市系数",I57,J57)</f>
        <v>0</v>
      </c>
      <c r="D57" s="1166">
        <v>0.25</v>
      </c>
      <c r="E57" s="693"/>
      <c r="F57" s="1105" t="e">
        <f t="shared" si="15"/>
        <v>#DIV/0!</v>
      </c>
      <c r="G57" s="3268" t="s">
        <v>2767</v>
      </c>
      <c r="H57" s="1106">
        <f>项目基本情况!B37</f>
        <v>0</v>
      </c>
      <c r="I57" s="1110">
        <f>SUMIF(修正!A45:A56,H57,修正!B45:B56)</f>
        <v>0</v>
      </c>
      <c r="J57" s="1114"/>
      <c r="K57" s="1146"/>
      <c r="L57" s="943"/>
      <c r="M57" s="943"/>
      <c r="N57" s="943"/>
      <c r="O57" s="943"/>
    </row>
    <row r="58" spans="1:15" s="691" customFormat="1">
      <c r="A58" s="692" t="s">
        <v>2768</v>
      </c>
      <c r="B58" s="262" t="e">
        <f t="shared" ref="B58:B65" si="17">ROUND($C$48*C58*D58,0)</f>
        <v>#DIV/0!</v>
      </c>
      <c r="C58" s="200">
        <f t="shared" si="16"/>
        <v>0</v>
      </c>
      <c r="D58" s="1166">
        <v>0.25</v>
      </c>
      <c r="E58" s="693"/>
      <c r="F58" s="1105" t="e">
        <f t="shared" si="15"/>
        <v>#DIV/0!</v>
      </c>
      <c r="G58" s="3268"/>
      <c r="H58" s="1106">
        <f>项目基本情况!B37</f>
        <v>0</v>
      </c>
      <c r="I58" s="1110">
        <f>SUMIF(修正!A45:A56,H58,修正!C45:C56)</f>
        <v>0</v>
      </c>
      <c r="J58" s="1114"/>
      <c r="K58" s="1147"/>
      <c r="L58" s="943"/>
      <c r="M58" s="943"/>
      <c r="N58" s="943"/>
      <c r="O58" s="943"/>
    </row>
    <row r="59" spans="1:15" s="691" customFormat="1">
      <c r="A59" s="692" t="s">
        <v>2769</v>
      </c>
      <c r="B59" s="262" t="e">
        <f t="shared" si="17"/>
        <v>#DIV/0!</v>
      </c>
      <c r="C59" s="200">
        <f t="shared" si="16"/>
        <v>0</v>
      </c>
      <c r="D59" s="1166">
        <v>0.25</v>
      </c>
      <c r="E59" s="693"/>
      <c r="F59" s="1105" t="e">
        <f t="shared" si="15"/>
        <v>#DIV/0!</v>
      </c>
      <c r="G59" s="3268"/>
      <c r="H59" s="1106">
        <f>项目基本情况!B37</f>
        <v>0</v>
      </c>
      <c r="I59" s="1110">
        <f>SUMIF(修正!A45:A56,H59,修正!D45:D56)</f>
        <v>0</v>
      </c>
      <c r="J59" s="1114"/>
      <c r="K59" s="1146"/>
      <c r="L59" s="943"/>
      <c r="M59" s="943"/>
      <c r="N59" s="943"/>
      <c r="O59" s="943"/>
    </row>
    <row r="60" spans="1:15" s="691" customFormat="1">
      <c r="A60" s="692" t="s">
        <v>2770</v>
      </c>
      <c r="B60" s="262" t="e">
        <f t="shared" si="17"/>
        <v>#DIV/0!</v>
      </c>
      <c r="C60" s="200">
        <f t="shared" si="16"/>
        <v>0</v>
      </c>
      <c r="D60" s="1166">
        <v>0.25</v>
      </c>
      <c r="E60" s="693"/>
      <c r="F60" s="1105" t="e">
        <f t="shared" si="15"/>
        <v>#DIV/0!</v>
      </c>
      <c r="G60" s="3268"/>
      <c r="H60" s="1106">
        <f>项目基本情况!B37</f>
        <v>0</v>
      </c>
      <c r="I60" s="1110">
        <f>SUMIF(修正!A45:A56,H60,修正!E45:E56)</f>
        <v>0</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34044.230000000003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2"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3"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201" t="s">
        <v>2645</v>
      </c>
      <c r="S4" s="3202"/>
      <c r="T4" s="3201" t="s">
        <v>2646</v>
      </c>
      <c r="U4" s="3202"/>
      <c r="V4" s="3186" t="s">
        <v>2647</v>
      </c>
      <c r="W4" s="3186"/>
      <c r="X4" s="1814"/>
      <c r="Y4" s="3201" t="s">
        <v>2649</v>
      </c>
      <c r="Z4" s="3202"/>
      <c r="AA4" s="3188" t="s">
        <v>2645</v>
      </c>
      <c r="AB4" s="3189" t="s">
        <v>2646</v>
      </c>
      <c r="AC4" s="3188" t="s">
        <v>2647</v>
      </c>
    </row>
    <row r="5" spans="1:29" ht="15">
      <c r="A5" s="404"/>
      <c r="B5" s="405"/>
      <c r="C5" s="3246" t="s">
        <v>2540</v>
      </c>
      <c r="D5" s="3210"/>
      <c r="E5" s="3248" t="s">
        <v>2541</v>
      </c>
      <c r="F5" s="3218"/>
      <c r="G5" s="3246" t="s">
        <v>2542</v>
      </c>
      <c r="H5" s="3210"/>
      <c r="I5" s="3246" t="s">
        <v>2543</v>
      </c>
      <c r="J5" s="3210"/>
      <c r="K5" s="610"/>
      <c r="L5" s="1132"/>
      <c r="M5" s="1133"/>
      <c r="N5" s="1133"/>
      <c r="O5" s="1133"/>
      <c r="P5" s="3197"/>
      <c r="Q5" s="3198"/>
      <c r="R5" s="3203"/>
      <c r="S5" s="3204"/>
      <c r="T5" s="3203"/>
      <c r="U5" s="3204"/>
      <c r="V5" s="3186"/>
      <c r="W5" s="3186"/>
      <c r="X5" s="1814"/>
      <c r="Y5" s="3203"/>
      <c r="Z5" s="3204"/>
      <c r="AA5" s="3189"/>
      <c r="AB5" s="3189"/>
      <c r="AC5" s="3189"/>
    </row>
    <row r="6" spans="1:29" ht="15.75" thickBot="1">
      <c r="A6" s="406"/>
      <c r="B6" s="407"/>
      <c r="C6" s="3269" t="s">
        <v>2795</v>
      </c>
      <c r="D6" s="3270"/>
      <c r="E6" s="3271" t="s">
        <v>2795</v>
      </c>
      <c r="F6" s="3272"/>
      <c r="G6" s="3269" t="s">
        <v>2795</v>
      </c>
      <c r="H6" s="3270"/>
      <c r="I6" s="3269" t="s">
        <v>2795</v>
      </c>
      <c r="J6" s="3270"/>
      <c r="K6" s="610" t="s">
        <v>2545</v>
      </c>
      <c r="L6" s="1132"/>
      <c r="M6" s="1133"/>
      <c r="N6" s="1133"/>
      <c r="O6" s="1133"/>
      <c r="P6" s="3199"/>
      <c r="Q6" s="3200"/>
      <c r="R6" s="3203"/>
      <c r="S6" s="3204"/>
      <c r="T6" s="3205"/>
      <c r="U6" s="3206"/>
      <c r="V6" s="3186"/>
      <c r="W6" s="3186"/>
      <c r="X6" s="1814"/>
      <c r="Y6" s="3205"/>
      <c r="Z6" s="3206"/>
      <c r="AA6" s="3190"/>
      <c r="AB6" s="3190"/>
      <c r="AC6" s="3190"/>
    </row>
    <row r="7" spans="1:29" s="117" customFormat="1" ht="15.75" thickBot="1">
      <c r="A7" s="408" t="s">
        <v>2546</v>
      </c>
      <c r="B7" s="409"/>
      <c r="C7" s="410">
        <f>'数据-取费表'!B2</f>
        <v>43307</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211" t="s">
        <v>2547</v>
      </c>
      <c r="Q7" s="3213"/>
      <c r="R7" s="769" t="s">
        <v>17</v>
      </c>
      <c r="S7" s="770">
        <f t="shared" ref="S7:S15" si="0">F7</f>
        <v>0</v>
      </c>
      <c r="T7" s="769" t="s">
        <v>17</v>
      </c>
      <c r="U7" s="770">
        <f t="shared" ref="U7:U15" si="1">H7</f>
        <v>0</v>
      </c>
      <c r="V7" s="769" t="s">
        <v>17</v>
      </c>
      <c r="W7" s="770">
        <f t="shared" ref="W7:W15" si="2">J7</f>
        <v>0</v>
      </c>
      <c r="X7" s="771"/>
      <c r="Y7" s="3211" t="s">
        <v>2547</v>
      </c>
      <c r="Z7" s="3212"/>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1" t="s">
        <v>2550</v>
      </c>
      <c r="Q8" s="3212"/>
      <c r="R8" s="769" t="s">
        <v>17</v>
      </c>
      <c r="S8" s="770">
        <f t="shared" si="0"/>
        <v>0</v>
      </c>
      <c r="T8" s="769" t="s">
        <v>17</v>
      </c>
      <c r="U8" s="770">
        <f t="shared" si="1"/>
        <v>0</v>
      </c>
      <c r="V8" s="769" t="s">
        <v>17</v>
      </c>
      <c r="W8" s="770">
        <f t="shared" si="2"/>
        <v>0</v>
      </c>
      <c r="X8" s="771"/>
      <c r="Y8" s="3211" t="s">
        <v>2550</v>
      </c>
      <c r="Z8" s="3212"/>
      <c r="AA8" s="772" t="e">
        <f t="shared" ref="AA8:AA40" si="3">D8/F8</f>
        <v>#DIV/0!</v>
      </c>
      <c r="AB8" s="772" t="e">
        <f t="shared" ref="AB8:AB40" si="4">D8/H8</f>
        <v>#DIV/0!</v>
      </c>
      <c r="AC8" s="772"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172" t="s">
        <v>2553</v>
      </c>
      <c r="Q9" s="1796"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1"/>
      <c r="L10" s="1137"/>
      <c r="M10" s="1138"/>
      <c r="N10" s="1138"/>
      <c r="O10" s="1139"/>
      <c r="P10" s="3172"/>
      <c r="Q10" s="1796" t="str">
        <f t="shared" si="6"/>
        <v>土地使用年限（年）</v>
      </c>
      <c r="R10" s="769" t="s">
        <v>17</v>
      </c>
      <c r="S10" s="770">
        <f t="shared" si="0"/>
        <v>109</v>
      </c>
      <c r="T10" s="769" t="s">
        <v>17</v>
      </c>
      <c r="U10" s="770">
        <f t="shared" si="1"/>
        <v>109</v>
      </c>
      <c r="V10" s="769" t="s">
        <v>17</v>
      </c>
      <c r="W10" s="770">
        <f t="shared" si="2"/>
        <v>109</v>
      </c>
      <c r="X10" s="771"/>
      <c r="Y10" s="3027"/>
      <c r="Z10" s="55" t="str">
        <f t="shared" si="7"/>
        <v>土地使用年限（年）</v>
      </c>
      <c r="AA10" s="772">
        <f t="shared" si="3"/>
        <v>0.91743119266055051</v>
      </c>
      <c r="AB10" s="772">
        <f t="shared" si="4"/>
        <v>0.91743119266055051</v>
      </c>
      <c r="AC10" s="772">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172"/>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601">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172"/>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172"/>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6"/>
      <c r="B14" s="2603">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172"/>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0" t="s">
        <v>2557</v>
      </c>
      <c r="B15" s="628"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179" t="s">
        <v>2558</v>
      </c>
      <c r="Q15" s="1811" t="str">
        <f t="shared" si="6"/>
        <v>产业集聚程度</v>
      </c>
      <c r="R15" s="773" t="s">
        <v>17</v>
      </c>
      <c r="S15" s="774">
        <f t="shared" si="0"/>
        <v>100</v>
      </c>
      <c r="T15" s="773" t="s">
        <v>17</v>
      </c>
      <c r="U15" s="774">
        <f t="shared" si="1"/>
        <v>100</v>
      </c>
      <c r="V15" s="773" t="s">
        <v>17</v>
      </c>
      <c r="W15" s="774">
        <f t="shared" si="2"/>
        <v>100</v>
      </c>
      <c r="X15" s="1814"/>
      <c r="Y15" s="3179" t="s">
        <v>2558</v>
      </c>
      <c r="Z15" s="1815" t="str">
        <f t="shared" si="7"/>
        <v>产业集聚程度</v>
      </c>
      <c r="AA15" s="1812">
        <f t="shared" si="3"/>
        <v>1</v>
      </c>
      <c r="AB15" s="1812">
        <f t="shared" si="4"/>
        <v>1</v>
      </c>
      <c r="AC15" s="1812">
        <f t="shared" si="5"/>
        <v>1</v>
      </c>
    </row>
    <row r="16" spans="1:29" ht="15">
      <c r="A16" s="428"/>
      <c r="B16" s="629"/>
      <c r="C16" s="447"/>
      <c r="D16" s="448"/>
      <c r="E16" s="2612"/>
      <c r="F16" s="448"/>
      <c r="G16" s="2612"/>
      <c r="H16" s="450"/>
      <c r="I16" s="2612"/>
      <c r="J16" s="448"/>
      <c r="K16" s="671"/>
      <c r="L16" s="1142"/>
      <c r="M16" s="1133"/>
      <c r="N16" s="1133"/>
      <c r="O16" s="1141"/>
      <c r="P16" s="3180"/>
      <c r="Q16" s="1811"/>
      <c r="R16" s="773"/>
      <c r="S16" s="774"/>
      <c r="T16" s="773"/>
      <c r="U16" s="774"/>
      <c r="V16" s="773"/>
      <c r="W16" s="774"/>
      <c r="X16" s="1814"/>
      <c r="Y16" s="3180"/>
      <c r="Z16" s="1815"/>
      <c r="AA16" s="1812">
        <v>1</v>
      </c>
      <c r="AB16" s="1812">
        <v>1</v>
      </c>
      <c r="AC16" s="1812">
        <v>1</v>
      </c>
    </row>
    <row r="17" spans="1:29" ht="85.5">
      <c r="A17" s="428"/>
      <c r="B17" s="630"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180"/>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1812">
        <f t="shared" si="5"/>
        <v>1</v>
      </c>
    </row>
    <row r="18" spans="1:29" ht="15">
      <c r="A18" s="428"/>
      <c r="B18" s="631"/>
      <c r="C18" s="447"/>
      <c r="D18" s="448"/>
      <c r="E18" s="2606"/>
      <c r="F18" s="448"/>
      <c r="G18" s="2606"/>
      <c r="H18" s="448"/>
      <c r="I18" s="2605"/>
      <c r="J18" s="448"/>
      <c r="K18" s="671"/>
      <c r="L18" s="1142"/>
      <c r="M18" s="1133"/>
      <c r="N18" s="1133"/>
      <c r="O18" s="1141"/>
      <c r="P18" s="3180"/>
      <c r="Q18" s="1811"/>
      <c r="R18" s="773"/>
      <c r="S18" s="774"/>
      <c r="T18" s="773"/>
      <c r="U18" s="774"/>
      <c r="V18" s="773"/>
      <c r="W18" s="774"/>
      <c r="X18" s="1814"/>
      <c r="Y18" s="3180"/>
      <c r="Z18" s="1815"/>
      <c r="AA18" s="1812">
        <v>1</v>
      </c>
      <c r="AB18" s="1812">
        <v>1</v>
      </c>
      <c r="AC18" s="1812">
        <v>1</v>
      </c>
    </row>
    <row r="19" spans="1:29" ht="15">
      <c r="A19" s="428"/>
      <c r="B19" s="630"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180"/>
      <c r="Q19" s="1811" t="str">
        <f t="shared" ref="Q19:Q33" si="8">B19</f>
        <v>区域土地利用方向</v>
      </c>
      <c r="R19" s="773" t="s">
        <v>17</v>
      </c>
      <c r="S19" s="774">
        <f>F19</f>
        <v>100</v>
      </c>
      <c r="T19" s="773" t="s">
        <v>17</v>
      </c>
      <c r="U19" s="774">
        <f>H19</f>
        <v>100</v>
      </c>
      <c r="V19" s="773" t="s">
        <v>17</v>
      </c>
      <c r="W19" s="774">
        <f>J19</f>
        <v>100</v>
      </c>
      <c r="X19" s="1814"/>
      <c r="Y19" s="3180"/>
      <c r="Z19" s="1815" t="str">
        <f>Q19</f>
        <v>区域土地利用方向</v>
      </c>
      <c r="AA19" s="1812">
        <f t="shared" si="3"/>
        <v>1</v>
      </c>
      <c r="AB19" s="1812">
        <f t="shared" si="4"/>
        <v>1</v>
      </c>
      <c r="AC19" s="1812">
        <f t="shared" si="5"/>
        <v>1</v>
      </c>
    </row>
    <row r="20" spans="1:29" ht="15">
      <c r="A20" s="404"/>
      <c r="B20" s="631"/>
      <c r="C20" s="447"/>
      <c r="D20" s="448"/>
      <c r="E20" s="2606"/>
      <c r="F20" s="448"/>
      <c r="G20" s="2606"/>
      <c r="H20" s="448"/>
      <c r="I20" s="2606"/>
      <c r="J20" s="448"/>
      <c r="K20" s="811"/>
      <c r="L20" s="1142"/>
      <c r="M20" s="1133"/>
      <c r="N20" s="1133"/>
      <c r="O20" s="1141"/>
      <c r="P20" s="3180"/>
      <c r="Q20" s="1811"/>
      <c r="R20" s="773"/>
      <c r="S20" s="774"/>
      <c r="T20" s="773"/>
      <c r="U20" s="774"/>
      <c r="V20" s="773"/>
      <c r="W20" s="774"/>
      <c r="X20" s="1814"/>
      <c r="Y20" s="3180"/>
      <c r="Z20" s="1815"/>
      <c r="AA20" s="1812"/>
      <c r="AB20" s="1812"/>
      <c r="AC20" s="1812"/>
    </row>
    <row r="21" spans="1:29" ht="71.25">
      <c r="A21" s="404"/>
      <c r="B21" s="630"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180"/>
      <c r="Q21" s="1811" t="str">
        <f t="shared" si="8"/>
        <v>环境状况</v>
      </c>
      <c r="R21" s="773" t="s">
        <v>17</v>
      </c>
      <c r="S21" s="774">
        <f>F21</f>
        <v>100</v>
      </c>
      <c r="T21" s="773" t="s">
        <v>17</v>
      </c>
      <c r="U21" s="774">
        <f>H21</f>
        <v>100</v>
      </c>
      <c r="V21" s="773" t="s">
        <v>17</v>
      </c>
      <c r="W21" s="774">
        <f>J21</f>
        <v>100</v>
      </c>
      <c r="X21" s="1814"/>
      <c r="Y21" s="3180"/>
      <c r="Z21" s="1815" t="str">
        <f>Q21</f>
        <v>环境状况</v>
      </c>
      <c r="AA21" s="1812">
        <f t="shared" si="3"/>
        <v>1</v>
      </c>
      <c r="AB21" s="1812">
        <f t="shared" si="4"/>
        <v>1</v>
      </c>
      <c r="AC21" s="1812">
        <f t="shared" si="5"/>
        <v>1</v>
      </c>
    </row>
    <row r="22" spans="1:29" ht="15">
      <c r="A22" s="404"/>
      <c r="B22" s="631"/>
      <c r="C22" s="447"/>
      <c r="D22" s="448"/>
      <c r="E22" s="2612"/>
      <c r="F22" s="448"/>
      <c r="G22" s="2612"/>
      <c r="H22" s="448"/>
      <c r="I22" s="447"/>
      <c r="J22" s="448"/>
      <c r="K22" s="671"/>
      <c r="L22" s="1142"/>
      <c r="M22" s="1133"/>
      <c r="N22" s="1133"/>
      <c r="O22" s="1141"/>
      <c r="P22" s="3180"/>
      <c r="Q22" s="1811"/>
      <c r="R22" s="773"/>
      <c r="S22" s="774"/>
      <c r="T22" s="773"/>
      <c r="U22" s="774"/>
      <c r="V22" s="773"/>
      <c r="W22" s="774"/>
      <c r="X22" s="1814"/>
      <c r="Y22" s="3180"/>
      <c r="Z22" s="1815"/>
      <c r="AA22" s="1812">
        <v>1</v>
      </c>
      <c r="AB22" s="1812">
        <v>1</v>
      </c>
      <c r="AC22" s="1812">
        <v>1</v>
      </c>
    </row>
    <row r="23" spans="1:29" s="117" customFormat="1" ht="42.75">
      <c r="A23" s="648"/>
      <c r="B23" s="632"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180"/>
      <c r="Q23" s="1796" t="str">
        <f t="shared" si="8"/>
        <v>公共配套设施</v>
      </c>
      <c r="R23" s="769" t="s">
        <v>17</v>
      </c>
      <c r="S23" s="770">
        <f>F23</f>
        <v>100</v>
      </c>
      <c r="T23" s="769" t="s">
        <v>17</v>
      </c>
      <c r="U23" s="770">
        <f>H23</f>
        <v>100</v>
      </c>
      <c r="V23" s="769" t="s">
        <v>17</v>
      </c>
      <c r="W23" s="770">
        <f>J23</f>
        <v>100</v>
      </c>
      <c r="X23" s="771"/>
      <c r="Y23" s="3180"/>
      <c r="Z23" s="55" t="str">
        <f>Q23</f>
        <v>公共配套设施</v>
      </c>
      <c r="AA23" s="1812">
        <f>D23/F23</f>
        <v>1</v>
      </c>
      <c r="AB23" s="1812">
        <f>D23/H23</f>
        <v>1</v>
      </c>
      <c r="AC23" s="1812">
        <f>D23/J23</f>
        <v>1</v>
      </c>
    </row>
    <row r="24" spans="1:29" s="117" customFormat="1" ht="15">
      <c r="A24" s="648"/>
      <c r="B24" s="631"/>
      <c r="C24" s="2701"/>
      <c r="D24" s="448"/>
      <c r="E24" s="2612"/>
      <c r="F24" s="448"/>
      <c r="G24" s="2612"/>
      <c r="H24" s="448"/>
      <c r="I24" s="447"/>
      <c r="J24" s="448"/>
      <c r="K24" s="671"/>
      <c r="L24" s="1134"/>
      <c r="M24" s="1135"/>
      <c r="N24" s="1135"/>
      <c r="O24" s="1136"/>
      <c r="P24" s="3180"/>
      <c r="Q24" s="1796"/>
      <c r="R24" s="769"/>
      <c r="S24" s="770"/>
      <c r="T24" s="769"/>
      <c r="U24" s="770"/>
      <c r="V24" s="769"/>
      <c r="W24" s="770"/>
      <c r="X24" s="771"/>
      <c r="Y24" s="3180"/>
      <c r="Z24" s="55"/>
      <c r="AA24" s="772">
        <v>1</v>
      </c>
      <c r="AB24" s="772">
        <v>1</v>
      </c>
      <c r="AC24" s="772">
        <v>1</v>
      </c>
    </row>
    <row r="25" spans="1:29" s="117" customFormat="1" ht="28.5">
      <c r="A25" s="648"/>
      <c r="B25" s="632"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180"/>
      <c r="Q25" s="1796" t="str">
        <f t="shared" ref="Q25" si="9">B25</f>
        <v>基础设施水平</v>
      </c>
      <c r="R25" s="769" t="s">
        <v>17</v>
      </c>
      <c r="S25" s="770">
        <f>F25</f>
        <v>100</v>
      </c>
      <c r="T25" s="769" t="s">
        <v>17</v>
      </c>
      <c r="U25" s="770">
        <f>H25</f>
        <v>100</v>
      </c>
      <c r="V25" s="769" t="s">
        <v>17</v>
      </c>
      <c r="W25" s="770">
        <f>J25</f>
        <v>100</v>
      </c>
      <c r="X25" s="771"/>
      <c r="Y25" s="3180"/>
      <c r="Z25" s="55" t="str">
        <f>Q25</f>
        <v>基础设施水平</v>
      </c>
      <c r="AA25" s="1812">
        <f>D25/F25</f>
        <v>1</v>
      </c>
      <c r="AB25" s="1812">
        <f>D25/H25</f>
        <v>1</v>
      </c>
      <c r="AC25" s="1812">
        <f>D25/J25</f>
        <v>1</v>
      </c>
    </row>
    <row r="26" spans="1:29" s="117" customFormat="1" ht="15">
      <c r="A26" s="648"/>
      <c r="B26" s="631"/>
      <c r="C26" s="2701"/>
      <c r="D26" s="448"/>
      <c r="E26" s="2702"/>
      <c r="F26" s="448"/>
      <c r="G26" s="2702"/>
      <c r="H26" s="448"/>
      <c r="I26" s="2702"/>
      <c r="J26" s="448"/>
      <c r="K26" s="671"/>
      <c r="L26" s="1134"/>
      <c r="M26" s="1135"/>
      <c r="N26" s="1135"/>
      <c r="O26" s="1136"/>
      <c r="P26" s="3180"/>
      <c r="Q26" s="1796"/>
      <c r="R26" s="769"/>
      <c r="S26" s="770"/>
      <c r="T26" s="769"/>
      <c r="U26" s="770"/>
      <c r="V26" s="769"/>
      <c r="W26" s="770"/>
      <c r="X26" s="771"/>
      <c r="Y26" s="3180"/>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18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0"/>
      <c r="Z27" s="1815" t="str">
        <f t="shared" ref="Z27:Z40" si="13">Q27</f>
        <v>临街状况</v>
      </c>
      <c r="AA27" s="1812">
        <f t="shared" si="3"/>
        <v>1</v>
      </c>
      <c r="AB27" s="1812">
        <f t="shared" si="4"/>
        <v>1</v>
      </c>
      <c r="AC27" s="1812">
        <f t="shared" si="5"/>
        <v>1</v>
      </c>
    </row>
    <row r="28" spans="1:29" ht="27">
      <c r="A28" s="428"/>
      <c r="B28" s="632"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180"/>
      <c r="Q28" s="1811" t="str">
        <f t="shared" si="8"/>
        <v>毗邻道路的类型与等级</v>
      </c>
      <c r="R28" s="773" t="s">
        <v>17</v>
      </c>
      <c r="S28" s="774">
        <f t="shared" si="10"/>
        <v>100</v>
      </c>
      <c r="T28" s="773" t="s">
        <v>17</v>
      </c>
      <c r="U28" s="774">
        <f t="shared" si="11"/>
        <v>100</v>
      </c>
      <c r="V28" s="773" t="s">
        <v>17</v>
      </c>
      <c r="W28" s="774">
        <f t="shared" si="12"/>
        <v>100</v>
      </c>
      <c r="X28" s="1814"/>
      <c r="Y28" s="3180"/>
      <c r="Z28" s="1815" t="str">
        <f t="shared" si="13"/>
        <v>毗邻道路的类型与等级</v>
      </c>
      <c r="AA28" s="1812">
        <f t="shared" si="3"/>
        <v>1</v>
      </c>
      <c r="AB28" s="1812">
        <f t="shared" si="4"/>
        <v>1</v>
      </c>
      <c r="AC28" s="1812">
        <f t="shared" si="5"/>
        <v>1</v>
      </c>
    </row>
    <row r="29" spans="1:29" ht="15">
      <c r="A29" s="428"/>
      <c r="B29" s="631"/>
      <c r="C29" s="447"/>
      <c r="D29" s="448"/>
      <c r="E29" s="2612"/>
      <c r="F29" s="448"/>
      <c r="G29" s="2612"/>
      <c r="H29" s="448"/>
      <c r="I29" s="2612"/>
      <c r="J29" s="448"/>
      <c r="K29" s="613"/>
      <c r="L29" s="1142"/>
      <c r="M29" s="1133"/>
      <c r="N29" s="1133"/>
      <c r="O29" s="1141"/>
      <c r="P29" s="3180"/>
      <c r="Q29" s="1811"/>
      <c r="R29" s="773"/>
      <c r="S29" s="774"/>
      <c r="T29" s="773"/>
      <c r="U29" s="774"/>
      <c r="V29" s="773"/>
      <c r="W29" s="774"/>
      <c r="X29" s="1814"/>
      <c r="Y29" s="3180"/>
      <c r="Z29" s="1815"/>
      <c r="AA29" s="1812">
        <v>1</v>
      </c>
      <c r="AB29" s="1812">
        <v>1</v>
      </c>
      <c r="AC29" s="1812">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180"/>
      <c r="Q30" s="1811" t="str">
        <f t="shared" si="8"/>
        <v>土地级别</v>
      </c>
      <c r="R30" s="773" t="s">
        <v>17</v>
      </c>
      <c r="S30" s="774">
        <f t="shared" si="10"/>
        <v>100</v>
      </c>
      <c r="T30" s="773" t="s">
        <v>17</v>
      </c>
      <c r="U30" s="774">
        <f t="shared" si="11"/>
        <v>100</v>
      </c>
      <c r="V30" s="773" t="s">
        <v>17</v>
      </c>
      <c r="W30" s="774">
        <f t="shared" si="12"/>
        <v>100</v>
      </c>
      <c r="X30" s="1814"/>
      <c r="Y30" s="3180"/>
      <c r="Z30" s="1815" t="str">
        <f t="shared" si="13"/>
        <v>土地级别</v>
      </c>
      <c r="AA30" s="1812">
        <f t="shared" si="3"/>
        <v>1</v>
      </c>
      <c r="AB30" s="1812">
        <f t="shared" si="4"/>
        <v>1</v>
      </c>
      <c r="AC30" s="1812">
        <f t="shared" si="5"/>
        <v>1</v>
      </c>
    </row>
    <row r="31" spans="1:29" ht="15">
      <c r="A31" s="404"/>
      <c r="B31" s="2679">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0"/>
      <c r="Q31" s="1811">
        <f t="shared" si="8"/>
        <v>111</v>
      </c>
      <c r="R31" s="773" t="s">
        <v>17</v>
      </c>
      <c r="S31" s="774">
        <f t="shared" si="10"/>
        <v>100</v>
      </c>
      <c r="T31" s="773" t="s">
        <v>17</v>
      </c>
      <c r="U31" s="774">
        <f t="shared" si="11"/>
        <v>100</v>
      </c>
      <c r="V31" s="773" t="s">
        <v>17</v>
      </c>
      <c r="W31" s="774">
        <f t="shared" si="12"/>
        <v>100</v>
      </c>
      <c r="X31" s="1814"/>
      <c r="Y31" s="3180"/>
      <c r="Z31" s="1815">
        <f t="shared" si="13"/>
        <v>111</v>
      </c>
      <c r="AA31" s="1812">
        <f t="shared" si="3"/>
        <v>1</v>
      </c>
      <c r="AB31" s="1812">
        <f t="shared" si="4"/>
        <v>1</v>
      </c>
      <c r="AC31" s="1812">
        <f t="shared" si="5"/>
        <v>1</v>
      </c>
    </row>
    <row r="32" spans="1:29" ht="15">
      <c r="A32" s="674"/>
      <c r="B32" s="2715">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64" t="s">
        <v>2563</v>
      </c>
      <c r="Q32" s="1811">
        <f t="shared" si="8"/>
        <v>111</v>
      </c>
      <c r="R32" s="773" t="s">
        <v>17</v>
      </c>
      <c r="S32" s="774">
        <f t="shared" si="10"/>
        <v>100</v>
      </c>
      <c r="T32" s="773" t="s">
        <v>17</v>
      </c>
      <c r="U32" s="774">
        <f t="shared" si="11"/>
        <v>100</v>
      </c>
      <c r="V32" s="773" t="s">
        <v>17</v>
      </c>
      <c r="W32" s="774">
        <f t="shared" si="12"/>
        <v>100</v>
      </c>
      <c r="X32" s="1814"/>
      <c r="Y32" s="3184" t="s">
        <v>2563</v>
      </c>
      <c r="Z32" s="1815">
        <f t="shared" si="13"/>
        <v>111</v>
      </c>
      <c r="AA32" s="1812">
        <f t="shared" si="3"/>
        <v>1</v>
      </c>
      <c r="AB32" s="1812">
        <f t="shared" si="4"/>
        <v>1</v>
      </c>
      <c r="AC32" s="1812">
        <f t="shared" si="5"/>
        <v>1</v>
      </c>
    </row>
    <row r="33" spans="1:29" s="471" customFormat="1" ht="15.75" thickBot="1">
      <c r="A33" s="675"/>
      <c r="B33" s="2716">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184"/>
      <c r="Q33" s="1811">
        <f t="shared" si="8"/>
        <v>111</v>
      </c>
      <c r="R33" s="776" t="s">
        <v>17</v>
      </c>
      <c r="S33" s="777">
        <f t="shared" si="10"/>
        <v>100</v>
      </c>
      <c r="T33" s="776" t="s">
        <v>17</v>
      </c>
      <c r="U33" s="777">
        <f t="shared" si="11"/>
        <v>100</v>
      </c>
      <c r="V33" s="776" t="s">
        <v>17</v>
      </c>
      <c r="W33" s="777">
        <f t="shared" si="12"/>
        <v>100</v>
      </c>
      <c r="X33" s="778"/>
      <c r="Y33" s="3184"/>
      <c r="Z33" s="779">
        <f t="shared" si="13"/>
        <v>111</v>
      </c>
      <c r="AA33" s="1812">
        <f t="shared" si="3"/>
        <v>1</v>
      </c>
      <c r="AB33" s="1812">
        <f t="shared" si="4"/>
        <v>1</v>
      </c>
      <c r="AC33" s="1812">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184"/>
      <c r="Q34" s="1811" t="str">
        <f>B34</f>
        <v>宗地面积</v>
      </c>
      <c r="R34" s="773" t="s">
        <v>17</v>
      </c>
      <c r="S34" s="774" t="e">
        <f t="shared" si="10"/>
        <v>#N/A</v>
      </c>
      <c r="T34" s="773" t="s">
        <v>17</v>
      </c>
      <c r="U34" s="774" t="e">
        <f t="shared" si="11"/>
        <v>#N/A</v>
      </c>
      <c r="V34" s="773" t="s">
        <v>17</v>
      </c>
      <c r="W34" s="774" t="e">
        <f t="shared" si="12"/>
        <v>#N/A</v>
      </c>
      <c r="X34" s="1814"/>
      <c r="Y34" s="3184"/>
      <c r="Z34" s="1815" t="str">
        <f t="shared" si="13"/>
        <v>宗地面积</v>
      </c>
      <c r="AA34" s="1812" t="e">
        <f t="shared" si="3"/>
        <v>#N/A</v>
      </c>
      <c r="AB34" s="1812" t="e">
        <f t="shared" si="4"/>
        <v>#N/A</v>
      </c>
      <c r="AC34" s="1812"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184"/>
      <c r="Q35" s="1811" t="str">
        <f t="shared" ref="Q35:Q40" si="14">B35</f>
        <v>宗地形状</v>
      </c>
      <c r="R35" s="773" t="s">
        <v>17</v>
      </c>
      <c r="S35" s="774">
        <f t="shared" si="10"/>
        <v>100</v>
      </c>
      <c r="T35" s="773" t="s">
        <v>17</v>
      </c>
      <c r="U35" s="774">
        <f t="shared" si="11"/>
        <v>100</v>
      </c>
      <c r="V35" s="773" t="s">
        <v>17</v>
      </c>
      <c r="W35" s="774">
        <f t="shared" si="12"/>
        <v>100</v>
      </c>
      <c r="X35" s="1814"/>
      <c r="Y35" s="3184"/>
      <c r="Z35" s="1815" t="str">
        <f t="shared" si="13"/>
        <v>宗地形状</v>
      </c>
      <c r="AA35" s="1812">
        <f t="shared" si="3"/>
        <v>1</v>
      </c>
      <c r="AB35" s="1812">
        <f t="shared" si="4"/>
        <v>1</v>
      </c>
      <c r="AC35" s="1812">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84"/>
      <c r="Q36" s="1811" t="str">
        <f t="shared" si="14"/>
        <v>宗地开发程度</v>
      </c>
      <c r="R36" s="769" t="s">
        <v>17</v>
      </c>
      <c r="S36" s="770">
        <f t="shared" si="10"/>
        <v>100</v>
      </c>
      <c r="T36" s="769" t="s">
        <v>17</v>
      </c>
      <c r="U36" s="770">
        <f t="shared" si="11"/>
        <v>100</v>
      </c>
      <c r="V36" s="769" t="s">
        <v>17</v>
      </c>
      <c r="W36" s="770">
        <f t="shared" si="12"/>
        <v>100</v>
      </c>
      <c r="X36" s="771"/>
      <c r="Y36" s="3184"/>
      <c r="Z36" s="55" t="str">
        <f t="shared" si="13"/>
        <v>宗地开发程度</v>
      </c>
      <c r="AA36" s="772">
        <f t="shared" si="3"/>
        <v>1</v>
      </c>
      <c r="AB36" s="772">
        <f t="shared" si="4"/>
        <v>1</v>
      </c>
      <c r="AC36" s="772">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184" t="s">
        <v>2563</v>
      </c>
      <c r="Q37" s="1811" t="str">
        <f t="shared" si="14"/>
        <v>工程地质条件</v>
      </c>
      <c r="R37" s="773" t="s">
        <v>17</v>
      </c>
      <c r="S37" s="774">
        <f t="shared" si="10"/>
        <v>100</v>
      </c>
      <c r="T37" s="773" t="s">
        <v>17</v>
      </c>
      <c r="U37" s="774">
        <f t="shared" si="11"/>
        <v>100</v>
      </c>
      <c r="V37" s="773" t="s">
        <v>17</v>
      </c>
      <c r="W37" s="774">
        <f t="shared" si="12"/>
        <v>100</v>
      </c>
      <c r="X37" s="1814"/>
      <c r="Y37" s="3184" t="s">
        <v>2563</v>
      </c>
      <c r="Z37" s="1815" t="str">
        <f t="shared" si="13"/>
        <v>工程地质条件</v>
      </c>
      <c r="AA37" s="1812">
        <f t="shared" si="3"/>
        <v>1</v>
      </c>
      <c r="AB37" s="1812">
        <f t="shared" si="4"/>
        <v>1</v>
      </c>
      <c r="AC37" s="1812">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184"/>
      <c r="Q38" s="1811">
        <f t="shared" si="14"/>
        <v>111</v>
      </c>
      <c r="R38" s="773" t="s">
        <v>17</v>
      </c>
      <c r="S38" s="774">
        <f t="shared" si="10"/>
        <v>100</v>
      </c>
      <c r="T38" s="773" t="s">
        <v>17</v>
      </c>
      <c r="U38" s="774">
        <f t="shared" si="11"/>
        <v>100</v>
      </c>
      <c r="V38" s="773" t="s">
        <v>17</v>
      </c>
      <c r="W38" s="774">
        <f t="shared" si="12"/>
        <v>100</v>
      </c>
      <c r="X38" s="1814"/>
      <c r="Y38" s="3184"/>
      <c r="Z38" s="1815">
        <f t="shared" si="13"/>
        <v>111</v>
      </c>
      <c r="AA38" s="1812">
        <f t="shared" si="3"/>
        <v>1</v>
      </c>
      <c r="AB38" s="1812">
        <f t="shared" si="4"/>
        <v>1</v>
      </c>
      <c r="AC38" s="1812">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184"/>
      <c r="Q39" s="1811">
        <f t="shared" si="14"/>
        <v>111</v>
      </c>
      <c r="R39" s="773" t="s">
        <v>17</v>
      </c>
      <c r="S39" s="774">
        <f t="shared" si="10"/>
        <v>100</v>
      </c>
      <c r="T39" s="773" t="s">
        <v>17</v>
      </c>
      <c r="U39" s="774">
        <f t="shared" si="11"/>
        <v>100</v>
      </c>
      <c r="V39" s="773" t="s">
        <v>17</v>
      </c>
      <c r="W39" s="774">
        <f t="shared" si="12"/>
        <v>100</v>
      </c>
      <c r="X39" s="1814"/>
      <c r="Y39" s="3184"/>
      <c r="Z39" s="1815">
        <f t="shared" si="13"/>
        <v>111</v>
      </c>
      <c r="AA39" s="1812">
        <f t="shared" si="3"/>
        <v>1</v>
      </c>
      <c r="AB39" s="1812">
        <f t="shared" si="4"/>
        <v>1</v>
      </c>
      <c r="AC39" s="1812">
        <f t="shared" si="5"/>
        <v>1</v>
      </c>
    </row>
    <row r="40" spans="1:29" s="471" customFormat="1" ht="15.75" thickBot="1">
      <c r="A40" s="468"/>
      <c r="B40" s="1389">
        <v>111</v>
      </c>
      <c r="C40" s="2704"/>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184"/>
      <c r="Q40" s="1811">
        <f t="shared" si="14"/>
        <v>111</v>
      </c>
      <c r="R40" s="776" t="s">
        <v>17</v>
      </c>
      <c r="S40" s="777">
        <f t="shared" si="10"/>
        <v>100</v>
      </c>
      <c r="T40" s="776" t="s">
        <v>17</v>
      </c>
      <c r="U40" s="777">
        <f t="shared" si="11"/>
        <v>100</v>
      </c>
      <c r="V40" s="776" t="s">
        <v>17</v>
      </c>
      <c r="W40" s="777">
        <f t="shared" si="12"/>
        <v>100</v>
      </c>
      <c r="X40" s="778"/>
      <c r="Y40" s="3184"/>
      <c r="Z40" s="779">
        <f t="shared" si="13"/>
        <v>111</v>
      </c>
      <c r="AA40" s="1812">
        <f t="shared" si="3"/>
        <v>1</v>
      </c>
      <c r="AB40" s="1812">
        <f t="shared" si="4"/>
        <v>1</v>
      </c>
      <c r="AC40" s="1812">
        <f t="shared" si="5"/>
        <v>1</v>
      </c>
    </row>
    <row r="41" spans="1:29" ht="15">
      <c r="A41" s="479" t="s">
        <v>2718</v>
      </c>
      <c r="B41" s="2705" t="s">
        <v>2798</v>
      </c>
      <c r="C41" s="681" t="s">
        <v>1</v>
      </c>
      <c r="D41" s="481"/>
      <c r="E41" s="482"/>
      <c r="F41" s="483"/>
      <c r="G41" s="484"/>
      <c r="H41" s="485"/>
      <c r="I41" s="482"/>
      <c r="J41" s="485"/>
      <c r="K41" s="782"/>
      <c r="L41" s="1145"/>
      <c r="M41" s="1133"/>
      <c r="N41" s="1133"/>
      <c r="O41" s="1146"/>
      <c r="P41" s="3172" t="str">
        <f>A41</f>
        <v>成交单价</v>
      </c>
      <c r="Q41" s="3172"/>
      <c r="R41" s="3186">
        <f>E41</f>
        <v>0</v>
      </c>
      <c r="S41" s="3186"/>
      <c r="T41" s="3186">
        <f>G41</f>
        <v>0</v>
      </c>
      <c r="U41" s="3186"/>
      <c r="V41" s="3186">
        <f>I41</f>
        <v>0</v>
      </c>
      <c r="W41" s="3186"/>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172" t="str">
        <f>A42</f>
        <v>比较价值（元/平方米）</v>
      </c>
      <c r="Q42" s="3172"/>
      <c r="R42" s="3265" t="e">
        <f>ROUND(PRODUCT(R41,AA7:AA40),0)</f>
        <v>#DIV/0!</v>
      </c>
      <c r="S42" s="3265"/>
      <c r="T42" s="3265" t="e">
        <f>ROUND(PRODUCT(T41,AB7:AB40),0)</f>
        <v>#DIV/0!</v>
      </c>
      <c r="U42" s="3265"/>
      <c r="V42" s="3265" t="e">
        <f>ROUND(PRODUCT(V41,AC7:AC40),0)</f>
        <v>#DIV/0!</v>
      </c>
      <c r="W42" s="3265"/>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174" t="str">
        <f>A43</f>
        <v>估价对象XX用房的比较价值（楼面单价，元/平方米）</v>
      </c>
      <c r="Q43" s="3175"/>
      <c r="R43" s="3266" t="e">
        <f>ROUND(AVERAGE(R42:V42),0)</f>
        <v>#DIV/0!</v>
      </c>
      <c r="S43" s="3266"/>
      <c r="T43" s="3266"/>
      <c r="U43" s="3266"/>
      <c r="V43" s="3266"/>
      <c r="W43" s="326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6" t="s">
        <v>2758</v>
      </c>
      <c r="D50" s="2707" t="s">
        <v>2759</v>
      </c>
      <c r="E50" s="685" t="s">
        <v>2760</v>
      </c>
      <c r="F50" s="686" t="s">
        <v>2761</v>
      </c>
      <c r="G50" s="3191" t="s">
        <v>2762</v>
      </c>
      <c r="H50" s="3267"/>
      <c r="I50" s="1815" t="s">
        <v>2799</v>
      </c>
      <c r="J50" s="1815" t="str">
        <f>项目基本情况!F35</f>
        <v>河南省</v>
      </c>
      <c r="K50" s="2709" t="s">
        <v>2764</v>
      </c>
      <c r="L50" s="1108"/>
      <c r="M50" s="1146"/>
      <c r="N50" s="1146"/>
      <c r="O50" s="1146"/>
    </row>
    <row r="51" spans="1:17" s="691" customFormat="1">
      <c r="A51" s="687" t="s">
        <v>2765</v>
      </c>
      <c r="B51" s="688" t="e">
        <f>C43</f>
        <v>#DIV/0!</v>
      </c>
      <c r="C51" s="689">
        <v>1</v>
      </c>
      <c r="D51" s="1165">
        <v>1</v>
      </c>
      <c r="E51" s="689">
        <f>'数据-汇总表'!E8+'数据-汇总表'!E9</f>
        <v>34044.230000000003</v>
      </c>
      <c r="F51" s="690" t="e">
        <f t="shared" ref="F51:F60" si="15">ROUND(B51*E51/10000,0)</f>
        <v>#DIV/0!</v>
      </c>
      <c r="G51" s="3187"/>
      <c r="H51" s="3172"/>
      <c r="I51" s="944">
        <v>1</v>
      </c>
      <c r="J51" s="944">
        <v>1</v>
      </c>
      <c r="K51" s="1147"/>
      <c r="L51" s="943"/>
      <c r="M51" s="943"/>
      <c r="N51" s="943"/>
      <c r="O51" s="943"/>
    </row>
    <row r="52" spans="1:17" s="691" customFormat="1">
      <c r="A52" s="692" t="s">
        <v>2766</v>
      </c>
      <c r="B52" s="262" t="e">
        <f>ROUND($C$43*C52*D52,0)</f>
        <v>#DIV/0!</v>
      </c>
      <c r="C52" s="200">
        <f t="shared" ref="C52:C60" si="16">IF($C$50="北京市系数",I52,J52)</f>
        <v>0</v>
      </c>
      <c r="D52" s="1166">
        <v>0.25</v>
      </c>
      <c r="E52" s="693"/>
      <c r="F52" s="690" t="e">
        <f t="shared" si="15"/>
        <v>#DIV/0!</v>
      </c>
      <c r="G52" s="3268" t="s">
        <v>2767</v>
      </c>
      <c r="H52" s="1106">
        <f>项目基本情况!B37</f>
        <v>0</v>
      </c>
      <c r="I52" s="944">
        <f>SUMIF(修正!A45:A56,H52,修正!B45:B56)</f>
        <v>0</v>
      </c>
      <c r="J52" s="945"/>
      <c r="K52" s="1146"/>
      <c r="L52" s="943"/>
      <c r="M52" s="943"/>
      <c r="N52" s="943"/>
      <c r="O52" s="943"/>
    </row>
    <row r="53" spans="1:17" s="691" customFormat="1">
      <c r="A53" s="692" t="s">
        <v>2768</v>
      </c>
      <c r="B53" s="262" t="e">
        <f t="shared" ref="B53:B60" si="17">ROUND($C$43*C53*D53,0)</f>
        <v>#DIV/0!</v>
      </c>
      <c r="C53" s="200">
        <f t="shared" si="16"/>
        <v>0</v>
      </c>
      <c r="D53" s="1166">
        <v>0.25</v>
      </c>
      <c r="E53" s="693"/>
      <c r="F53" s="690" t="e">
        <f t="shared" si="15"/>
        <v>#DIV/0!</v>
      </c>
      <c r="G53" s="3268"/>
      <c r="H53" s="1106">
        <f>项目基本情况!B37</f>
        <v>0</v>
      </c>
      <c r="I53" s="944">
        <f>SUMIF(修正!A45:A56,H53,修正!C45:C56)</f>
        <v>0</v>
      </c>
      <c r="J53" s="945"/>
      <c r="K53" s="1147"/>
      <c r="L53" s="943"/>
      <c r="M53" s="943"/>
      <c r="N53" s="943"/>
      <c r="O53" s="943"/>
    </row>
    <row r="54" spans="1:17" s="691" customFormat="1">
      <c r="A54" s="692" t="s">
        <v>2769</v>
      </c>
      <c r="B54" s="262" t="e">
        <f t="shared" si="17"/>
        <v>#DIV/0!</v>
      </c>
      <c r="C54" s="200">
        <f t="shared" si="16"/>
        <v>0</v>
      </c>
      <c r="D54" s="1166">
        <v>0.25</v>
      </c>
      <c r="E54" s="693"/>
      <c r="F54" s="690" t="e">
        <f t="shared" si="15"/>
        <v>#DIV/0!</v>
      </c>
      <c r="G54" s="3268"/>
      <c r="H54" s="1106">
        <f>项目基本情况!B37</f>
        <v>0</v>
      </c>
      <c r="I54" s="944">
        <f>SUMIF(修正!A45:A56,H54,修正!D45:D56)</f>
        <v>0</v>
      </c>
      <c r="J54" s="945"/>
      <c r="K54" s="1146"/>
      <c r="L54" s="943"/>
      <c r="M54" s="943"/>
      <c r="N54" s="943"/>
      <c r="O54" s="943"/>
    </row>
    <row r="55" spans="1:17" s="691" customFormat="1">
      <c r="A55" s="692" t="s">
        <v>2770</v>
      </c>
      <c r="B55" s="262" t="e">
        <f t="shared" si="17"/>
        <v>#DIV/0!</v>
      </c>
      <c r="C55" s="200">
        <f t="shared" si="16"/>
        <v>0</v>
      </c>
      <c r="D55" s="1166">
        <v>0.25</v>
      </c>
      <c r="E55" s="693"/>
      <c r="F55" s="690" t="e">
        <f t="shared" si="15"/>
        <v>#DIV/0!</v>
      </c>
      <c r="G55" s="3268"/>
      <c r="H55" s="1106">
        <f>项目基本情况!B37</f>
        <v>0</v>
      </c>
      <c r="I55" s="944">
        <f>SUMIF(修正!A45:A56,H55,修正!E45:E56)</f>
        <v>0</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10"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v>
      </c>
      <c r="D59" s="1166">
        <v>0.25</v>
      </c>
      <c r="E59" s="261">
        <f>'数据-汇总表'!E14</f>
        <v>0</v>
      </c>
      <c r="F59" s="690" t="e">
        <f t="shared" si="15"/>
        <v>#DIV/0!</v>
      </c>
      <c r="G59" s="2710" t="s">
        <v>2767</v>
      </c>
      <c r="H59" s="1106">
        <f>项目基本情况!B37</f>
        <v>0</v>
      </c>
      <c r="I59" s="944">
        <f>SUMIF(修正!A45:A56,H59,修正!H45:H56)</f>
        <v>0</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1"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2"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7"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5" t="e">
        <f>IF(F3="宗地容积率",'数据-汇总表'!I4,IF(F3="估价对象容积率",'数据-汇总表'!I6,'数据-汇总表'!I7))</f>
        <v>#DIV/0!</v>
      </c>
      <c r="H3" s="198" t="s">
        <v>2820</v>
      </c>
      <c r="I3" s="946"/>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7">
        <f>SUMIF(L1:L12,G2,M1:M12)</f>
        <v>0</v>
      </c>
      <c r="D6" s="2742" t="s">
        <v>2828</v>
      </c>
      <c r="E6" s="2743"/>
      <c r="F6" s="2743"/>
      <c r="G6" s="2744"/>
      <c r="H6" s="2744"/>
      <c r="I6" s="2744"/>
      <c r="J6" s="2745"/>
      <c r="K6" s="1843"/>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80" t="str">
        <f>IF(E2="商业",IF(C8="不临58条商业街","",2),"")</f>
        <v/>
      </c>
      <c r="B7" s="2746" t="s">
        <v>2830</v>
      </c>
      <c r="C7" s="918" t="e">
        <f>IF(C8="不临58条商业街",1,ROUND(1+(1.6*E8+1.2*E9+0.8*E10+0.4*E11)*C9,4))</f>
        <v>#DIV/0!</v>
      </c>
      <c r="D7" s="2747" t="s">
        <v>2831</v>
      </c>
      <c r="E7" s="947"/>
      <c r="F7" s="2748"/>
      <c r="G7" s="2749"/>
      <c r="H7" s="2749"/>
      <c r="I7" s="2749"/>
      <c r="J7" s="2750"/>
      <c r="K7" s="1843"/>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7" t="s">
        <v>2833</v>
      </c>
      <c r="X7" s="1606">
        <f>G2</f>
        <v>0</v>
      </c>
      <c r="Y7" s="1606" t="s">
        <v>2834</v>
      </c>
      <c r="Z7" s="1607" t="e">
        <f>G3</f>
        <v>#DIV/0!</v>
      </c>
      <c r="AA7" s="1608"/>
      <c r="AB7" s="1608"/>
      <c r="AC7" s="1609"/>
      <c r="AD7" s="1610"/>
      <c r="AE7" s="1610"/>
      <c r="AF7" s="1610"/>
      <c r="AG7" s="1610"/>
      <c r="AH7" s="1610"/>
      <c r="AI7" s="1610"/>
      <c r="AJ7" s="1611"/>
    </row>
    <row r="8" spans="1:36" ht="15">
      <c r="A8" s="3281"/>
      <c r="B8" s="198" t="s">
        <v>2835</v>
      </c>
      <c r="C8" s="2751"/>
      <c r="D8" s="919" t="s">
        <v>139</v>
      </c>
      <c r="E8" s="920"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3" t="s">
        <v>2838</v>
      </c>
      <c r="X8" s="3274"/>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81"/>
      <c r="B9" s="198" t="s">
        <v>2851</v>
      </c>
      <c r="C9" s="921">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5" t="s">
        <v>2854</v>
      </c>
      <c r="X9" s="1613" t="s">
        <v>2855</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1"/>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1"/>
      <c r="B11" s="2755" t="s">
        <v>2859</v>
      </c>
      <c r="C11" s="922">
        <f>C10/4</f>
        <v>0</v>
      </c>
      <c r="D11" s="922" t="s">
        <v>142</v>
      </c>
      <c r="E11" s="922"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5"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0" t="s">
        <v>2864</v>
      </c>
      <c r="B12" s="2759" t="s">
        <v>2865</v>
      </c>
      <c r="C12" s="918">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5"/>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65" t="s">
        <v>2869</v>
      </c>
      <c r="C13" s="2766" t="s">
        <v>2870</v>
      </c>
      <c r="D13" s="1809" t="s">
        <v>2871</v>
      </c>
      <c r="E13" s="1809"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75"/>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82"/>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3"/>
      <c r="B15" s="2777" t="s">
        <v>2876</v>
      </c>
      <c r="C15" s="229">
        <f>IF(C14="有",1.1,1)</f>
        <v>1</v>
      </c>
      <c r="D15" s="229">
        <f>IF(D14="有",1.1,1)</f>
        <v>1</v>
      </c>
      <c r="E15" s="229">
        <f>IF(E14="有",1.1,1)</f>
        <v>1</v>
      </c>
      <c r="F15" s="229">
        <f>IF(F14="500米范围内",1.2,IF(F14="500-1000米",1.1,1))</f>
        <v>1</v>
      </c>
      <c r="G15" s="948">
        <v>1</v>
      </c>
      <c r="H15" s="948">
        <v>1</v>
      </c>
      <c r="I15" s="948">
        <v>1</v>
      </c>
      <c r="J15" s="949">
        <v>1</v>
      </c>
      <c r="K15" s="1372"/>
      <c r="L15" s="2778" t="s">
        <v>2812</v>
      </c>
      <c r="M15" s="919" t="s">
        <v>2877</v>
      </c>
      <c r="N15" s="919" t="s">
        <v>2878</v>
      </c>
      <c r="O15" s="919"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0" t="s">
        <v>2881</v>
      </c>
      <c r="B16" s="2746" t="s">
        <v>2882</v>
      </c>
      <c r="C16" s="1802" t="e">
        <f>ROUND(SUM(G17:J17)/C17,0)</f>
        <v>#DIV/0!</v>
      </c>
      <c r="D16" s="2780" t="s">
        <v>2883</v>
      </c>
      <c r="E16" s="2781"/>
      <c r="F16" s="2782"/>
      <c r="G16" s="2783"/>
      <c r="H16" s="2783"/>
      <c r="I16" s="2783"/>
      <c r="J16" s="2784"/>
      <c r="K16" s="1372"/>
      <c r="L16" s="2785"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1"/>
      <c r="B17" s="2786" t="s">
        <v>2885</v>
      </c>
      <c r="C17" s="923">
        <f>SUMPRODUCT((修正!A2:A5=E2)*(修正!B1:M1=G2)*(修正!B2:M5))</f>
        <v>0</v>
      </c>
      <c r="D17" s="2787"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6" t="e">
        <f>ROUND(IF(H19="按公示增长率计算",SUMPRODUCT((地价!A3:A23=YEAR(G19)&amp;"-"&amp;ROUNDUP(MONTH(G19)/3,0))*(地价!X2:AB2=E2)*(地价!X3:AB23)),IF(H19="地价指数",M20/M19,(1+I19)^O19)),4)</f>
        <v>#DIV/0!</v>
      </c>
      <c r="D19" s="2798" t="s">
        <v>2891</v>
      </c>
      <c r="E19" s="927">
        <v>41640</v>
      </c>
      <c r="F19" s="2798" t="s">
        <v>2892</v>
      </c>
      <c r="G19" s="928">
        <f>'数据-取费表'!B2</f>
        <v>43307</v>
      </c>
      <c r="H19" s="2799" t="s">
        <v>2893</v>
      </c>
      <c r="I19" s="929" t="str">
        <f>IF(H19="季度增幅（自定义）",SUMIF(N21:N24,E2,O21:O24),"")</f>
        <v/>
      </c>
      <c r="J19" s="2796"/>
      <c r="K19" s="1379"/>
      <c r="L19" s="2800" t="s">
        <v>2894</v>
      </c>
      <c r="M19" s="1735">
        <f>ROUND(SUMIF(地价!B2:F2,E2,地价!B23:F23),0)</f>
        <v>0</v>
      </c>
      <c r="N19" s="2801"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1" t="e">
        <f>ROUND(POWER(1+G20,J20-I20)*(POWER(1+G20,I20)-1)/(POWER(1+G20,J20)-1),4)</f>
        <v>#DIV/0!</v>
      </c>
      <c r="D20" s="2807" t="s">
        <v>2897</v>
      </c>
      <c r="E20" s="1769">
        <f ca="1">存贷款利率!D4/100</f>
        <v>4.3499999999999997E-2</v>
      </c>
      <c r="F20" s="2807" t="s">
        <v>2888</v>
      </c>
      <c r="G20" s="936">
        <f>SUMIF(M15:P15,E2,M17:P17)</f>
        <v>0</v>
      </c>
      <c r="H20" s="2807" t="s">
        <v>2898</v>
      </c>
      <c r="I20" s="937" t="e">
        <f>SUMIF('数据-取费表'!C6:C15,E2,'数据-取费表'!F6:F15)/COUNTIF('数据-取费表'!C6:C15,E2)</f>
        <v>#DIV/0!</v>
      </c>
      <c r="J20" s="938">
        <f>IF(E2="住宅",70,IF(E2="商业",40,50))</f>
        <v>50</v>
      </c>
      <c r="K20" s="1379"/>
      <c r="L20" s="2808" t="s">
        <v>2899</v>
      </c>
      <c r="M20" s="1736">
        <f>ROUND(SUMPRODUCT((地价!A4:A23=YEAR(G19)&amp;"-"&amp;ROUNDUP(MONTH(G19)/3,0))*(地价!B2:F2=E2)*(地价!B4:F23)),0)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39" t="e">
        <f>IF(B21="容积率修正",IF(G3&lt;=10,D22,J22),C23)</f>
        <v>#DIV/0!</v>
      </c>
      <c r="D21" s="2814"/>
      <c r="E21" s="2814"/>
      <c r="F21" s="2814"/>
      <c r="G21" s="2814"/>
      <c r="H21" s="2814"/>
      <c r="I21" s="2814"/>
      <c r="J21" s="2815"/>
      <c r="K21" s="1379"/>
      <c r="N21" s="2816"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1" t="s">
        <v>2907</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9"/>
      <c r="N22" s="2816"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5"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6">
        <f>SUMIF(A45:A88,E2,B45:B88)</f>
        <v>0</v>
      </c>
      <c r="D24" s="2794"/>
      <c r="E24" s="2824"/>
      <c r="F24" s="2824"/>
      <c r="G24" s="2824"/>
      <c r="H24" s="2824"/>
      <c r="I24" s="2824"/>
      <c r="J24" s="2825"/>
      <c r="K24" s="1379"/>
      <c r="N24" s="2826"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2"/>
      <c r="D25" s="2749"/>
      <c r="E25" s="2749"/>
      <c r="F25" s="2828"/>
      <c r="G25" s="2749"/>
      <c r="H25" s="2749"/>
      <c r="I25" s="2749"/>
      <c r="J25" s="2750"/>
      <c r="K25" s="1372"/>
      <c r="N25" s="2829"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4"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4"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90" t="s">
        <v>2930</v>
      </c>
      <c r="B33" s="2862" t="s">
        <v>2931</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1"/>
      <c r="B34" s="2766" t="s">
        <v>2932</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1"/>
      <c r="B35" s="2766" t="s">
        <v>2933</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92"/>
      <c r="B36" s="2766" t="s">
        <v>2934</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8"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0" t="s">
        <v>2943</v>
      </c>
      <c r="C47" s="1810" t="s">
        <v>2944</v>
      </c>
      <c r="D47" s="1810" t="s">
        <v>2945</v>
      </c>
      <c r="E47" s="818" t="s">
        <v>2946</v>
      </c>
      <c r="F47" s="2880" t="s">
        <v>2947</v>
      </c>
      <c r="G47" s="1810" t="s">
        <v>754</v>
      </c>
      <c r="H47" s="2881" t="s">
        <v>2948</v>
      </c>
      <c r="I47" s="1810"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估价对象位于浉河区，周边商业氛围较好，人流量较大，商业繁华度较好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3.75">
      <c r="A49" s="2879" t="s">
        <v>2951</v>
      </c>
      <c r="B49" s="2883" t="str">
        <f>估价对象房地状况!C18</f>
        <v>估价对象周边道路状况一般、公共交通通达情况一般、停车便捷程度一般，综合评价交通便捷度一般。</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6"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0"/>
      <c r="C58" s="1810" t="s">
        <v>2944</v>
      </c>
      <c r="D58" s="1810" t="s">
        <v>2945</v>
      </c>
      <c r="E58" s="818" t="s">
        <v>2946</v>
      </c>
      <c r="F58" s="2880" t="s">
        <v>2962</v>
      </c>
      <c r="G58" s="1810" t="s">
        <v>754</v>
      </c>
      <c r="H58" s="2881" t="s">
        <v>2948</v>
      </c>
      <c r="I58" s="1810"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3.75">
      <c r="A60" s="2879" t="s">
        <v>2951</v>
      </c>
      <c r="B60" s="2883" t="str">
        <f>估价对象房地状况!C18</f>
        <v>估价对象周边道路状况一般、公共交通通达情况一般、停车便捷程度一般，综合评价交通便捷度一般。</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6"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6"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0"/>
      <c r="C69" s="1810" t="s">
        <v>2944</v>
      </c>
      <c r="D69" s="1810" t="s">
        <v>2945</v>
      </c>
      <c r="E69" s="818" t="s">
        <v>2946</v>
      </c>
      <c r="F69" s="2880" t="s">
        <v>2962</v>
      </c>
      <c r="G69" s="1810" t="s">
        <v>754</v>
      </c>
      <c r="H69" s="2881" t="s">
        <v>2948</v>
      </c>
      <c r="I69" s="1810"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3.75">
      <c r="A71" s="2879" t="s">
        <v>2951</v>
      </c>
      <c r="B71" s="2883" t="str">
        <f>估价对象房地状况!C18</f>
        <v>估价对象周边道路状况一般、公共交通通达情况一般、停车便捷程度一般，综合评价交通便捷度一般。</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6"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6"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3"/>
      <c r="D79" s="813"/>
      <c r="E79" s="814"/>
      <c r="F79" s="2878"/>
      <c r="G79" s="6"/>
      <c r="H79" s="6"/>
      <c r="I79" s="6"/>
      <c r="J79" s="7"/>
      <c r="K79" s="7"/>
      <c r="L79" s="7"/>
      <c r="M79" s="7"/>
      <c r="N79" s="7"/>
      <c r="Z79" s="2721"/>
      <c r="AA79" s="2797"/>
      <c r="AG79" s="1374"/>
      <c r="AK79" s="2797"/>
    </row>
    <row r="80" spans="1:37" ht="24.75">
      <c r="A80" s="2879" t="s">
        <v>2942</v>
      </c>
      <c r="B80" s="1810"/>
      <c r="C80" s="1810" t="s">
        <v>2944</v>
      </c>
      <c r="D80" s="1810" t="s">
        <v>2945</v>
      </c>
      <c r="E80" s="818" t="s">
        <v>2946</v>
      </c>
      <c r="F80" s="2880" t="s">
        <v>2962</v>
      </c>
      <c r="G80" s="1810" t="s">
        <v>754</v>
      </c>
      <c r="H80" s="2881" t="s">
        <v>2948</v>
      </c>
      <c r="I80" s="1810"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6"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6"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84" t="s">
        <v>2972</v>
      </c>
      <c r="B90" s="3284"/>
      <c r="C90" s="3284"/>
      <c r="D90" s="3284"/>
      <c r="E90" s="3284"/>
      <c r="F90" s="3284"/>
      <c r="G90" s="3284"/>
      <c r="H90" s="3284"/>
      <c r="I90" s="3284"/>
      <c r="J90" s="3284"/>
      <c r="K90" s="2893"/>
      <c r="L90" s="2893"/>
      <c r="M90" s="2893"/>
      <c r="N90" s="2893"/>
    </row>
    <row r="91" spans="1:37">
      <c r="A91" s="3286" t="s">
        <v>2973</v>
      </c>
      <c r="B91" s="3286" t="s">
        <v>2974</v>
      </c>
      <c r="C91" s="2847" t="s">
        <v>2975</v>
      </c>
      <c r="D91" s="2848"/>
      <c r="E91" s="2848"/>
      <c r="F91" s="2848"/>
      <c r="G91" s="2848"/>
      <c r="H91" s="2848"/>
      <c r="I91" s="2848"/>
      <c r="J91" s="2894"/>
      <c r="K91" s="2895"/>
      <c r="L91" s="2895"/>
      <c r="M91" s="2895"/>
      <c r="N91" s="2895"/>
    </row>
    <row r="92" spans="1:37">
      <c r="A92" s="3286"/>
      <c r="B92" s="3286"/>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87"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8"/>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7"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8"/>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8"/>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8"/>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8"/>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8"/>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8"/>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8"/>
      <c r="B108" s="3142"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9"/>
      <c r="B109" s="3143"/>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5" t="s">
        <v>2980</v>
      </c>
      <c r="B110" s="3285"/>
      <c r="C110" s="3285"/>
      <c r="D110" s="3285"/>
      <c r="E110" s="3285"/>
      <c r="F110" s="3285"/>
      <c r="G110" s="3285"/>
      <c r="H110" s="3285"/>
      <c r="I110" s="3285"/>
      <c r="J110" s="3285"/>
      <c r="K110" s="2902"/>
      <c r="L110" s="2902"/>
      <c r="M110" s="2902"/>
      <c r="N110" s="2902"/>
    </row>
    <row r="112" spans="1:14" ht="13.5" thickBot="1"/>
    <row r="113" spans="1:13" ht="25.5" thickBot="1">
      <c r="A113" s="902" t="s">
        <v>2981</v>
      </c>
      <c r="B113" s="1289" t="e">
        <f>G3</f>
        <v>#DIV/0!</v>
      </c>
      <c r="C113" s="903" t="s">
        <v>2982</v>
      </c>
      <c r="D113" s="904" t="e">
        <f>SUMPRODUCT((A115:A118=F113)*(B114:M114=H113)*B115:M118)</f>
        <v>#DIV/0!</v>
      </c>
      <c r="E113" s="2725" t="s">
        <v>2812</v>
      </c>
      <c r="F113" s="2904">
        <f>E2</f>
        <v>0</v>
      </c>
      <c r="G113" s="2725" t="s">
        <v>2813</v>
      </c>
      <c r="H113" s="2904">
        <f>G2</f>
        <v>0</v>
      </c>
      <c r="I113" s="2725"/>
      <c r="J113" s="2905"/>
      <c r="K113" s="2905"/>
      <c r="L113" s="2905"/>
      <c r="M113" s="2905"/>
    </row>
    <row r="114" spans="1:13">
      <c r="A114" s="907"/>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8" t="s">
        <v>2877</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2878</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2879</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2880</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3" t="s">
        <v>183</v>
      </c>
      <c r="B18" s="881" t="s">
        <v>560</v>
      </c>
      <c r="C18" s="882" t="s">
        <v>561</v>
      </c>
      <c r="D18" s="883"/>
      <c r="E18" s="881">
        <v>1</v>
      </c>
      <c r="F18" s="884" t="s">
        <v>562</v>
      </c>
      <c r="G18" s="885"/>
      <c r="H18" s="877"/>
      <c r="I18" s="877"/>
    </row>
    <row r="19" spans="1:9" s="886" customFormat="1" ht="19.5" customHeight="1">
      <c r="A19" s="3293"/>
      <c r="B19" s="3293" t="s">
        <v>563</v>
      </c>
      <c r="C19" s="882" t="s">
        <v>564</v>
      </c>
      <c r="D19" s="883"/>
      <c r="E19" s="881">
        <v>0.9</v>
      </c>
      <c r="F19" s="884" t="s">
        <v>565</v>
      </c>
      <c r="G19" s="885"/>
      <c r="H19" s="877"/>
      <c r="I19" s="877"/>
    </row>
    <row r="20" spans="1:9" s="886" customFormat="1" ht="19.5" customHeight="1">
      <c r="A20" s="3293"/>
      <c r="B20" s="3293"/>
      <c r="C20" s="882" t="s">
        <v>566</v>
      </c>
      <c r="D20" s="883"/>
      <c r="E20" s="881">
        <v>1.1000000000000001</v>
      </c>
      <c r="F20" s="884" t="s">
        <v>567</v>
      </c>
      <c r="G20" s="885"/>
      <c r="H20" s="877"/>
      <c r="I20" s="877"/>
    </row>
    <row r="21" spans="1:9" s="886" customFormat="1" ht="19.5" customHeight="1">
      <c r="A21" s="3293"/>
      <c r="B21" s="3293"/>
      <c r="C21" s="882" t="s">
        <v>568</v>
      </c>
      <c r="D21" s="883"/>
      <c r="E21" s="881">
        <v>0.8</v>
      </c>
      <c r="F21" s="884" t="s">
        <v>569</v>
      </c>
      <c r="G21" s="885"/>
      <c r="H21" s="877"/>
      <c r="I21" s="877"/>
    </row>
    <row r="22" spans="1:9" s="886" customFormat="1" ht="19.5" customHeight="1">
      <c r="A22" s="3293"/>
      <c r="B22" s="3293"/>
      <c r="C22" s="882" t="s">
        <v>570</v>
      </c>
      <c r="D22" s="883"/>
      <c r="E22" s="881">
        <v>0.5</v>
      </c>
      <c r="F22" s="884"/>
      <c r="G22" s="885"/>
      <c r="H22" s="877"/>
      <c r="I22" s="877"/>
    </row>
    <row r="23" spans="1:9" s="886" customFormat="1" ht="19.5" customHeight="1">
      <c r="A23" s="3293" t="s">
        <v>184</v>
      </c>
      <c r="B23" s="881" t="s">
        <v>560</v>
      </c>
      <c r="C23" s="882" t="s">
        <v>571</v>
      </c>
      <c r="D23" s="883"/>
      <c r="E23" s="881">
        <v>1</v>
      </c>
      <c r="F23" s="884" t="s">
        <v>572</v>
      </c>
      <c r="G23" s="885"/>
      <c r="H23" s="877"/>
      <c r="I23" s="877"/>
    </row>
    <row r="24" spans="1:9" s="886" customFormat="1" ht="19.5" customHeight="1">
      <c r="A24" s="3293"/>
      <c r="B24" s="3293" t="s">
        <v>563</v>
      </c>
      <c r="C24" s="882" t="s">
        <v>573</v>
      </c>
      <c r="D24" s="883"/>
      <c r="E24" s="881">
        <v>0.5</v>
      </c>
      <c r="F24" s="884"/>
      <c r="G24" s="885"/>
      <c r="H24" s="877"/>
      <c r="I24" s="877"/>
    </row>
    <row r="25" spans="1:9" s="886" customFormat="1" ht="19.5" customHeight="1">
      <c r="A25" s="3293"/>
      <c r="B25" s="3293"/>
      <c r="C25" s="882" t="s">
        <v>574</v>
      </c>
      <c r="D25" s="883"/>
      <c r="E25" s="881">
        <v>1.1000000000000001</v>
      </c>
      <c r="F25" s="884"/>
      <c r="G25" s="885"/>
      <c r="H25" s="877"/>
      <c r="I25" s="877"/>
    </row>
    <row r="26" spans="1:9" s="886" customFormat="1" ht="19.5" customHeight="1">
      <c r="A26" s="3293"/>
      <c r="B26" s="3293"/>
      <c r="C26" s="882" t="s">
        <v>575</v>
      </c>
      <c r="D26" s="883"/>
      <c r="E26" s="881">
        <v>1.1000000000000001</v>
      </c>
      <c r="F26" s="884"/>
      <c r="G26" s="885"/>
      <c r="H26" s="877"/>
      <c r="I26" s="877"/>
    </row>
    <row r="27" spans="1:9" s="886" customFormat="1" ht="19.5" customHeight="1">
      <c r="A27" s="3293"/>
      <c r="B27" s="3293"/>
      <c r="C27" s="882" t="s">
        <v>576</v>
      </c>
      <c r="D27" s="883"/>
      <c r="E27" s="881">
        <v>0.9</v>
      </c>
      <c r="F27" s="884" t="s">
        <v>577</v>
      </c>
      <c r="G27" s="885"/>
      <c r="H27" s="877"/>
      <c r="I27" s="877"/>
    </row>
    <row r="28" spans="1:9" s="886" customFormat="1" ht="19.5" customHeight="1">
      <c r="A28" s="3293"/>
      <c r="B28" s="3293"/>
      <c r="C28" s="882" t="s">
        <v>578</v>
      </c>
      <c r="D28" s="883"/>
      <c r="E28" s="881">
        <v>0.9</v>
      </c>
      <c r="F28" s="884" t="s">
        <v>579</v>
      </c>
      <c r="G28" s="885"/>
      <c r="H28" s="877"/>
      <c r="I28" s="877"/>
    </row>
    <row r="29" spans="1:9" s="886" customFormat="1" ht="19.5" customHeight="1">
      <c r="A29" s="3293"/>
      <c r="B29" s="3293"/>
      <c r="C29" s="882" t="s">
        <v>580</v>
      </c>
      <c r="D29" s="883"/>
      <c r="E29" s="881">
        <v>0.9</v>
      </c>
      <c r="F29" s="884" t="s">
        <v>581</v>
      </c>
      <c r="G29" s="885"/>
      <c r="H29" s="877"/>
      <c r="I29" s="877"/>
    </row>
    <row r="30" spans="1:9" s="886" customFormat="1" ht="19.5" customHeight="1">
      <c r="A30" s="3293"/>
      <c r="B30" s="3293"/>
      <c r="C30" s="882" t="s">
        <v>582</v>
      </c>
      <c r="D30" s="883"/>
      <c r="E30" s="881">
        <v>0.9</v>
      </c>
      <c r="F30" s="884" t="s">
        <v>583</v>
      </c>
      <c r="G30" s="885"/>
      <c r="H30" s="877"/>
      <c r="I30" s="877"/>
    </row>
    <row r="31" spans="1:9" s="886" customFormat="1" ht="19.5" customHeight="1">
      <c r="A31" s="3293"/>
      <c r="B31" s="3293"/>
      <c r="C31" s="882" t="s">
        <v>584</v>
      </c>
      <c r="D31" s="883"/>
      <c r="E31" s="881">
        <v>0.8</v>
      </c>
      <c r="F31" s="884" t="s">
        <v>585</v>
      </c>
      <c r="G31" s="885"/>
      <c r="H31" s="877"/>
      <c r="I31" s="877"/>
    </row>
    <row r="32" spans="1:9" s="886" customFormat="1" ht="19.5" customHeight="1">
      <c r="A32" s="3293"/>
      <c r="B32" s="3293"/>
      <c r="C32" s="882" t="s">
        <v>586</v>
      </c>
      <c r="D32" s="883"/>
      <c r="E32" s="881">
        <v>0.8</v>
      </c>
      <c r="F32" s="884" t="s">
        <v>587</v>
      </c>
      <c r="G32" s="885"/>
      <c r="H32" s="877"/>
      <c r="I32" s="877"/>
    </row>
    <row r="33" spans="1:9" s="886" customFormat="1" ht="19.5" customHeight="1">
      <c r="A33" s="3293" t="s">
        <v>185</v>
      </c>
      <c r="B33" s="881" t="s">
        <v>560</v>
      </c>
      <c r="C33" s="882" t="s">
        <v>588</v>
      </c>
      <c r="D33" s="883"/>
      <c r="E33" s="881">
        <v>1</v>
      </c>
      <c r="F33" s="884" t="s">
        <v>589</v>
      </c>
      <c r="G33" s="885"/>
      <c r="H33" s="877"/>
      <c r="I33" s="877"/>
    </row>
    <row r="34" spans="1:9" s="886" customFormat="1" ht="19.5" customHeight="1">
      <c r="A34" s="3293"/>
      <c r="B34" s="881" t="s">
        <v>563</v>
      </c>
      <c r="C34" s="882" t="s">
        <v>590</v>
      </c>
      <c r="D34" s="883"/>
      <c r="E34" s="881">
        <v>1.5</v>
      </c>
      <c r="F34" s="884" t="s">
        <v>591</v>
      </c>
      <c r="G34" s="885"/>
      <c r="H34" s="877"/>
      <c r="I34" s="877"/>
    </row>
    <row r="35" spans="1:9" s="886" customFormat="1" ht="19.5" customHeight="1">
      <c r="A35" s="3293" t="s">
        <v>186</v>
      </c>
      <c r="B35" s="881" t="s">
        <v>560</v>
      </c>
      <c r="C35" s="882" t="s">
        <v>592</v>
      </c>
      <c r="D35" s="883"/>
      <c r="E35" s="881">
        <v>1</v>
      </c>
      <c r="F35" s="884" t="s">
        <v>593</v>
      </c>
      <c r="G35" s="885"/>
      <c r="H35" s="877"/>
      <c r="I35" s="877"/>
    </row>
    <row r="36" spans="1:9" s="886" customFormat="1" ht="19.5" customHeight="1">
      <c r="A36" s="3293"/>
      <c r="B36" s="3293" t="s">
        <v>563</v>
      </c>
      <c r="C36" s="882" t="s">
        <v>594</v>
      </c>
      <c r="D36" s="883"/>
      <c r="E36" s="881">
        <v>1</v>
      </c>
      <c r="F36" s="884" t="s">
        <v>595</v>
      </c>
      <c r="G36" s="885"/>
      <c r="H36" s="877"/>
      <c r="I36" s="877"/>
    </row>
    <row r="37" spans="1:9" s="886" customFormat="1" ht="19.5" customHeight="1">
      <c r="A37" s="3293"/>
      <c r="B37" s="3293"/>
      <c r="C37" s="882" t="s">
        <v>596</v>
      </c>
      <c r="D37" s="883"/>
      <c r="E37" s="881">
        <v>1.5</v>
      </c>
      <c r="F37" s="884" t="s">
        <v>597</v>
      </c>
      <c r="G37" s="885"/>
      <c r="H37" s="877"/>
      <c r="I37" s="877"/>
    </row>
    <row r="38" spans="1:9" s="886" customFormat="1" ht="19.5" customHeight="1">
      <c r="A38" s="3293"/>
      <c r="B38" s="3293"/>
      <c r="C38" s="882" t="s">
        <v>598</v>
      </c>
      <c r="D38" s="883"/>
      <c r="E38" s="881">
        <v>1</v>
      </c>
      <c r="F38" s="884" t="s">
        <v>599</v>
      </c>
      <c r="G38" s="885"/>
      <c r="H38" s="877"/>
      <c r="I38" s="877"/>
    </row>
    <row r="39" spans="1:9" s="886" customFormat="1" ht="19.5" customHeight="1">
      <c r="A39" s="3293"/>
      <c r="B39" s="329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3" t="s">
        <v>614</v>
      </c>
      <c r="C61" s="817" t="s">
        <v>615</v>
      </c>
      <c r="D61" s="817" t="s">
        <v>616</v>
      </c>
      <c r="E61" s="894">
        <v>0.5</v>
      </c>
      <c r="F61" s="881">
        <v>80</v>
      </c>
    </row>
    <row r="62" spans="1:8" s="877" customFormat="1" ht="24">
      <c r="A62" s="881">
        <v>2</v>
      </c>
      <c r="B62" s="3293"/>
      <c r="C62" s="817" t="s">
        <v>617</v>
      </c>
      <c r="D62" s="817" t="s">
        <v>618</v>
      </c>
      <c r="E62" s="894">
        <v>0.5</v>
      </c>
      <c r="F62" s="881">
        <v>80</v>
      </c>
    </row>
    <row r="63" spans="1:8" s="877" customFormat="1" ht="36">
      <c r="A63" s="881">
        <v>3</v>
      </c>
      <c r="B63" s="3293"/>
      <c r="C63" s="817" t="s">
        <v>619</v>
      </c>
      <c r="D63" s="817" t="s">
        <v>620</v>
      </c>
      <c r="E63" s="894">
        <v>0.5</v>
      </c>
      <c r="F63" s="881">
        <v>80</v>
      </c>
    </row>
    <row r="64" spans="1:8" s="877" customFormat="1" ht="36">
      <c r="A64" s="881">
        <v>4</v>
      </c>
      <c r="B64" s="3293"/>
      <c r="C64" s="817" t="s">
        <v>621</v>
      </c>
      <c r="D64" s="817" t="s">
        <v>622</v>
      </c>
      <c r="E64" s="894">
        <v>0.4</v>
      </c>
      <c r="F64" s="881">
        <v>60</v>
      </c>
    </row>
    <row r="65" spans="1:6" s="877" customFormat="1" ht="36">
      <c r="A65" s="881">
        <v>5</v>
      </c>
      <c r="B65" s="3293"/>
      <c r="C65" s="817" t="s">
        <v>623</v>
      </c>
      <c r="D65" s="817" t="s">
        <v>624</v>
      </c>
      <c r="E65" s="894">
        <v>0.2</v>
      </c>
      <c r="F65" s="881">
        <v>30</v>
      </c>
    </row>
    <row r="66" spans="1:6" s="877" customFormat="1" ht="36">
      <c r="A66" s="881">
        <v>6</v>
      </c>
      <c r="B66" s="3293"/>
      <c r="C66" s="817" t="s">
        <v>625</v>
      </c>
      <c r="D66" s="817" t="s">
        <v>626</v>
      </c>
      <c r="E66" s="894">
        <v>0.3</v>
      </c>
      <c r="F66" s="881">
        <v>50</v>
      </c>
    </row>
    <row r="67" spans="1:6" s="877" customFormat="1" ht="36">
      <c r="A67" s="881">
        <v>7</v>
      </c>
      <c r="B67" s="3293"/>
      <c r="C67" s="817" t="s">
        <v>627</v>
      </c>
      <c r="D67" s="817" t="s">
        <v>628</v>
      </c>
      <c r="E67" s="894">
        <v>0.2</v>
      </c>
      <c r="F67" s="881">
        <v>30</v>
      </c>
    </row>
    <row r="68" spans="1:6" s="877" customFormat="1" ht="36">
      <c r="A68" s="881">
        <v>8</v>
      </c>
      <c r="B68" s="3293"/>
      <c r="C68" s="817" t="s">
        <v>629</v>
      </c>
      <c r="D68" s="817" t="s">
        <v>630</v>
      </c>
      <c r="E68" s="894">
        <v>0.2</v>
      </c>
      <c r="F68" s="881">
        <v>30</v>
      </c>
    </row>
    <row r="69" spans="1:6" s="877" customFormat="1" ht="36">
      <c r="A69" s="881">
        <v>9</v>
      </c>
      <c r="B69" s="3293"/>
      <c r="C69" s="817" t="s">
        <v>631</v>
      </c>
      <c r="D69" s="817" t="s">
        <v>632</v>
      </c>
      <c r="E69" s="894">
        <v>0.2</v>
      </c>
      <c r="F69" s="881">
        <v>30</v>
      </c>
    </row>
    <row r="70" spans="1:6" s="877" customFormat="1" ht="48">
      <c r="A70" s="881">
        <v>10</v>
      </c>
      <c r="B70" s="3293"/>
      <c r="C70" s="817" t="s">
        <v>633</v>
      </c>
      <c r="D70" s="817" t="s">
        <v>634</v>
      </c>
      <c r="E70" s="894">
        <v>0.2</v>
      </c>
      <c r="F70" s="881">
        <v>30</v>
      </c>
    </row>
    <row r="71" spans="1:6" s="877" customFormat="1" ht="48">
      <c r="A71" s="881">
        <v>11</v>
      </c>
      <c r="B71" s="3293"/>
      <c r="C71" s="817" t="s">
        <v>635</v>
      </c>
      <c r="D71" s="817" t="s">
        <v>636</v>
      </c>
      <c r="E71" s="894">
        <v>0.2</v>
      </c>
      <c r="F71" s="881">
        <v>30</v>
      </c>
    </row>
    <row r="72" spans="1:6" s="877" customFormat="1" ht="36">
      <c r="A72" s="881">
        <v>12</v>
      </c>
      <c r="B72" s="3293"/>
      <c r="C72" s="817" t="s">
        <v>637</v>
      </c>
      <c r="D72" s="817" t="s">
        <v>638</v>
      </c>
      <c r="E72" s="894">
        <v>0.5</v>
      </c>
      <c r="F72" s="881">
        <v>80</v>
      </c>
    </row>
    <row r="73" spans="1:6" s="877" customFormat="1" ht="24">
      <c r="A73" s="881">
        <v>13</v>
      </c>
      <c r="B73" s="3293"/>
      <c r="C73" s="817" t="s">
        <v>639</v>
      </c>
      <c r="D73" s="817" t="s">
        <v>640</v>
      </c>
      <c r="E73" s="894">
        <v>0.4</v>
      </c>
      <c r="F73" s="881">
        <v>60</v>
      </c>
    </row>
    <row r="74" spans="1:6" s="877" customFormat="1" ht="24">
      <c r="A74" s="881">
        <v>14</v>
      </c>
      <c r="B74" s="3293"/>
      <c r="C74" s="817" t="s">
        <v>641</v>
      </c>
      <c r="D74" s="817" t="s">
        <v>642</v>
      </c>
      <c r="E74" s="894">
        <v>0.2</v>
      </c>
      <c r="F74" s="881">
        <v>30</v>
      </c>
    </row>
    <row r="75" spans="1:6" s="877" customFormat="1" ht="24">
      <c r="A75" s="881">
        <v>15</v>
      </c>
      <c r="B75" s="3293"/>
      <c r="C75" s="817" t="s">
        <v>643</v>
      </c>
      <c r="D75" s="817" t="s">
        <v>644</v>
      </c>
      <c r="E75" s="894">
        <v>0.2</v>
      </c>
      <c r="F75" s="881">
        <v>30</v>
      </c>
    </row>
    <row r="76" spans="1:6" s="877" customFormat="1" ht="24">
      <c r="A76" s="881">
        <v>16</v>
      </c>
      <c r="B76" s="3293" t="s">
        <v>645</v>
      </c>
      <c r="C76" s="817" t="s">
        <v>646</v>
      </c>
      <c r="D76" s="817" t="s">
        <v>647</v>
      </c>
      <c r="E76" s="894">
        <v>0.5</v>
      </c>
      <c r="F76" s="881">
        <v>80</v>
      </c>
    </row>
    <row r="77" spans="1:6" s="877" customFormat="1" ht="24">
      <c r="A77" s="881">
        <v>17</v>
      </c>
      <c r="B77" s="3293"/>
      <c r="C77" s="817" t="s">
        <v>648</v>
      </c>
      <c r="D77" s="817" t="s">
        <v>649</v>
      </c>
      <c r="E77" s="894">
        <v>0.5</v>
      </c>
      <c r="F77" s="881">
        <v>80</v>
      </c>
    </row>
    <row r="78" spans="1:6" s="877" customFormat="1" ht="24">
      <c r="A78" s="881">
        <v>18</v>
      </c>
      <c r="B78" s="3293"/>
      <c r="C78" s="817" t="s">
        <v>650</v>
      </c>
      <c r="D78" s="817" t="s">
        <v>651</v>
      </c>
      <c r="E78" s="894">
        <v>0.2</v>
      </c>
      <c r="F78" s="881">
        <v>30</v>
      </c>
    </row>
    <row r="79" spans="1:6" s="877" customFormat="1" ht="24">
      <c r="A79" s="881">
        <v>19</v>
      </c>
      <c r="B79" s="3293"/>
      <c r="C79" s="817" t="s">
        <v>652</v>
      </c>
      <c r="D79" s="817" t="s">
        <v>653</v>
      </c>
      <c r="E79" s="894">
        <v>0.5</v>
      </c>
      <c r="F79" s="881">
        <v>80</v>
      </c>
    </row>
    <row r="80" spans="1:6" s="877" customFormat="1" ht="36">
      <c r="A80" s="881">
        <v>20</v>
      </c>
      <c r="B80" s="3293"/>
      <c r="C80" s="817" t="s">
        <v>654</v>
      </c>
      <c r="D80" s="817" t="s">
        <v>655</v>
      </c>
      <c r="E80" s="894">
        <v>0.2</v>
      </c>
      <c r="F80" s="881">
        <v>30</v>
      </c>
    </row>
    <row r="81" spans="1:6" s="877" customFormat="1" ht="36">
      <c r="A81" s="881">
        <v>21</v>
      </c>
      <c r="B81" s="3293"/>
      <c r="C81" s="817" t="s">
        <v>656</v>
      </c>
      <c r="D81" s="817" t="s">
        <v>657</v>
      </c>
      <c r="E81" s="894">
        <v>0.2</v>
      </c>
      <c r="F81" s="881">
        <v>30</v>
      </c>
    </row>
    <row r="82" spans="1:6" s="877" customFormat="1" ht="48">
      <c r="A82" s="881">
        <v>22</v>
      </c>
      <c r="B82" s="3293"/>
      <c r="C82" s="817" t="s">
        <v>658</v>
      </c>
      <c r="D82" s="817" t="s">
        <v>659</v>
      </c>
      <c r="E82" s="894">
        <v>0.2</v>
      </c>
      <c r="F82" s="881">
        <v>30</v>
      </c>
    </row>
    <row r="83" spans="1:6" s="877" customFormat="1" ht="48">
      <c r="A83" s="881">
        <v>23</v>
      </c>
      <c r="B83" s="3293"/>
      <c r="C83" s="817" t="s">
        <v>660</v>
      </c>
      <c r="D83" s="817" t="s">
        <v>661</v>
      </c>
      <c r="E83" s="894">
        <v>0.2</v>
      </c>
      <c r="F83" s="881">
        <v>30</v>
      </c>
    </row>
    <row r="84" spans="1:6" s="877" customFormat="1" ht="36">
      <c r="A84" s="881">
        <v>24</v>
      </c>
      <c r="B84" s="3293"/>
      <c r="C84" s="817" t="s">
        <v>662</v>
      </c>
      <c r="D84" s="817" t="s">
        <v>663</v>
      </c>
      <c r="E84" s="894">
        <v>0.2</v>
      </c>
      <c r="F84" s="881">
        <v>30</v>
      </c>
    </row>
    <row r="85" spans="1:6" s="877" customFormat="1" ht="36">
      <c r="A85" s="881">
        <v>25</v>
      </c>
      <c r="B85" s="3293"/>
      <c r="C85" s="817" t="s">
        <v>664</v>
      </c>
      <c r="D85" s="817" t="s">
        <v>665</v>
      </c>
      <c r="E85" s="894">
        <v>0.5</v>
      </c>
      <c r="F85" s="881">
        <v>80</v>
      </c>
    </row>
    <row r="86" spans="1:6" s="877" customFormat="1" ht="36">
      <c r="A86" s="881">
        <v>26</v>
      </c>
      <c r="B86" s="3293"/>
      <c r="C86" s="817" t="s">
        <v>666</v>
      </c>
      <c r="D86" s="817" t="s">
        <v>667</v>
      </c>
      <c r="E86" s="894">
        <v>0.2</v>
      </c>
      <c r="F86" s="881">
        <v>30</v>
      </c>
    </row>
    <row r="87" spans="1:6" s="877" customFormat="1" ht="36">
      <c r="A87" s="881">
        <v>27</v>
      </c>
      <c r="B87" s="3293"/>
      <c r="C87" s="817" t="s">
        <v>668</v>
      </c>
      <c r="D87" s="817" t="s">
        <v>669</v>
      </c>
      <c r="E87" s="894">
        <v>0.2</v>
      </c>
      <c r="F87" s="881">
        <v>30</v>
      </c>
    </row>
    <row r="88" spans="1:6" s="877" customFormat="1" ht="36">
      <c r="A88" s="881">
        <v>28</v>
      </c>
      <c r="B88" s="3293"/>
      <c r="C88" s="817" t="s">
        <v>670</v>
      </c>
      <c r="D88" s="817" t="s">
        <v>671</v>
      </c>
      <c r="E88" s="894">
        <v>0.2</v>
      </c>
      <c r="F88" s="881">
        <v>30</v>
      </c>
    </row>
    <row r="89" spans="1:6" s="877" customFormat="1" ht="24">
      <c r="A89" s="881">
        <v>29</v>
      </c>
      <c r="B89" s="3293"/>
      <c r="C89" s="817" t="s">
        <v>672</v>
      </c>
      <c r="D89" s="817" t="s">
        <v>673</v>
      </c>
      <c r="E89" s="894">
        <v>0.2</v>
      </c>
      <c r="F89" s="881">
        <v>30</v>
      </c>
    </row>
    <row r="90" spans="1:6" s="877" customFormat="1" ht="24">
      <c r="A90" s="881">
        <v>30</v>
      </c>
      <c r="B90" s="3293"/>
      <c r="C90" s="817" t="s">
        <v>674</v>
      </c>
      <c r="D90" s="817" t="s">
        <v>675</v>
      </c>
      <c r="E90" s="894">
        <v>0.2</v>
      </c>
      <c r="F90" s="881">
        <v>30</v>
      </c>
    </row>
    <row r="91" spans="1:6" s="877" customFormat="1" ht="36">
      <c r="A91" s="881">
        <v>31</v>
      </c>
      <c r="B91" s="3293"/>
      <c r="C91" s="817" t="s">
        <v>676</v>
      </c>
      <c r="D91" s="817" t="s">
        <v>677</v>
      </c>
      <c r="E91" s="894">
        <v>0.2</v>
      </c>
      <c r="F91" s="881">
        <v>30</v>
      </c>
    </row>
    <row r="92" spans="1:6" s="877" customFormat="1" ht="24">
      <c r="A92" s="881">
        <v>32</v>
      </c>
      <c r="B92" s="3293" t="s">
        <v>678</v>
      </c>
      <c r="C92" s="881" t="s">
        <v>679</v>
      </c>
      <c r="D92" s="817" t="s">
        <v>680</v>
      </c>
      <c r="E92" s="894">
        <v>0.2</v>
      </c>
      <c r="F92" s="881">
        <v>30</v>
      </c>
    </row>
    <row r="93" spans="1:6" s="877" customFormat="1" ht="36">
      <c r="A93" s="881">
        <v>33</v>
      </c>
      <c r="B93" s="3293"/>
      <c r="C93" s="881" t="s">
        <v>681</v>
      </c>
      <c r="D93" s="817" t="s">
        <v>682</v>
      </c>
      <c r="E93" s="894">
        <v>0.2</v>
      </c>
      <c r="F93" s="881">
        <v>30</v>
      </c>
    </row>
    <row r="94" spans="1:6" s="877" customFormat="1" ht="48">
      <c r="A94" s="881">
        <v>34</v>
      </c>
      <c r="B94" s="3293"/>
      <c r="C94" s="881" t="s">
        <v>683</v>
      </c>
      <c r="D94" s="817" t="s">
        <v>684</v>
      </c>
      <c r="E94" s="894">
        <v>0.2</v>
      </c>
      <c r="F94" s="881">
        <v>30</v>
      </c>
    </row>
    <row r="95" spans="1:6" s="877" customFormat="1" ht="36">
      <c r="A95" s="881">
        <v>35</v>
      </c>
      <c r="B95" s="3293"/>
      <c r="C95" s="881" t="s">
        <v>685</v>
      </c>
      <c r="D95" s="817" t="s">
        <v>686</v>
      </c>
      <c r="E95" s="894">
        <v>0.2</v>
      </c>
      <c r="F95" s="881">
        <v>30</v>
      </c>
    </row>
    <row r="96" spans="1:6" s="877" customFormat="1" ht="48">
      <c r="A96" s="881">
        <v>36</v>
      </c>
      <c r="B96" s="3293"/>
      <c r="C96" s="817" t="s">
        <v>687</v>
      </c>
      <c r="D96" s="817" t="s">
        <v>688</v>
      </c>
      <c r="E96" s="894">
        <v>0.2</v>
      </c>
      <c r="F96" s="881">
        <v>30</v>
      </c>
    </row>
    <row r="97" spans="1:6" s="877" customFormat="1" ht="36">
      <c r="A97" s="881">
        <v>37</v>
      </c>
      <c r="B97" s="3293"/>
      <c r="C97" s="881" t="s">
        <v>689</v>
      </c>
      <c r="D97" s="817" t="s">
        <v>690</v>
      </c>
      <c r="E97" s="894">
        <v>0.2</v>
      </c>
      <c r="F97" s="881">
        <v>30</v>
      </c>
    </row>
    <row r="98" spans="1:6" s="877" customFormat="1" ht="36">
      <c r="A98" s="881">
        <v>38</v>
      </c>
      <c r="B98" s="3293"/>
      <c r="C98" s="881" t="s">
        <v>691</v>
      </c>
      <c r="D98" s="817" t="s">
        <v>692</v>
      </c>
      <c r="E98" s="894">
        <v>0.2</v>
      </c>
      <c r="F98" s="881">
        <v>30</v>
      </c>
    </row>
    <row r="99" spans="1:6" s="877" customFormat="1" ht="36">
      <c r="A99" s="881">
        <v>39</v>
      </c>
      <c r="B99" s="3293" t="s">
        <v>693</v>
      </c>
      <c r="C99" s="881" t="s">
        <v>694</v>
      </c>
      <c r="D99" s="817" t="s">
        <v>695</v>
      </c>
      <c r="E99" s="894">
        <v>0.3</v>
      </c>
      <c r="F99" s="881">
        <v>50</v>
      </c>
    </row>
    <row r="100" spans="1:6" s="877" customFormat="1" ht="24">
      <c r="A100" s="881">
        <v>40</v>
      </c>
      <c r="B100" s="3293"/>
      <c r="C100" s="881" t="s">
        <v>696</v>
      </c>
      <c r="D100" s="817" t="s">
        <v>697</v>
      </c>
      <c r="E100" s="894">
        <v>0.2</v>
      </c>
      <c r="F100" s="881">
        <v>30</v>
      </c>
    </row>
    <row r="101" spans="1:6" s="877" customFormat="1" ht="36">
      <c r="A101" s="881">
        <v>41</v>
      </c>
      <c r="B101" s="329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3" t="s">
        <v>708</v>
      </c>
      <c r="C105" s="881" t="s">
        <v>709</v>
      </c>
      <c r="D105" s="817" t="s">
        <v>710</v>
      </c>
      <c r="E105" s="894">
        <v>0.2</v>
      </c>
      <c r="F105" s="881">
        <v>30</v>
      </c>
    </row>
    <row r="106" spans="1:6" s="877" customFormat="1" ht="36">
      <c r="A106" s="881">
        <v>46</v>
      </c>
      <c r="B106" s="3293"/>
      <c r="C106" s="881" t="s">
        <v>711</v>
      </c>
      <c r="D106" s="817" t="s">
        <v>712</v>
      </c>
      <c r="E106" s="894">
        <v>0.2</v>
      </c>
      <c r="F106" s="881">
        <v>30</v>
      </c>
    </row>
    <row r="107" spans="1:6" s="877" customFormat="1" ht="36">
      <c r="A107" s="881">
        <v>47</v>
      </c>
      <c r="B107" s="3293" t="s">
        <v>713</v>
      </c>
      <c r="C107" s="881" t="s">
        <v>714</v>
      </c>
      <c r="D107" s="817" t="s">
        <v>715</v>
      </c>
      <c r="E107" s="894">
        <v>0.3</v>
      </c>
      <c r="F107" s="881">
        <v>50</v>
      </c>
    </row>
    <row r="108" spans="1:6" s="877" customFormat="1" ht="36">
      <c r="A108" s="881">
        <v>48</v>
      </c>
      <c r="B108" s="329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3" t="s">
        <v>724</v>
      </c>
      <c r="C111" s="881" t="s">
        <v>725</v>
      </c>
      <c r="D111" s="817" t="s">
        <v>726</v>
      </c>
      <c r="E111" s="894">
        <v>0.2</v>
      </c>
      <c r="F111" s="881">
        <v>30</v>
      </c>
    </row>
    <row r="112" spans="1:6" s="877" customFormat="1" ht="24">
      <c r="A112" s="881">
        <v>52</v>
      </c>
      <c r="B112" s="3293"/>
      <c r="C112" s="881" t="s">
        <v>727</v>
      </c>
      <c r="D112" s="817" t="s">
        <v>728</v>
      </c>
      <c r="E112" s="894">
        <v>0.2</v>
      </c>
      <c r="F112" s="881">
        <v>30</v>
      </c>
    </row>
    <row r="113" spans="1:6" s="877" customFormat="1" ht="24">
      <c r="A113" s="881">
        <v>53</v>
      </c>
      <c r="B113" s="329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3" t="s">
        <v>737</v>
      </c>
      <c r="C116" s="881" t="s">
        <v>738</v>
      </c>
      <c r="D116" s="817" t="s">
        <v>739</v>
      </c>
      <c r="E116" s="894">
        <v>0.2</v>
      </c>
      <c r="F116" s="881">
        <v>30</v>
      </c>
    </row>
    <row r="117" spans="1:6" ht="36">
      <c r="A117" s="881">
        <v>57</v>
      </c>
      <c r="B117" s="329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3003</v>
      </c>
    </row>
    <row r="2" spans="1:5" ht="15.75">
      <c r="A2" s="2911" t="s">
        <v>2995</v>
      </c>
      <c r="B2" s="2912" t="e">
        <f ca="1">SUMIF(B6:B13,"&lt;&gt;#ref!",B6:B13)</f>
        <v>#DIV/0!</v>
      </c>
      <c r="C2" s="2911" t="s">
        <v>2996</v>
      </c>
      <c r="D2" s="2911" t="s">
        <v>2997</v>
      </c>
      <c r="E2" s="2912">
        <f ca="1">SUMIF(E6:E13,"&lt;&gt;#ref!",E6:E13)</f>
        <v>0</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9" t="s">
        <v>1150</v>
      </c>
      <c r="C1" s="3299"/>
      <c r="D1" s="3299"/>
      <c r="E1" s="3299"/>
      <c r="F1" s="3299"/>
      <c r="G1" s="3298" t="s">
        <v>1151</v>
      </c>
      <c r="H1" s="3298"/>
      <c r="I1" s="3298"/>
      <c r="J1" s="3298"/>
      <c r="K1" s="3298"/>
      <c r="L1" s="3298"/>
      <c r="N1" s="3298" t="s">
        <v>1152</v>
      </c>
      <c r="O1" s="3298"/>
      <c r="P1" s="3298"/>
      <c r="Q1" s="3298"/>
      <c r="R1" s="1448"/>
      <c r="S1" s="3298" t="s">
        <v>1153</v>
      </c>
      <c r="T1" s="3298"/>
      <c r="U1" s="3298"/>
      <c r="V1" s="3298"/>
      <c r="X1" s="3297" t="s">
        <v>1154</v>
      </c>
      <c r="Y1" s="3298"/>
      <c r="Z1" s="3298"/>
      <c r="AA1" s="3298"/>
      <c r="AB1" s="3298"/>
      <c r="AD1" s="3297" t="s">
        <v>1155</v>
      </c>
      <c r="AE1" s="3298"/>
      <c r="AF1" s="3298"/>
      <c r="AG1" s="3298"/>
      <c r="AH1" s="329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3035</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3042</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3</v>
      </c>
      <c r="I5" s="2925">
        <v>0</v>
      </c>
      <c r="J5" s="2925">
        <v>0</v>
      </c>
      <c r="K5" s="2925">
        <v>0</v>
      </c>
      <c r="L5" s="2925">
        <v>0</v>
      </c>
      <c r="N5" s="1469">
        <f>I5/100</f>
        <v>0</v>
      </c>
      <c r="O5" s="1469">
        <f t="shared" ref="O5" si="7">J5/100</f>
        <v>0</v>
      </c>
      <c r="P5" s="1469">
        <f t="shared" ref="P5" si="8">K5/100</f>
        <v>0</v>
      </c>
      <c r="Q5" s="1469">
        <f t="shared" ref="Q5" si="9">L5/100</f>
        <v>0</v>
      </c>
      <c r="R5" s="1733"/>
      <c r="S5" s="1734"/>
      <c r="T5" s="1733"/>
      <c r="U5" s="1733"/>
      <c r="V5" s="1733"/>
      <c r="W5" s="2929" t="s">
        <v>3036</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0"/>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0"/>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3031</v>
      </c>
      <c r="B8" s="1471">
        <v>439</v>
      </c>
      <c r="C8" s="1471">
        <v>327</v>
      </c>
      <c r="D8" s="1471">
        <f>C8</f>
        <v>327</v>
      </c>
      <c r="E8" s="1471">
        <v>627</v>
      </c>
      <c r="F8" s="1472">
        <v>283</v>
      </c>
      <c r="G8" s="2927">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3"/>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2"/>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3"/>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00">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01">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2"/>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2"/>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3"/>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16" sqref="J16"/>
      <selection pane="bottomLeft" activeCell="V33" sqref="V3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5" style="27" customWidth="1"/>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05" t="s">
        <v>3006</v>
      </c>
      <c r="D1" s="3306"/>
      <c r="E1" s="3306"/>
      <c r="F1" s="3306"/>
      <c r="G1" s="3306"/>
      <c r="H1" s="3306"/>
      <c r="I1" s="3306"/>
      <c r="J1" s="3306"/>
      <c r="K1" s="3306"/>
      <c r="L1" s="3306"/>
      <c r="M1" s="3306"/>
      <c r="N1" s="3306"/>
      <c r="O1" s="3306"/>
      <c r="P1" s="3306"/>
      <c r="Q1" s="3306"/>
      <c r="R1" s="3306"/>
      <c r="S1" s="3307"/>
      <c r="T1" s="1206" t="s">
        <v>3007</v>
      </c>
    </row>
    <row r="2" spans="1:45" s="706" customFormat="1" ht="42" customHeight="1">
      <c r="A2" s="1207"/>
      <c r="B2" s="702" t="s">
        <v>3008</v>
      </c>
      <c r="C2" s="703" t="str">
        <f t="shared" ref="C2:L2" si="0">C3&amp;"(含)"&amp;"-"&amp;D3</f>
        <v>0(含)-50</v>
      </c>
      <c r="D2" s="704" t="str">
        <f t="shared" si="0"/>
        <v>50(含)-100</v>
      </c>
      <c r="E2" s="704" t="str">
        <f t="shared" si="0"/>
        <v>100(含)-200</v>
      </c>
      <c r="F2" s="704" t="str">
        <f t="shared" si="0"/>
        <v>200(含)-500</v>
      </c>
      <c r="G2" s="704" t="str">
        <f t="shared" si="0"/>
        <v>500(含)-1000</v>
      </c>
      <c r="H2" s="704" t="str">
        <f t="shared" si="0"/>
        <v>1000(含)-2000</v>
      </c>
      <c r="I2" s="704" t="str">
        <f t="shared" si="0"/>
        <v>2000(含)-3000</v>
      </c>
      <c r="J2" s="704" t="str">
        <f t="shared" si="0"/>
        <v>3000(含)-4000</v>
      </c>
      <c r="K2" s="704" t="str">
        <f t="shared" si="0"/>
        <v>4000(含)-5000</v>
      </c>
      <c r="L2" s="704" t="str">
        <f t="shared" si="0"/>
        <v>5000(含)-6000</v>
      </c>
      <c r="M2" s="704" t="str">
        <f t="shared" ref="M2" si="1">M3&amp;"(含)"&amp;"-"&amp;N3</f>
        <v>6000(含)-7000</v>
      </c>
      <c r="N2" s="704" t="str">
        <f t="shared" ref="N2" si="2">N3&amp;"(含)"&amp;"-"&amp;O3</f>
        <v>7000(含)-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v>
      </c>
      <c r="E3" s="709">
        <v>100</v>
      </c>
      <c r="F3" s="1706">
        <v>200</v>
      </c>
      <c r="G3" s="1706">
        <v>500</v>
      </c>
      <c r="H3" s="1706">
        <v>1000</v>
      </c>
      <c r="I3" s="1706">
        <v>2000</v>
      </c>
      <c r="J3" s="1706">
        <v>3000</v>
      </c>
      <c r="K3" s="1706">
        <v>4000</v>
      </c>
      <c r="L3" s="1706">
        <v>5000</v>
      </c>
      <c r="M3" s="1707">
        <v>6000</v>
      </c>
      <c r="N3" s="1707">
        <v>7000</v>
      </c>
      <c r="O3" s="1706"/>
      <c r="P3" s="1706"/>
      <c r="Q3" s="1706"/>
      <c r="R3" s="1706"/>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09">
        <v>94</v>
      </c>
      <c r="G4" s="1709">
        <v>92</v>
      </c>
      <c r="H4" s="1709">
        <v>90</v>
      </c>
      <c r="I4" s="1709">
        <v>88</v>
      </c>
      <c r="J4" s="1709">
        <v>86</v>
      </c>
      <c r="K4" s="1709">
        <v>84</v>
      </c>
      <c r="L4" s="1709">
        <v>82</v>
      </c>
      <c r="M4" s="1710">
        <v>80</v>
      </c>
      <c r="N4" s="1710">
        <v>78</v>
      </c>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31.5" customHeight="1">
      <c r="A5" s="1217"/>
      <c r="B5" s="2978" t="s">
        <v>4110</v>
      </c>
      <c r="C5" s="2979" t="s">
        <v>4056</v>
      </c>
      <c r="D5" s="2980" t="s">
        <v>4047</v>
      </c>
      <c r="E5" s="2980" t="s">
        <v>4049</v>
      </c>
      <c r="F5" s="2981" t="s">
        <v>4057</v>
      </c>
      <c r="G5" s="2981" t="s">
        <v>4058</v>
      </c>
      <c r="H5" s="1712"/>
      <c r="I5" s="1712"/>
      <c r="J5" s="1712"/>
      <c r="K5" s="1712"/>
      <c r="L5" s="1713"/>
      <c r="M5" s="1714"/>
      <c r="N5" s="1714"/>
      <c r="O5" s="1712"/>
      <c r="P5" s="1712"/>
      <c r="Q5" s="1712"/>
      <c r="R5" s="1712"/>
      <c r="S5" s="1715"/>
      <c r="T5" s="1221">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95</v>
      </c>
      <c r="E6" s="1121">
        <f t="shared" ref="E6:S6" si="7">D6-$T5</f>
        <v>90</v>
      </c>
      <c r="F6" s="1716">
        <f t="shared" si="7"/>
        <v>85</v>
      </c>
      <c r="G6" s="1716">
        <f t="shared" si="7"/>
        <v>80</v>
      </c>
      <c r="H6" s="1716">
        <f t="shared" si="7"/>
        <v>75</v>
      </c>
      <c r="I6" s="1716">
        <f t="shared" si="7"/>
        <v>70</v>
      </c>
      <c r="J6" s="1716">
        <f t="shared" si="7"/>
        <v>65</v>
      </c>
      <c r="K6" s="1716">
        <f t="shared" si="7"/>
        <v>60</v>
      </c>
      <c r="L6" s="1716">
        <f t="shared" si="7"/>
        <v>55</v>
      </c>
      <c r="M6" s="1716">
        <f t="shared" si="7"/>
        <v>50</v>
      </c>
      <c r="N6" s="1716">
        <f t="shared" si="7"/>
        <v>45</v>
      </c>
      <c r="O6" s="1716">
        <f t="shared" si="7"/>
        <v>40</v>
      </c>
      <c r="P6" s="1716">
        <f t="shared" si="7"/>
        <v>35</v>
      </c>
      <c r="Q6" s="1716">
        <f t="shared" si="7"/>
        <v>30</v>
      </c>
      <c r="R6" s="1716">
        <f t="shared" si="7"/>
        <v>25</v>
      </c>
      <c r="S6" s="1716">
        <f t="shared" si="7"/>
        <v>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idden="1">
      <c r="A7" s="1217"/>
      <c r="B7" s="1771"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7"/>
      <c r="B9" s="1771"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3014</v>
      </c>
      <c r="B17" s="2918" t="s">
        <v>3015</v>
      </c>
      <c r="C17" s="1233" t="s">
        <v>4105</v>
      </c>
      <c r="D17" s="1234" t="s">
        <v>4106</v>
      </c>
      <c r="E17" s="1234" t="s">
        <v>4107</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65</v>
      </c>
      <c r="E18" s="1246">
        <v>55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3016</v>
      </c>
      <c r="E19" s="1793"/>
      <c r="F19" s="1793"/>
      <c r="G19" s="1793"/>
      <c r="H19" s="1282"/>
      <c r="I19" s="168"/>
      <c r="J19" s="168"/>
      <c r="K19" s="168"/>
      <c r="L19" s="168"/>
      <c r="M19" s="168"/>
      <c r="N19" s="168"/>
      <c r="O19" s="168"/>
      <c r="P19" s="168"/>
      <c r="Q19" s="168"/>
      <c r="R19" s="787"/>
      <c r="S19" s="138"/>
    </row>
    <row r="20" spans="1:45" ht="16.5" thickBot="1">
      <c r="A20" s="714" t="s">
        <v>3017</v>
      </c>
      <c r="B20" s="338">
        <f ca="1">IF(D20="——",S22,S22-F20)</f>
        <v>54070</v>
      </c>
      <c r="C20" s="168"/>
      <c r="D20" s="2920" t="s">
        <v>70</v>
      </c>
      <c r="E20" s="1794"/>
      <c r="F20" s="1206" t="e">
        <f ca="1">SUMIF(INDIRECT("'"&amp;H20&amp;"'"&amp;"!A:A"),"承租人权益价值",INDIRECT("'"&amp;H20&amp;"'"&amp;"!c:c"))</f>
        <v>#REF!</v>
      </c>
      <c r="G20" s="1206" t="s">
        <v>3018</v>
      </c>
      <c r="H20" s="2921"/>
      <c r="I20" s="168"/>
      <c r="J20" s="168"/>
      <c r="K20" s="168"/>
      <c r="L20" s="168"/>
      <c r="M20" s="168"/>
      <c r="N20" s="168"/>
      <c r="O20" s="168"/>
      <c r="P20" s="168"/>
      <c r="Q20" s="168"/>
      <c r="R20" s="787"/>
      <c r="S20" s="138"/>
    </row>
    <row r="21" spans="1:45" ht="15.75">
      <c r="A21" s="714" t="s">
        <v>3019</v>
      </c>
      <c r="B21" s="338">
        <f ca="1">R22</f>
        <v>15882</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34044.230000000003</v>
      </c>
      <c r="C22" s="3164" t="s">
        <v>33</v>
      </c>
      <c r="D22" s="3165"/>
      <c r="E22" s="3165"/>
      <c r="F22" s="3165"/>
      <c r="G22" s="3165"/>
      <c r="H22" s="3165"/>
      <c r="I22" s="3165"/>
      <c r="J22" s="3165"/>
      <c r="K22" s="3165"/>
      <c r="L22" s="3165"/>
      <c r="M22" s="3165"/>
      <c r="N22" s="3165"/>
      <c r="O22" s="3165"/>
      <c r="P22" s="3165"/>
      <c r="Q22" s="3304"/>
      <c r="R22" s="715">
        <f ca="1">ROUND(S22*10000/B22,0)</f>
        <v>15882</v>
      </c>
      <c r="S22" s="24">
        <f ca="1">SUM(S24:S10000)</f>
        <v>54070</v>
      </c>
    </row>
    <row r="23" spans="1:45" s="12" customFormat="1" ht="25.5">
      <c r="A23" s="11" t="s">
        <v>3021</v>
      </c>
      <c r="B23" s="11" t="s">
        <v>3022</v>
      </c>
      <c r="C23" s="11" t="s">
        <v>3023</v>
      </c>
      <c r="D23" s="11" t="str">
        <f>B5</f>
        <v>平面位置、可视性</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抵押物清单!C2</f>
        <v>1-101</v>
      </c>
      <c r="B24" s="717">
        <f>抵押物清单!E2</f>
        <v>101.86</v>
      </c>
      <c r="C24" s="718">
        <v>1</v>
      </c>
      <c r="D24" s="719" t="s">
        <v>4047</v>
      </c>
      <c r="E24" s="718">
        <v>1</v>
      </c>
      <c r="F24" s="719"/>
      <c r="G24" s="718">
        <v>1</v>
      </c>
      <c r="H24" s="719"/>
      <c r="I24" s="718">
        <v>1</v>
      </c>
      <c r="J24" s="719"/>
      <c r="K24" s="718">
        <v>1</v>
      </c>
      <c r="L24" s="719"/>
      <c r="M24" s="718">
        <v>1</v>
      </c>
      <c r="N24" s="719"/>
      <c r="O24" s="718">
        <v>1</v>
      </c>
      <c r="P24" s="719" t="s">
        <v>4023</v>
      </c>
      <c r="Q24" s="718">
        <v>1</v>
      </c>
      <c r="R24" s="720">
        <f ca="1">结果表!I118</f>
        <v>25623</v>
      </c>
      <c r="S24" s="718">
        <f t="shared" ref="S24:S54" ca="1" si="11">ROUND(R24*B24/10000,0)</f>
        <v>261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抵押物清单!C3</f>
        <v>1-102</v>
      </c>
      <c r="B25" s="717">
        <f>抵押物清单!E3</f>
        <v>71.48</v>
      </c>
      <c r="C25" s="24">
        <f>IF(B25="",1,(LOOKUP(B25,$3:$3,$4:$4)-LOOKUP($B$24,$3:$3,$4:$4)+100)/100)</f>
        <v>1.02</v>
      </c>
      <c r="D25" s="719" t="s">
        <v>4047</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4023</v>
      </c>
      <c r="Q25" s="24">
        <f>(SUMIF($17:$17,P25,$18:$18)-SUMIF($17:$17,$P$24,$18:$18)+100)/100</f>
        <v>1</v>
      </c>
      <c r="R25" s="715">
        <f ca="1">IF(B25="",0,ROUND($R$24*C25*E25*G25*I25*K25*M25*O25*Q25,0))</f>
        <v>26135</v>
      </c>
      <c r="S25" s="361">
        <f t="shared" ca="1" si="11"/>
        <v>187</v>
      </c>
    </row>
    <row r="26" spans="1:45">
      <c r="A26" s="717" t="str">
        <f>抵押物清单!C4</f>
        <v>1-103</v>
      </c>
      <c r="B26" s="717">
        <f>抵押物清单!E4</f>
        <v>59.73</v>
      </c>
      <c r="C26" s="24">
        <f t="shared" ref="C26:C89" si="12">IF(B26="",1,(LOOKUP(B26,$3:$3,$4:$4)-LOOKUP($B$24,$3:$3,$4:$4)+100)/100)</f>
        <v>1.02</v>
      </c>
      <c r="D26" s="719" t="s">
        <v>4047</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4023</v>
      </c>
      <c r="Q26" s="24">
        <f t="shared" ref="Q26:Q89" si="19">(SUMIF($17:$17,P26,$18:$18)-SUMIF($17:$17,$P$24,$18:$18)+100)/100</f>
        <v>1</v>
      </c>
      <c r="R26" s="715">
        <f t="shared" ref="R26:R89" ca="1" si="20">IF(B26="",0,ROUND($R$24*C26*E26*G26*I26*K26*M26*O26*Q26,0))</f>
        <v>26135</v>
      </c>
      <c r="S26" s="361">
        <f t="shared" ca="1" si="11"/>
        <v>156</v>
      </c>
    </row>
    <row r="27" spans="1:45">
      <c r="A27" s="717" t="str">
        <f>抵押物清单!C5</f>
        <v>1-104</v>
      </c>
      <c r="B27" s="717">
        <f>抵押物清单!E5</f>
        <v>43.03</v>
      </c>
      <c r="C27" s="24">
        <f t="shared" si="12"/>
        <v>1.04</v>
      </c>
      <c r="D27" s="719" t="s">
        <v>4047</v>
      </c>
      <c r="E27" s="24">
        <f t="shared" si="13"/>
        <v>1</v>
      </c>
      <c r="F27" s="719"/>
      <c r="G27" s="24">
        <f t="shared" si="14"/>
        <v>1</v>
      </c>
      <c r="H27" s="719"/>
      <c r="I27" s="24">
        <f t="shared" si="15"/>
        <v>1</v>
      </c>
      <c r="J27" s="719"/>
      <c r="K27" s="24">
        <f t="shared" si="16"/>
        <v>1</v>
      </c>
      <c r="L27" s="719"/>
      <c r="M27" s="24">
        <f t="shared" si="17"/>
        <v>1</v>
      </c>
      <c r="N27" s="719"/>
      <c r="O27" s="24">
        <f t="shared" si="18"/>
        <v>1</v>
      </c>
      <c r="P27" s="719" t="s">
        <v>4023</v>
      </c>
      <c r="Q27" s="24">
        <f t="shared" si="19"/>
        <v>1</v>
      </c>
      <c r="R27" s="715">
        <f t="shared" ca="1" si="20"/>
        <v>26648</v>
      </c>
      <c r="S27" s="361">
        <f t="shared" ca="1" si="11"/>
        <v>115</v>
      </c>
    </row>
    <row r="28" spans="1:45">
      <c r="A28" s="717" t="str">
        <f>抵押物清单!C6</f>
        <v>1-105</v>
      </c>
      <c r="B28" s="717">
        <f>抵押物清单!E6</f>
        <v>44.8</v>
      </c>
      <c r="C28" s="24">
        <f t="shared" si="12"/>
        <v>1.04</v>
      </c>
      <c r="D28" s="719" t="s">
        <v>4047</v>
      </c>
      <c r="E28" s="24">
        <f t="shared" si="13"/>
        <v>1</v>
      </c>
      <c r="F28" s="719"/>
      <c r="G28" s="24">
        <f t="shared" si="14"/>
        <v>1</v>
      </c>
      <c r="H28" s="719"/>
      <c r="I28" s="24">
        <f t="shared" si="15"/>
        <v>1</v>
      </c>
      <c r="J28" s="719"/>
      <c r="K28" s="24">
        <f t="shared" si="16"/>
        <v>1</v>
      </c>
      <c r="L28" s="719"/>
      <c r="M28" s="24">
        <f t="shared" si="17"/>
        <v>1</v>
      </c>
      <c r="N28" s="719"/>
      <c r="O28" s="24">
        <f t="shared" si="18"/>
        <v>1</v>
      </c>
      <c r="P28" s="719" t="s">
        <v>4023</v>
      </c>
      <c r="Q28" s="24">
        <f t="shared" si="19"/>
        <v>1</v>
      </c>
      <c r="R28" s="715">
        <f t="shared" ca="1" si="20"/>
        <v>26648</v>
      </c>
      <c r="S28" s="361">
        <f t="shared" ca="1" si="11"/>
        <v>119</v>
      </c>
    </row>
    <row r="29" spans="1:45">
      <c r="A29" s="717" t="str">
        <f>抵押物清单!C7</f>
        <v>1-106</v>
      </c>
      <c r="B29" s="717">
        <f>抵押物清单!E7</f>
        <v>44.8</v>
      </c>
      <c r="C29" s="24">
        <f t="shared" si="12"/>
        <v>1.04</v>
      </c>
      <c r="D29" s="719" t="s">
        <v>4047</v>
      </c>
      <c r="E29" s="24">
        <f t="shared" si="13"/>
        <v>1</v>
      </c>
      <c r="F29" s="719"/>
      <c r="G29" s="24">
        <f t="shared" si="14"/>
        <v>1</v>
      </c>
      <c r="H29" s="719"/>
      <c r="I29" s="24">
        <f t="shared" si="15"/>
        <v>1</v>
      </c>
      <c r="J29" s="719"/>
      <c r="K29" s="24">
        <f t="shared" si="16"/>
        <v>1</v>
      </c>
      <c r="L29" s="719"/>
      <c r="M29" s="24">
        <f t="shared" si="17"/>
        <v>1</v>
      </c>
      <c r="N29" s="719"/>
      <c r="O29" s="24">
        <f t="shared" si="18"/>
        <v>1</v>
      </c>
      <c r="P29" s="719" t="s">
        <v>4023</v>
      </c>
      <c r="Q29" s="24">
        <f t="shared" si="19"/>
        <v>1</v>
      </c>
      <c r="R29" s="715">
        <f t="shared" ca="1" si="20"/>
        <v>26648</v>
      </c>
      <c r="S29" s="361">
        <f t="shared" ca="1" si="11"/>
        <v>119</v>
      </c>
    </row>
    <row r="30" spans="1:45">
      <c r="A30" s="717" t="str">
        <f>抵押物清单!C8</f>
        <v>1-107</v>
      </c>
      <c r="B30" s="717">
        <f>抵押物清单!E8</f>
        <v>44.8</v>
      </c>
      <c r="C30" s="24">
        <f t="shared" si="12"/>
        <v>1.04</v>
      </c>
      <c r="D30" s="719" t="s">
        <v>4047</v>
      </c>
      <c r="E30" s="24">
        <f t="shared" si="13"/>
        <v>1</v>
      </c>
      <c r="F30" s="719"/>
      <c r="G30" s="24">
        <f t="shared" si="14"/>
        <v>1</v>
      </c>
      <c r="H30" s="719"/>
      <c r="I30" s="24">
        <f t="shared" si="15"/>
        <v>1</v>
      </c>
      <c r="J30" s="719"/>
      <c r="K30" s="24">
        <f t="shared" si="16"/>
        <v>1</v>
      </c>
      <c r="L30" s="719"/>
      <c r="M30" s="24">
        <f t="shared" si="17"/>
        <v>1</v>
      </c>
      <c r="N30" s="719"/>
      <c r="O30" s="24">
        <f t="shared" si="18"/>
        <v>1</v>
      </c>
      <c r="P30" s="719" t="s">
        <v>4023</v>
      </c>
      <c r="Q30" s="24">
        <f t="shared" si="19"/>
        <v>1</v>
      </c>
      <c r="R30" s="715">
        <f t="shared" ca="1" si="20"/>
        <v>26648</v>
      </c>
      <c r="S30" s="361">
        <f t="shared" ca="1" si="11"/>
        <v>119</v>
      </c>
    </row>
    <row r="31" spans="1:45">
      <c r="A31" s="717" t="str">
        <f>抵押物清单!C9</f>
        <v>1-108</v>
      </c>
      <c r="B31" s="717">
        <f>抵押物清单!E9</f>
        <v>89.59</v>
      </c>
      <c r="C31" s="24">
        <f t="shared" si="12"/>
        <v>1.02</v>
      </c>
      <c r="D31" s="719" t="s">
        <v>4047</v>
      </c>
      <c r="E31" s="24">
        <f t="shared" si="13"/>
        <v>1</v>
      </c>
      <c r="F31" s="719"/>
      <c r="G31" s="24">
        <f t="shared" si="14"/>
        <v>1</v>
      </c>
      <c r="H31" s="719"/>
      <c r="I31" s="24">
        <f t="shared" si="15"/>
        <v>1</v>
      </c>
      <c r="J31" s="719"/>
      <c r="K31" s="24">
        <f t="shared" si="16"/>
        <v>1</v>
      </c>
      <c r="L31" s="719"/>
      <c r="M31" s="24">
        <f t="shared" si="17"/>
        <v>1</v>
      </c>
      <c r="N31" s="719"/>
      <c r="O31" s="24">
        <f t="shared" si="18"/>
        <v>1</v>
      </c>
      <c r="P31" s="719" t="s">
        <v>4023</v>
      </c>
      <c r="Q31" s="24">
        <f t="shared" si="19"/>
        <v>1</v>
      </c>
      <c r="R31" s="715">
        <f t="shared" ca="1" si="20"/>
        <v>26135</v>
      </c>
      <c r="S31" s="361">
        <f t="shared" ca="1" si="11"/>
        <v>234</v>
      </c>
    </row>
    <row r="32" spans="1:45">
      <c r="A32" s="717" t="str">
        <f>抵押物清单!C10</f>
        <v>1-109</v>
      </c>
      <c r="B32" s="717">
        <f>抵押物清单!E10</f>
        <v>44.8</v>
      </c>
      <c r="C32" s="24">
        <f t="shared" si="12"/>
        <v>1.04</v>
      </c>
      <c r="D32" s="719" t="s">
        <v>4056</v>
      </c>
      <c r="E32" s="24">
        <f t="shared" si="13"/>
        <v>1.05</v>
      </c>
      <c r="F32" s="719"/>
      <c r="G32" s="24">
        <f t="shared" si="14"/>
        <v>1</v>
      </c>
      <c r="H32" s="719"/>
      <c r="I32" s="24">
        <f t="shared" si="15"/>
        <v>1</v>
      </c>
      <c r="J32" s="719"/>
      <c r="K32" s="24">
        <f t="shared" si="16"/>
        <v>1</v>
      </c>
      <c r="L32" s="719"/>
      <c r="M32" s="24">
        <f t="shared" si="17"/>
        <v>1</v>
      </c>
      <c r="N32" s="719"/>
      <c r="O32" s="24">
        <f t="shared" si="18"/>
        <v>1</v>
      </c>
      <c r="P32" s="719" t="s">
        <v>4023</v>
      </c>
      <c r="Q32" s="24">
        <f t="shared" si="19"/>
        <v>1</v>
      </c>
      <c r="R32" s="715">
        <f t="shared" ca="1" si="20"/>
        <v>27980</v>
      </c>
      <c r="S32" s="361">
        <f t="shared" ca="1" si="11"/>
        <v>125</v>
      </c>
    </row>
    <row r="33" spans="1:19">
      <c r="A33" s="717" t="str">
        <f>抵押物清单!C11</f>
        <v>1-110</v>
      </c>
      <c r="B33" s="717">
        <f>抵押物清单!E11</f>
        <v>43.19</v>
      </c>
      <c r="C33" s="24">
        <f t="shared" si="12"/>
        <v>1.04</v>
      </c>
      <c r="D33" s="719" t="s">
        <v>4056</v>
      </c>
      <c r="E33" s="24">
        <f t="shared" si="13"/>
        <v>1.05</v>
      </c>
      <c r="F33" s="719"/>
      <c r="G33" s="24">
        <f t="shared" si="14"/>
        <v>1</v>
      </c>
      <c r="H33" s="719"/>
      <c r="I33" s="24">
        <f t="shared" si="15"/>
        <v>1</v>
      </c>
      <c r="J33" s="719"/>
      <c r="K33" s="24">
        <f t="shared" si="16"/>
        <v>1</v>
      </c>
      <c r="L33" s="719"/>
      <c r="M33" s="24">
        <f t="shared" si="17"/>
        <v>1</v>
      </c>
      <c r="N33" s="719"/>
      <c r="O33" s="24">
        <f t="shared" si="18"/>
        <v>1</v>
      </c>
      <c r="P33" s="719" t="s">
        <v>4023</v>
      </c>
      <c r="Q33" s="24">
        <f t="shared" si="19"/>
        <v>1</v>
      </c>
      <c r="R33" s="715">
        <f t="shared" ca="1" si="20"/>
        <v>27980</v>
      </c>
      <c r="S33" s="361">
        <f t="shared" ca="1" si="11"/>
        <v>121</v>
      </c>
    </row>
    <row r="34" spans="1:19">
      <c r="A34" s="717" t="str">
        <f>抵押物清单!C12</f>
        <v>1-111</v>
      </c>
      <c r="B34" s="717">
        <f>抵押物清单!E12</f>
        <v>48.59</v>
      </c>
      <c r="C34" s="24">
        <f t="shared" si="12"/>
        <v>1.04</v>
      </c>
      <c r="D34" s="719" t="s">
        <v>4056</v>
      </c>
      <c r="E34" s="24">
        <f t="shared" si="13"/>
        <v>1.05</v>
      </c>
      <c r="F34" s="719"/>
      <c r="G34" s="24">
        <f t="shared" si="14"/>
        <v>1</v>
      </c>
      <c r="H34" s="719"/>
      <c r="I34" s="24">
        <f t="shared" si="15"/>
        <v>1</v>
      </c>
      <c r="J34" s="719"/>
      <c r="K34" s="24">
        <f t="shared" si="16"/>
        <v>1</v>
      </c>
      <c r="L34" s="719"/>
      <c r="M34" s="24">
        <f t="shared" si="17"/>
        <v>1</v>
      </c>
      <c r="N34" s="719"/>
      <c r="O34" s="24">
        <f t="shared" si="18"/>
        <v>1</v>
      </c>
      <c r="P34" s="719" t="s">
        <v>4023</v>
      </c>
      <c r="Q34" s="24">
        <f t="shared" si="19"/>
        <v>1</v>
      </c>
      <c r="R34" s="715">
        <f t="shared" ca="1" si="20"/>
        <v>27980</v>
      </c>
      <c r="S34" s="361">
        <f t="shared" ca="1" si="11"/>
        <v>136</v>
      </c>
    </row>
    <row r="35" spans="1:19">
      <c r="A35" s="717" t="str">
        <f>抵押物清单!C13</f>
        <v>1-112</v>
      </c>
      <c r="B35" s="717">
        <f>抵押物清单!E13</f>
        <v>48.59</v>
      </c>
      <c r="C35" s="24">
        <f t="shared" si="12"/>
        <v>1.04</v>
      </c>
      <c r="D35" s="719" t="s">
        <v>4056</v>
      </c>
      <c r="E35" s="24">
        <f t="shared" si="13"/>
        <v>1.05</v>
      </c>
      <c r="F35" s="719"/>
      <c r="G35" s="24">
        <f t="shared" si="14"/>
        <v>1</v>
      </c>
      <c r="H35" s="719"/>
      <c r="I35" s="24">
        <f t="shared" si="15"/>
        <v>1</v>
      </c>
      <c r="J35" s="719"/>
      <c r="K35" s="24">
        <f t="shared" si="16"/>
        <v>1</v>
      </c>
      <c r="L35" s="719"/>
      <c r="M35" s="24">
        <f t="shared" si="17"/>
        <v>1</v>
      </c>
      <c r="N35" s="719"/>
      <c r="O35" s="24">
        <f t="shared" si="18"/>
        <v>1</v>
      </c>
      <c r="P35" s="719" t="s">
        <v>4023</v>
      </c>
      <c r="Q35" s="24">
        <f t="shared" si="19"/>
        <v>1</v>
      </c>
      <c r="R35" s="715">
        <f t="shared" ca="1" si="20"/>
        <v>27980</v>
      </c>
      <c r="S35" s="361">
        <f t="shared" ca="1" si="11"/>
        <v>136</v>
      </c>
    </row>
    <row r="36" spans="1:19">
      <c r="A36" s="717" t="str">
        <f>抵押物清单!C14</f>
        <v>1-113</v>
      </c>
      <c r="B36" s="717">
        <f>抵押物清单!E14</f>
        <v>48.59</v>
      </c>
      <c r="C36" s="24">
        <f t="shared" si="12"/>
        <v>1.04</v>
      </c>
      <c r="D36" s="719" t="s">
        <v>4056</v>
      </c>
      <c r="E36" s="24">
        <f t="shared" si="13"/>
        <v>1.05</v>
      </c>
      <c r="F36" s="719"/>
      <c r="G36" s="24">
        <f t="shared" si="14"/>
        <v>1</v>
      </c>
      <c r="H36" s="719"/>
      <c r="I36" s="24">
        <f t="shared" si="15"/>
        <v>1</v>
      </c>
      <c r="J36" s="719"/>
      <c r="K36" s="24">
        <f t="shared" si="16"/>
        <v>1</v>
      </c>
      <c r="L36" s="719"/>
      <c r="M36" s="24">
        <f t="shared" si="17"/>
        <v>1</v>
      </c>
      <c r="N36" s="719"/>
      <c r="O36" s="24">
        <f t="shared" si="18"/>
        <v>1</v>
      </c>
      <c r="P36" s="719" t="s">
        <v>4023</v>
      </c>
      <c r="Q36" s="24">
        <f t="shared" si="19"/>
        <v>1</v>
      </c>
      <c r="R36" s="715">
        <f t="shared" ca="1" si="20"/>
        <v>27980</v>
      </c>
      <c r="S36" s="361">
        <f t="shared" ca="1" si="11"/>
        <v>136</v>
      </c>
    </row>
    <row r="37" spans="1:19">
      <c r="A37" s="717" t="str">
        <f>抵押物清单!C15</f>
        <v>1-114</v>
      </c>
      <c r="B37" s="717">
        <f>抵押物清单!E15</f>
        <v>60.74</v>
      </c>
      <c r="C37" s="24">
        <f t="shared" si="12"/>
        <v>1.02</v>
      </c>
      <c r="D37" s="719" t="s">
        <v>4056</v>
      </c>
      <c r="E37" s="24">
        <f t="shared" si="13"/>
        <v>1.05</v>
      </c>
      <c r="F37" s="719"/>
      <c r="G37" s="24">
        <f t="shared" si="14"/>
        <v>1</v>
      </c>
      <c r="H37" s="719"/>
      <c r="I37" s="24">
        <f t="shared" si="15"/>
        <v>1</v>
      </c>
      <c r="J37" s="719"/>
      <c r="K37" s="24">
        <f t="shared" si="16"/>
        <v>1</v>
      </c>
      <c r="L37" s="719"/>
      <c r="M37" s="24">
        <f t="shared" si="17"/>
        <v>1</v>
      </c>
      <c r="N37" s="719"/>
      <c r="O37" s="24">
        <f t="shared" si="18"/>
        <v>1</v>
      </c>
      <c r="P37" s="719" t="s">
        <v>4023</v>
      </c>
      <c r="Q37" s="24">
        <f t="shared" si="19"/>
        <v>1</v>
      </c>
      <c r="R37" s="715">
        <f t="shared" ca="1" si="20"/>
        <v>27442</v>
      </c>
      <c r="S37" s="361">
        <f t="shared" ca="1" si="11"/>
        <v>167</v>
      </c>
    </row>
    <row r="38" spans="1:19">
      <c r="A38" s="717" t="str">
        <f>抵押物清单!C16</f>
        <v>1-115</v>
      </c>
      <c r="B38" s="717">
        <f>抵押物清单!E16</f>
        <v>28.81</v>
      </c>
      <c r="C38" s="24">
        <f t="shared" si="12"/>
        <v>1.04</v>
      </c>
      <c r="D38" s="719" t="s">
        <v>4056</v>
      </c>
      <c r="E38" s="24">
        <f t="shared" si="13"/>
        <v>1.05</v>
      </c>
      <c r="F38" s="719"/>
      <c r="G38" s="24">
        <f t="shared" si="14"/>
        <v>1</v>
      </c>
      <c r="H38" s="719"/>
      <c r="I38" s="24">
        <f t="shared" si="15"/>
        <v>1</v>
      </c>
      <c r="J38" s="719"/>
      <c r="K38" s="24">
        <f t="shared" si="16"/>
        <v>1</v>
      </c>
      <c r="L38" s="719"/>
      <c r="M38" s="24">
        <f t="shared" si="17"/>
        <v>1</v>
      </c>
      <c r="N38" s="719"/>
      <c r="O38" s="24">
        <f t="shared" si="18"/>
        <v>1</v>
      </c>
      <c r="P38" s="719" t="s">
        <v>4023</v>
      </c>
      <c r="Q38" s="24">
        <f t="shared" si="19"/>
        <v>1</v>
      </c>
      <c r="R38" s="715">
        <f t="shared" ca="1" si="20"/>
        <v>27980</v>
      </c>
      <c r="S38" s="361">
        <f t="shared" ca="1" si="11"/>
        <v>81</v>
      </c>
    </row>
    <row r="39" spans="1:19">
      <c r="A39" s="717" t="str">
        <f>抵押物清单!C17</f>
        <v>1-116</v>
      </c>
      <c r="B39" s="717">
        <f>抵押物清单!E17</f>
        <v>18.53</v>
      </c>
      <c r="C39" s="24">
        <f t="shared" si="12"/>
        <v>1.04</v>
      </c>
      <c r="D39" s="719" t="s">
        <v>4056</v>
      </c>
      <c r="E39" s="24">
        <f t="shared" si="13"/>
        <v>1.05</v>
      </c>
      <c r="F39" s="719"/>
      <c r="G39" s="24">
        <f t="shared" si="14"/>
        <v>1</v>
      </c>
      <c r="H39" s="719"/>
      <c r="I39" s="24">
        <f t="shared" si="15"/>
        <v>1</v>
      </c>
      <c r="J39" s="719"/>
      <c r="K39" s="24">
        <f t="shared" si="16"/>
        <v>1</v>
      </c>
      <c r="L39" s="719"/>
      <c r="M39" s="24">
        <f t="shared" si="17"/>
        <v>1</v>
      </c>
      <c r="N39" s="719"/>
      <c r="O39" s="24">
        <f t="shared" si="18"/>
        <v>1</v>
      </c>
      <c r="P39" s="719" t="s">
        <v>4023</v>
      </c>
      <c r="Q39" s="24">
        <f t="shared" si="19"/>
        <v>1</v>
      </c>
      <c r="R39" s="715">
        <f t="shared" ca="1" si="20"/>
        <v>27980</v>
      </c>
      <c r="S39" s="361">
        <f t="shared" ca="1" si="11"/>
        <v>52</v>
      </c>
    </row>
    <row r="40" spans="1:19">
      <c r="A40" s="717" t="str">
        <f>抵押物清单!C18</f>
        <v>1-117</v>
      </c>
      <c r="B40" s="717">
        <f>抵押物清单!E18</f>
        <v>22.2</v>
      </c>
      <c r="C40" s="24">
        <f t="shared" si="12"/>
        <v>1.04</v>
      </c>
      <c r="D40" s="719" t="s">
        <v>4056</v>
      </c>
      <c r="E40" s="24">
        <f t="shared" si="13"/>
        <v>1.05</v>
      </c>
      <c r="F40" s="719"/>
      <c r="G40" s="24">
        <f t="shared" si="14"/>
        <v>1</v>
      </c>
      <c r="H40" s="719"/>
      <c r="I40" s="24">
        <f t="shared" si="15"/>
        <v>1</v>
      </c>
      <c r="J40" s="719"/>
      <c r="K40" s="24">
        <f t="shared" si="16"/>
        <v>1</v>
      </c>
      <c r="L40" s="719"/>
      <c r="M40" s="24">
        <f t="shared" si="17"/>
        <v>1</v>
      </c>
      <c r="N40" s="719"/>
      <c r="O40" s="24">
        <f t="shared" si="18"/>
        <v>1</v>
      </c>
      <c r="P40" s="719" t="s">
        <v>4023</v>
      </c>
      <c r="Q40" s="24">
        <f t="shared" si="19"/>
        <v>1</v>
      </c>
      <c r="R40" s="715">
        <f t="shared" ca="1" si="20"/>
        <v>27980</v>
      </c>
      <c r="S40" s="361">
        <f t="shared" ca="1" si="11"/>
        <v>62</v>
      </c>
    </row>
    <row r="41" spans="1:19">
      <c r="A41" s="717" t="str">
        <f>抵押物清单!C19</f>
        <v>1-118</v>
      </c>
      <c r="B41" s="717">
        <f>抵押物清单!E19</f>
        <v>46.58</v>
      </c>
      <c r="C41" s="24">
        <f t="shared" si="12"/>
        <v>1.04</v>
      </c>
      <c r="D41" s="719" t="s">
        <v>4056</v>
      </c>
      <c r="E41" s="24">
        <f t="shared" si="13"/>
        <v>1.05</v>
      </c>
      <c r="F41" s="719"/>
      <c r="G41" s="24">
        <f t="shared" si="14"/>
        <v>1</v>
      </c>
      <c r="H41" s="719"/>
      <c r="I41" s="24">
        <f t="shared" si="15"/>
        <v>1</v>
      </c>
      <c r="J41" s="719"/>
      <c r="K41" s="24">
        <f t="shared" si="16"/>
        <v>1</v>
      </c>
      <c r="L41" s="719"/>
      <c r="M41" s="24">
        <f t="shared" si="17"/>
        <v>1</v>
      </c>
      <c r="N41" s="719"/>
      <c r="O41" s="24">
        <f t="shared" si="18"/>
        <v>1</v>
      </c>
      <c r="P41" s="719" t="s">
        <v>4023</v>
      </c>
      <c r="Q41" s="24">
        <f t="shared" si="19"/>
        <v>1</v>
      </c>
      <c r="R41" s="715">
        <f t="shared" ca="1" si="20"/>
        <v>27980</v>
      </c>
      <c r="S41" s="361">
        <f t="shared" ca="1" si="11"/>
        <v>130</v>
      </c>
    </row>
    <row r="42" spans="1:19">
      <c r="A42" s="717" t="str">
        <f>抵押物清单!C20</f>
        <v>1-119</v>
      </c>
      <c r="B42" s="717">
        <f>抵押物清单!E20</f>
        <v>27.58</v>
      </c>
      <c r="C42" s="24">
        <f t="shared" si="12"/>
        <v>1.04</v>
      </c>
      <c r="D42" s="719" t="s">
        <v>4056</v>
      </c>
      <c r="E42" s="24">
        <f t="shared" si="13"/>
        <v>1.05</v>
      </c>
      <c r="F42" s="719"/>
      <c r="G42" s="24">
        <f t="shared" si="14"/>
        <v>1</v>
      </c>
      <c r="H42" s="719"/>
      <c r="I42" s="24">
        <f t="shared" si="15"/>
        <v>1</v>
      </c>
      <c r="J42" s="719"/>
      <c r="K42" s="24">
        <f t="shared" si="16"/>
        <v>1</v>
      </c>
      <c r="L42" s="719"/>
      <c r="M42" s="24">
        <f t="shared" si="17"/>
        <v>1</v>
      </c>
      <c r="N42" s="719"/>
      <c r="O42" s="24">
        <f t="shared" si="18"/>
        <v>1</v>
      </c>
      <c r="P42" s="719" t="s">
        <v>4023</v>
      </c>
      <c r="Q42" s="24">
        <f t="shared" si="19"/>
        <v>1</v>
      </c>
      <c r="R42" s="715">
        <f t="shared" ca="1" si="20"/>
        <v>27980</v>
      </c>
      <c r="S42" s="361">
        <f t="shared" ca="1" si="11"/>
        <v>77</v>
      </c>
    </row>
    <row r="43" spans="1:19">
      <c r="A43" s="717" t="str">
        <f>抵押物清单!C21</f>
        <v>1-120</v>
      </c>
      <c r="B43" s="717">
        <f>抵押物清单!E21</f>
        <v>27.58</v>
      </c>
      <c r="C43" s="24">
        <f t="shared" si="12"/>
        <v>1.04</v>
      </c>
      <c r="D43" s="719" t="s">
        <v>4056</v>
      </c>
      <c r="E43" s="24">
        <f t="shared" si="13"/>
        <v>1.05</v>
      </c>
      <c r="F43" s="719"/>
      <c r="G43" s="24">
        <f t="shared" si="14"/>
        <v>1</v>
      </c>
      <c r="H43" s="719"/>
      <c r="I43" s="24">
        <f t="shared" si="15"/>
        <v>1</v>
      </c>
      <c r="J43" s="719"/>
      <c r="K43" s="24">
        <f t="shared" si="16"/>
        <v>1</v>
      </c>
      <c r="L43" s="719"/>
      <c r="M43" s="24">
        <f t="shared" si="17"/>
        <v>1</v>
      </c>
      <c r="N43" s="719"/>
      <c r="O43" s="24">
        <f t="shared" si="18"/>
        <v>1</v>
      </c>
      <c r="P43" s="719" t="s">
        <v>4023</v>
      </c>
      <c r="Q43" s="24">
        <f t="shared" si="19"/>
        <v>1</v>
      </c>
      <c r="R43" s="715">
        <f t="shared" ca="1" si="20"/>
        <v>27980</v>
      </c>
      <c r="S43" s="361">
        <f t="shared" ca="1" si="11"/>
        <v>77</v>
      </c>
    </row>
    <row r="44" spans="1:19">
      <c r="A44" s="717" t="str">
        <f>抵押物清单!C22</f>
        <v>1-121</v>
      </c>
      <c r="B44" s="717">
        <f>抵押物清单!E22</f>
        <v>56.82</v>
      </c>
      <c r="C44" s="24">
        <f t="shared" si="12"/>
        <v>1.02</v>
      </c>
      <c r="D44" s="719" t="s">
        <v>4047</v>
      </c>
      <c r="E44" s="24">
        <f t="shared" si="13"/>
        <v>1</v>
      </c>
      <c r="F44" s="719"/>
      <c r="G44" s="24">
        <f t="shared" si="14"/>
        <v>1</v>
      </c>
      <c r="H44" s="719"/>
      <c r="I44" s="24">
        <f t="shared" si="15"/>
        <v>1</v>
      </c>
      <c r="J44" s="719"/>
      <c r="K44" s="24">
        <f t="shared" si="16"/>
        <v>1</v>
      </c>
      <c r="L44" s="719"/>
      <c r="M44" s="24">
        <f t="shared" si="17"/>
        <v>1</v>
      </c>
      <c r="N44" s="719"/>
      <c r="O44" s="24">
        <f t="shared" si="18"/>
        <v>1</v>
      </c>
      <c r="P44" s="719" t="s">
        <v>4023</v>
      </c>
      <c r="Q44" s="24">
        <f t="shared" si="19"/>
        <v>1</v>
      </c>
      <c r="R44" s="715">
        <f t="shared" ca="1" si="20"/>
        <v>26135</v>
      </c>
      <c r="S44" s="361">
        <f t="shared" ca="1" si="11"/>
        <v>148</v>
      </c>
    </row>
    <row r="45" spans="1:19">
      <c r="A45" s="717" t="str">
        <f>抵押物清单!C23</f>
        <v>1-122</v>
      </c>
      <c r="B45" s="717">
        <f>抵押物清单!E23</f>
        <v>52.77</v>
      </c>
      <c r="C45" s="24">
        <f t="shared" si="12"/>
        <v>1.02</v>
      </c>
      <c r="D45" s="719" t="s">
        <v>4047</v>
      </c>
      <c r="E45" s="24">
        <f t="shared" si="13"/>
        <v>1</v>
      </c>
      <c r="F45" s="719"/>
      <c r="G45" s="24">
        <f t="shared" si="14"/>
        <v>1</v>
      </c>
      <c r="H45" s="719"/>
      <c r="I45" s="24">
        <f t="shared" si="15"/>
        <v>1</v>
      </c>
      <c r="J45" s="719"/>
      <c r="K45" s="24">
        <f t="shared" si="16"/>
        <v>1</v>
      </c>
      <c r="L45" s="719"/>
      <c r="M45" s="24">
        <f t="shared" si="17"/>
        <v>1</v>
      </c>
      <c r="N45" s="719"/>
      <c r="O45" s="24">
        <f t="shared" si="18"/>
        <v>1</v>
      </c>
      <c r="P45" s="719" t="s">
        <v>4023</v>
      </c>
      <c r="Q45" s="24">
        <f t="shared" si="19"/>
        <v>1</v>
      </c>
      <c r="R45" s="715">
        <f t="shared" ca="1" si="20"/>
        <v>26135</v>
      </c>
      <c r="S45" s="361">
        <f t="shared" ca="1" si="11"/>
        <v>138</v>
      </c>
    </row>
    <row r="46" spans="1:19">
      <c r="A46" s="717" t="str">
        <f>抵押物清单!C24</f>
        <v>1-123</v>
      </c>
      <c r="B46" s="717">
        <f>抵押物清单!E24</f>
        <v>50.98</v>
      </c>
      <c r="C46" s="24">
        <f t="shared" si="12"/>
        <v>1.02</v>
      </c>
      <c r="D46" s="719" t="s">
        <v>4047</v>
      </c>
      <c r="E46" s="24">
        <f t="shared" si="13"/>
        <v>1</v>
      </c>
      <c r="F46" s="719"/>
      <c r="G46" s="24">
        <f t="shared" si="14"/>
        <v>1</v>
      </c>
      <c r="H46" s="719"/>
      <c r="I46" s="24">
        <f t="shared" si="15"/>
        <v>1</v>
      </c>
      <c r="J46" s="719"/>
      <c r="K46" s="24">
        <f t="shared" si="16"/>
        <v>1</v>
      </c>
      <c r="L46" s="719"/>
      <c r="M46" s="24">
        <f t="shared" si="17"/>
        <v>1</v>
      </c>
      <c r="N46" s="719"/>
      <c r="O46" s="24">
        <f t="shared" si="18"/>
        <v>1</v>
      </c>
      <c r="P46" s="719" t="s">
        <v>4023</v>
      </c>
      <c r="Q46" s="24">
        <f t="shared" si="19"/>
        <v>1</v>
      </c>
      <c r="R46" s="715">
        <f t="shared" ca="1" si="20"/>
        <v>26135</v>
      </c>
      <c r="S46" s="361">
        <f t="shared" ca="1" si="11"/>
        <v>133</v>
      </c>
    </row>
    <row r="47" spans="1:19">
      <c r="A47" s="717" t="str">
        <f>抵押物清单!C25</f>
        <v>1-124</v>
      </c>
      <c r="B47" s="717">
        <f>抵押物清单!E25</f>
        <v>4865.12</v>
      </c>
      <c r="C47" s="24">
        <f t="shared" si="12"/>
        <v>0.88</v>
      </c>
      <c r="D47" s="719" t="s">
        <v>4049</v>
      </c>
      <c r="E47" s="24">
        <f t="shared" si="13"/>
        <v>0.95</v>
      </c>
      <c r="F47" s="719"/>
      <c r="G47" s="24">
        <f t="shared" si="14"/>
        <v>1</v>
      </c>
      <c r="H47" s="719"/>
      <c r="I47" s="24">
        <f t="shared" si="15"/>
        <v>1</v>
      </c>
      <c r="J47" s="719"/>
      <c r="K47" s="24">
        <f t="shared" si="16"/>
        <v>1</v>
      </c>
      <c r="L47" s="719"/>
      <c r="M47" s="24">
        <f t="shared" si="17"/>
        <v>1</v>
      </c>
      <c r="N47" s="719"/>
      <c r="O47" s="24">
        <f t="shared" si="18"/>
        <v>1</v>
      </c>
      <c r="P47" s="719" t="s">
        <v>4023</v>
      </c>
      <c r="Q47" s="24">
        <f t="shared" si="19"/>
        <v>1</v>
      </c>
      <c r="R47" s="715">
        <f t="shared" ca="1" si="20"/>
        <v>21421</v>
      </c>
      <c r="S47" s="361">
        <f t="shared" ca="1" si="11"/>
        <v>10422</v>
      </c>
    </row>
    <row r="48" spans="1:19">
      <c r="A48" s="717" t="str">
        <f>抵押物清单!C26</f>
        <v>1-125</v>
      </c>
      <c r="B48" s="717">
        <f>抵押物清单!E26</f>
        <v>508.17</v>
      </c>
      <c r="C48" s="24">
        <f t="shared" si="12"/>
        <v>0.96</v>
      </c>
      <c r="D48" s="719" t="s">
        <v>4049</v>
      </c>
      <c r="E48" s="24">
        <f t="shared" si="13"/>
        <v>0.95</v>
      </c>
      <c r="F48" s="719"/>
      <c r="G48" s="24">
        <f t="shared" si="14"/>
        <v>1</v>
      </c>
      <c r="H48" s="719"/>
      <c r="I48" s="24">
        <f t="shared" si="15"/>
        <v>1</v>
      </c>
      <c r="J48" s="719"/>
      <c r="K48" s="24">
        <f t="shared" si="16"/>
        <v>1</v>
      </c>
      <c r="L48" s="719"/>
      <c r="M48" s="24">
        <f t="shared" si="17"/>
        <v>1</v>
      </c>
      <c r="N48" s="719"/>
      <c r="O48" s="24">
        <f t="shared" si="18"/>
        <v>1</v>
      </c>
      <c r="P48" s="719" t="s">
        <v>4023</v>
      </c>
      <c r="Q48" s="24">
        <f t="shared" si="19"/>
        <v>1</v>
      </c>
      <c r="R48" s="715">
        <f t="shared" ca="1" si="20"/>
        <v>23368</v>
      </c>
      <c r="S48" s="361">
        <f t="shared" ca="1" si="11"/>
        <v>1187</v>
      </c>
    </row>
    <row r="49" spans="1:19">
      <c r="A49" s="717" t="str">
        <f>抵押物清单!C27</f>
        <v>1-201</v>
      </c>
      <c r="B49" s="717">
        <f>抵押物清单!E27</f>
        <v>186.58</v>
      </c>
      <c r="C49" s="24">
        <f t="shared" si="12"/>
        <v>1</v>
      </c>
      <c r="D49" s="719" t="s">
        <v>4049</v>
      </c>
      <c r="E49" s="24">
        <f t="shared" si="13"/>
        <v>0.95</v>
      </c>
      <c r="F49" s="719"/>
      <c r="G49" s="24">
        <f t="shared" si="14"/>
        <v>1</v>
      </c>
      <c r="H49" s="719"/>
      <c r="I49" s="24">
        <f t="shared" si="15"/>
        <v>1</v>
      </c>
      <c r="J49" s="719"/>
      <c r="K49" s="24">
        <f t="shared" si="16"/>
        <v>1</v>
      </c>
      <c r="L49" s="719"/>
      <c r="M49" s="24">
        <f t="shared" si="17"/>
        <v>1</v>
      </c>
      <c r="N49" s="719"/>
      <c r="O49" s="24">
        <f t="shared" si="18"/>
        <v>1</v>
      </c>
      <c r="P49" s="719" t="s">
        <v>4108</v>
      </c>
      <c r="Q49" s="24">
        <f t="shared" si="19"/>
        <v>0.65</v>
      </c>
      <c r="R49" s="715">
        <f t="shared" ca="1" si="20"/>
        <v>15822</v>
      </c>
      <c r="S49" s="361">
        <f t="shared" ca="1" si="11"/>
        <v>295</v>
      </c>
    </row>
    <row r="50" spans="1:19">
      <c r="A50" s="717" t="str">
        <f>抵押物清单!C28</f>
        <v>1-202</v>
      </c>
      <c r="B50" s="717">
        <f>抵押物清单!E28</f>
        <v>170.74</v>
      </c>
      <c r="C50" s="24">
        <f t="shared" si="12"/>
        <v>1</v>
      </c>
      <c r="D50" s="719" t="s">
        <v>4049</v>
      </c>
      <c r="E50" s="24">
        <f t="shared" si="13"/>
        <v>0.95</v>
      </c>
      <c r="F50" s="719"/>
      <c r="G50" s="24">
        <f t="shared" si="14"/>
        <v>1</v>
      </c>
      <c r="H50" s="719"/>
      <c r="I50" s="24">
        <f t="shared" si="15"/>
        <v>1</v>
      </c>
      <c r="J50" s="719"/>
      <c r="K50" s="24">
        <f t="shared" si="16"/>
        <v>1</v>
      </c>
      <c r="L50" s="719"/>
      <c r="M50" s="24">
        <f t="shared" si="17"/>
        <v>1</v>
      </c>
      <c r="N50" s="719"/>
      <c r="O50" s="24">
        <f t="shared" si="18"/>
        <v>1</v>
      </c>
      <c r="P50" s="719" t="s">
        <v>4108</v>
      </c>
      <c r="Q50" s="24">
        <f t="shared" si="19"/>
        <v>0.65</v>
      </c>
      <c r="R50" s="715">
        <f t="shared" ca="1" si="20"/>
        <v>15822</v>
      </c>
      <c r="S50" s="361">
        <f t="shared" ca="1" si="11"/>
        <v>270</v>
      </c>
    </row>
    <row r="51" spans="1:19">
      <c r="A51" s="717" t="str">
        <f>抵押物清单!C29</f>
        <v>1-203</v>
      </c>
      <c r="B51" s="717">
        <f>抵押物清单!E29</f>
        <v>156.16999999999999</v>
      </c>
      <c r="C51" s="24">
        <f t="shared" si="12"/>
        <v>1</v>
      </c>
      <c r="D51" s="719" t="s">
        <v>4049</v>
      </c>
      <c r="E51" s="24">
        <f t="shared" si="13"/>
        <v>0.95</v>
      </c>
      <c r="F51" s="719"/>
      <c r="G51" s="24">
        <f t="shared" si="14"/>
        <v>1</v>
      </c>
      <c r="H51" s="719"/>
      <c r="I51" s="24">
        <f t="shared" si="15"/>
        <v>1</v>
      </c>
      <c r="J51" s="719"/>
      <c r="K51" s="24">
        <f t="shared" si="16"/>
        <v>1</v>
      </c>
      <c r="L51" s="719"/>
      <c r="M51" s="24">
        <f t="shared" si="17"/>
        <v>1</v>
      </c>
      <c r="N51" s="719"/>
      <c r="O51" s="24">
        <f t="shared" si="18"/>
        <v>1</v>
      </c>
      <c r="P51" s="719" t="s">
        <v>4108</v>
      </c>
      <c r="Q51" s="24">
        <f t="shared" si="19"/>
        <v>0.65</v>
      </c>
      <c r="R51" s="715">
        <f t="shared" ca="1" si="20"/>
        <v>15822</v>
      </c>
      <c r="S51" s="361">
        <f t="shared" ca="1" si="11"/>
        <v>247</v>
      </c>
    </row>
    <row r="52" spans="1:19">
      <c r="A52" s="717" t="str">
        <f>抵押物清单!C30</f>
        <v>1-204</v>
      </c>
      <c r="B52" s="717">
        <f>抵押物清单!E30</f>
        <v>97.61</v>
      </c>
      <c r="C52" s="24">
        <f t="shared" si="12"/>
        <v>1.02</v>
      </c>
      <c r="D52" s="719" t="s">
        <v>4049</v>
      </c>
      <c r="E52" s="24">
        <f t="shared" si="13"/>
        <v>0.95</v>
      </c>
      <c r="F52" s="719"/>
      <c r="G52" s="24">
        <f t="shared" si="14"/>
        <v>1</v>
      </c>
      <c r="H52" s="719"/>
      <c r="I52" s="24">
        <f t="shared" si="15"/>
        <v>1</v>
      </c>
      <c r="J52" s="719"/>
      <c r="K52" s="24">
        <f t="shared" si="16"/>
        <v>1</v>
      </c>
      <c r="L52" s="719"/>
      <c r="M52" s="24">
        <f t="shared" si="17"/>
        <v>1</v>
      </c>
      <c r="N52" s="719"/>
      <c r="O52" s="24">
        <f t="shared" si="18"/>
        <v>1</v>
      </c>
      <c r="P52" s="719" t="s">
        <v>4108</v>
      </c>
      <c r="Q52" s="24">
        <f t="shared" si="19"/>
        <v>0.65</v>
      </c>
      <c r="R52" s="715">
        <f t="shared" ca="1" si="20"/>
        <v>16139</v>
      </c>
      <c r="S52" s="361">
        <f t="shared" ca="1" si="11"/>
        <v>158</v>
      </c>
    </row>
    <row r="53" spans="1:19">
      <c r="A53" s="717" t="str">
        <f>抵押物清单!C31</f>
        <v>1-205</v>
      </c>
      <c r="B53" s="717">
        <f>抵押物清单!E31</f>
        <v>90.77</v>
      </c>
      <c r="C53" s="24">
        <f t="shared" si="12"/>
        <v>1.02</v>
      </c>
      <c r="D53" s="719" t="s">
        <v>4049</v>
      </c>
      <c r="E53" s="24">
        <f t="shared" si="13"/>
        <v>0.95</v>
      </c>
      <c r="F53" s="719"/>
      <c r="G53" s="24">
        <f t="shared" si="14"/>
        <v>1</v>
      </c>
      <c r="H53" s="719"/>
      <c r="I53" s="24">
        <f t="shared" si="15"/>
        <v>1</v>
      </c>
      <c r="J53" s="719"/>
      <c r="K53" s="24">
        <f t="shared" si="16"/>
        <v>1</v>
      </c>
      <c r="L53" s="719"/>
      <c r="M53" s="24">
        <f t="shared" si="17"/>
        <v>1</v>
      </c>
      <c r="N53" s="719"/>
      <c r="O53" s="24">
        <f t="shared" si="18"/>
        <v>1</v>
      </c>
      <c r="P53" s="719" t="s">
        <v>4108</v>
      </c>
      <c r="Q53" s="24">
        <f t="shared" si="19"/>
        <v>0.65</v>
      </c>
      <c r="R53" s="715">
        <f t="shared" ca="1" si="20"/>
        <v>16139</v>
      </c>
      <c r="S53" s="361">
        <f t="shared" ca="1" si="11"/>
        <v>146</v>
      </c>
    </row>
    <row r="54" spans="1:19">
      <c r="A54" s="717" t="str">
        <f>抵押物清单!C32</f>
        <v>1-206</v>
      </c>
      <c r="B54" s="717">
        <f>抵押物清单!E32</f>
        <v>6021.93</v>
      </c>
      <c r="C54" s="24">
        <f t="shared" si="12"/>
        <v>0.84</v>
      </c>
      <c r="D54" s="719" t="s">
        <v>4049</v>
      </c>
      <c r="E54" s="24">
        <f t="shared" si="13"/>
        <v>0.95</v>
      </c>
      <c r="F54" s="719"/>
      <c r="G54" s="24">
        <f t="shared" si="14"/>
        <v>1</v>
      </c>
      <c r="H54" s="719"/>
      <c r="I54" s="24">
        <f t="shared" si="15"/>
        <v>1</v>
      </c>
      <c r="J54" s="719"/>
      <c r="K54" s="24">
        <f t="shared" si="16"/>
        <v>1</v>
      </c>
      <c r="L54" s="719"/>
      <c r="M54" s="24">
        <f t="shared" si="17"/>
        <v>1</v>
      </c>
      <c r="N54" s="719"/>
      <c r="O54" s="24">
        <f t="shared" si="18"/>
        <v>1</v>
      </c>
      <c r="P54" s="719" t="s">
        <v>4108</v>
      </c>
      <c r="Q54" s="24">
        <f t="shared" si="19"/>
        <v>0.65</v>
      </c>
      <c r="R54" s="715">
        <f t="shared" ca="1" si="20"/>
        <v>13291</v>
      </c>
      <c r="S54" s="361">
        <f t="shared" ca="1" si="11"/>
        <v>8004</v>
      </c>
    </row>
    <row r="55" spans="1:19">
      <c r="A55" s="717" t="str">
        <f>抵押物清单!C33</f>
        <v>1-301</v>
      </c>
      <c r="B55" s="717">
        <f>抵押物清单!E33</f>
        <v>4175.41</v>
      </c>
      <c r="C55" s="24">
        <f t="shared" si="12"/>
        <v>0.88</v>
      </c>
      <c r="D55" s="719" t="s">
        <v>4049</v>
      </c>
      <c r="E55" s="24">
        <f t="shared" si="13"/>
        <v>0.95</v>
      </c>
      <c r="F55" s="719"/>
      <c r="G55" s="24">
        <f t="shared" si="14"/>
        <v>1</v>
      </c>
      <c r="H55" s="719"/>
      <c r="I55" s="24">
        <f t="shared" si="15"/>
        <v>1</v>
      </c>
      <c r="J55" s="719"/>
      <c r="K55" s="24">
        <f t="shared" si="16"/>
        <v>1</v>
      </c>
      <c r="L55" s="719"/>
      <c r="M55" s="24">
        <f t="shared" si="17"/>
        <v>1</v>
      </c>
      <c r="N55" s="719"/>
      <c r="O55" s="24">
        <f t="shared" si="18"/>
        <v>1</v>
      </c>
      <c r="P55" s="719" t="s">
        <v>4109</v>
      </c>
      <c r="Q55" s="24">
        <f t="shared" si="19"/>
        <v>0.55000000000000004</v>
      </c>
      <c r="R55" s="715">
        <f t="shared" ca="1" si="20"/>
        <v>11781</v>
      </c>
      <c r="S55" s="361">
        <f t="shared" ref="S55:S77" ca="1" si="21">ROUND(R55*B55/10000,0)</f>
        <v>4919</v>
      </c>
    </row>
    <row r="56" spans="1:19">
      <c r="A56" s="717" t="str">
        <f>抵押物清单!C34</f>
        <v>1-302</v>
      </c>
      <c r="B56" s="717">
        <f>抵押物清单!E34</f>
        <v>3403.92</v>
      </c>
      <c r="C56" s="24">
        <f t="shared" si="12"/>
        <v>0.9</v>
      </c>
      <c r="D56" s="719" t="s">
        <v>4049</v>
      </c>
      <c r="E56" s="24">
        <f t="shared" si="13"/>
        <v>0.95</v>
      </c>
      <c r="F56" s="719"/>
      <c r="G56" s="24">
        <f t="shared" si="14"/>
        <v>1</v>
      </c>
      <c r="H56" s="719"/>
      <c r="I56" s="24">
        <f t="shared" si="15"/>
        <v>1</v>
      </c>
      <c r="J56" s="719"/>
      <c r="K56" s="24">
        <f t="shared" si="16"/>
        <v>1</v>
      </c>
      <c r="L56" s="719"/>
      <c r="M56" s="24">
        <f t="shared" si="17"/>
        <v>1</v>
      </c>
      <c r="N56" s="719"/>
      <c r="O56" s="24">
        <f t="shared" si="18"/>
        <v>1</v>
      </c>
      <c r="P56" s="719" t="s">
        <v>4109</v>
      </c>
      <c r="Q56" s="24">
        <f t="shared" si="19"/>
        <v>0.55000000000000004</v>
      </c>
      <c r="R56" s="715">
        <f t="shared" ca="1" si="20"/>
        <v>12049</v>
      </c>
      <c r="S56" s="361">
        <f t="shared" ca="1" si="21"/>
        <v>4101</v>
      </c>
    </row>
    <row r="57" spans="1:19">
      <c r="A57" s="717" t="str">
        <f>抵押物清单!C35</f>
        <v>1-303</v>
      </c>
      <c r="B57" s="717">
        <f>抵押物清单!E35</f>
        <v>73.09</v>
      </c>
      <c r="C57" s="24">
        <f t="shared" si="12"/>
        <v>1.02</v>
      </c>
      <c r="D57" s="719" t="s">
        <v>4049</v>
      </c>
      <c r="E57" s="24">
        <f t="shared" si="13"/>
        <v>0.95</v>
      </c>
      <c r="F57" s="719"/>
      <c r="G57" s="24">
        <f t="shared" si="14"/>
        <v>1</v>
      </c>
      <c r="H57" s="719"/>
      <c r="I57" s="24">
        <f t="shared" si="15"/>
        <v>1</v>
      </c>
      <c r="J57" s="719"/>
      <c r="K57" s="24">
        <f t="shared" si="16"/>
        <v>1</v>
      </c>
      <c r="L57" s="719"/>
      <c r="M57" s="24">
        <f t="shared" si="17"/>
        <v>1</v>
      </c>
      <c r="N57" s="719"/>
      <c r="O57" s="24">
        <f t="shared" si="18"/>
        <v>1</v>
      </c>
      <c r="P57" s="719" t="s">
        <v>4109</v>
      </c>
      <c r="Q57" s="24">
        <f t="shared" si="19"/>
        <v>0.55000000000000004</v>
      </c>
      <c r="R57" s="715">
        <f t="shared" ca="1" si="20"/>
        <v>13656</v>
      </c>
      <c r="S57" s="361">
        <f t="shared" ca="1" si="21"/>
        <v>100</v>
      </c>
    </row>
    <row r="58" spans="1:19">
      <c r="A58" s="717" t="str">
        <f>抵押物清单!C37</f>
        <v>2-104</v>
      </c>
      <c r="B58" s="717">
        <f>抵押物清单!E37</f>
        <v>56.96</v>
      </c>
      <c r="C58" s="24">
        <f t="shared" si="12"/>
        <v>1.02</v>
      </c>
      <c r="D58" s="719" t="s">
        <v>4056</v>
      </c>
      <c r="E58" s="24">
        <f t="shared" si="13"/>
        <v>1.05</v>
      </c>
      <c r="F58" s="719"/>
      <c r="G58" s="24">
        <f t="shared" si="14"/>
        <v>1</v>
      </c>
      <c r="H58" s="719"/>
      <c r="I58" s="24">
        <f t="shared" si="15"/>
        <v>1</v>
      </c>
      <c r="J58" s="719"/>
      <c r="K58" s="24">
        <f t="shared" si="16"/>
        <v>1</v>
      </c>
      <c r="L58" s="719"/>
      <c r="M58" s="24">
        <f t="shared" si="17"/>
        <v>1</v>
      </c>
      <c r="N58" s="719"/>
      <c r="O58" s="24">
        <f t="shared" si="18"/>
        <v>1</v>
      </c>
      <c r="P58" s="719" t="s">
        <v>4023</v>
      </c>
      <c r="Q58" s="24">
        <f t="shared" si="19"/>
        <v>1</v>
      </c>
      <c r="R58" s="715">
        <f t="shared" ca="1" si="20"/>
        <v>27442</v>
      </c>
      <c r="S58" s="361">
        <f t="shared" ca="1" si="21"/>
        <v>156</v>
      </c>
    </row>
    <row r="59" spans="1:19">
      <c r="A59" s="717" t="str">
        <f>抵押物清单!C38</f>
        <v>2-135</v>
      </c>
      <c r="B59" s="717">
        <f>抵押物清单!E38</f>
        <v>49.98</v>
      </c>
      <c r="C59" s="24">
        <f t="shared" si="12"/>
        <v>1.04</v>
      </c>
      <c r="D59" s="719" t="s">
        <v>4049</v>
      </c>
      <c r="E59" s="24">
        <f t="shared" si="13"/>
        <v>0.95</v>
      </c>
      <c r="F59" s="719"/>
      <c r="G59" s="24">
        <f t="shared" si="14"/>
        <v>1</v>
      </c>
      <c r="H59" s="719"/>
      <c r="I59" s="24">
        <f t="shared" si="15"/>
        <v>1</v>
      </c>
      <c r="J59" s="719"/>
      <c r="K59" s="24">
        <f t="shared" si="16"/>
        <v>1</v>
      </c>
      <c r="L59" s="719"/>
      <c r="M59" s="24">
        <f t="shared" si="17"/>
        <v>1</v>
      </c>
      <c r="N59" s="719"/>
      <c r="O59" s="24">
        <f t="shared" si="18"/>
        <v>1</v>
      </c>
      <c r="P59" s="719" t="s">
        <v>4023</v>
      </c>
      <c r="Q59" s="24">
        <f t="shared" si="19"/>
        <v>1</v>
      </c>
      <c r="R59" s="715">
        <f t="shared" ca="1" si="20"/>
        <v>25316</v>
      </c>
      <c r="S59" s="361">
        <f t="shared" ca="1" si="21"/>
        <v>127</v>
      </c>
    </row>
    <row r="60" spans="1:19">
      <c r="A60" s="717" t="str">
        <f>抵押物清单!C39</f>
        <v>2-158</v>
      </c>
      <c r="B60" s="717">
        <f>抵押物清单!E39</f>
        <v>40.61</v>
      </c>
      <c r="C60" s="24">
        <f t="shared" si="12"/>
        <v>1.04</v>
      </c>
      <c r="D60" s="719" t="s">
        <v>4049</v>
      </c>
      <c r="E60" s="24">
        <f t="shared" si="13"/>
        <v>0.95</v>
      </c>
      <c r="F60" s="719"/>
      <c r="G60" s="24">
        <f t="shared" si="14"/>
        <v>1</v>
      </c>
      <c r="H60" s="719"/>
      <c r="I60" s="24">
        <f t="shared" si="15"/>
        <v>1</v>
      </c>
      <c r="J60" s="719"/>
      <c r="K60" s="24">
        <f t="shared" si="16"/>
        <v>1</v>
      </c>
      <c r="L60" s="719"/>
      <c r="M60" s="24">
        <f t="shared" si="17"/>
        <v>1</v>
      </c>
      <c r="N60" s="719"/>
      <c r="O60" s="24">
        <f t="shared" si="18"/>
        <v>1</v>
      </c>
      <c r="P60" s="719" t="s">
        <v>4023</v>
      </c>
      <c r="Q60" s="24">
        <f t="shared" si="19"/>
        <v>1</v>
      </c>
      <c r="R60" s="715">
        <f t="shared" ca="1" si="20"/>
        <v>25316</v>
      </c>
      <c r="S60" s="361">
        <f t="shared" ca="1" si="21"/>
        <v>103</v>
      </c>
    </row>
    <row r="61" spans="1:19">
      <c r="A61" s="717" t="str">
        <f>抵押物清单!C40</f>
        <v>2-160</v>
      </c>
      <c r="B61" s="717">
        <f>抵押物清单!E40</f>
        <v>43.02</v>
      </c>
      <c r="C61" s="24">
        <f t="shared" si="12"/>
        <v>1.04</v>
      </c>
      <c r="D61" s="719" t="s">
        <v>4049</v>
      </c>
      <c r="E61" s="24">
        <f t="shared" si="13"/>
        <v>0.95</v>
      </c>
      <c r="F61" s="719"/>
      <c r="G61" s="24">
        <f t="shared" si="14"/>
        <v>1</v>
      </c>
      <c r="H61" s="719"/>
      <c r="I61" s="24">
        <f t="shared" si="15"/>
        <v>1</v>
      </c>
      <c r="J61" s="719"/>
      <c r="K61" s="24">
        <f t="shared" si="16"/>
        <v>1</v>
      </c>
      <c r="L61" s="719"/>
      <c r="M61" s="24">
        <f t="shared" si="17"/>
        <v>1</v>
      </c>
      <c r="N61" s="719"/>
      <c r="O61" s="24">
        <f t="shared" si="18"/>
        <v>1</v>
      </c>
      <c r="P61" s="719" t="s">
        <v>4023</v>
      </c>
      <c r="Q61" s="24">
        <f t="shared" si="19"/>
        <v>1</v>
      </c>
      <c r="R61" s="715">
        <f t="shared" ca="1" si="20"/>
        <v>25316</v>
      </c>
      <c r="S61" s="361">
        <f t="shared" ca="1" si="21"/>
        <v>109</v>
      </c>
    </row>
    <row r="62" spans="1:19">
      <c r="A62" s="717" t="str">
        <f>抵押物清单!C41</f>
        <v>2-162</v>
      </c>
      <c r="B62" s="717">
        <f>抵押物清单!E41</f>
        <v>38.56</v>
      </c>
      <c r="C62" s="24">
        <f t="shared" si="12"/>
        <v>1.04</v>
      </c>
      <c r="D62" s="719" t="s">
        <v>4049</v>
      </c>
      <c r="E62" s="24">
        <f t="shared" si="13"/>
        <v>0.95</v>
      </c>
      <c r="F62" s="719"/>
      <c r="G62" s="24">
        <f t="shared" si="14"/>
        <v>1</v>
      </c>
      <c r="H62" s="719"/>
      <c r="I62" s="24">
        <f t="shared" si="15"/>
        <v>1</v>
      </c>
      <c r="J62" s="719"/>
      <c r="K62" s="24">
        <f t="shared" si="16"/>
        <v>1</v>
      </c>
      <c r="L62" s="719"/>
      <c r="M62" s="24">
        <f t="shared" si="17"/>
        <v>1</v>
      </c>
      <c r="N62" s="719"/>
      <c r="O62" s="24">
        <f t="shared" si="18"/>
        <v>1</v>
      </c>
      <c r="P62" s="719" t="s">
        <v>4023</v>
      </c>
      <c r="Q62" s="24">
        <f t="shared" si="19"/>
        <v>1</v>
      </c>
      <c r="R62" s="715">
        <f t="shared" ca="1" si="20"/>
        <v>25316</v>
      </c>
      <c r="S62" s="361">
        <f t="shared" ca="1" si="21"/>
        <v>98</v>
      </c>
    </row>
    <row r="63" spans="1:19">
      <c r="A63" s="717" t="str">
        <f>抵押物清单!C42</f>
        <v>2-164</v>
      </c>
      <c r="B63" s="717">
        <f>抵押物清单!E42</f>
        <v>46.32</v>
      </c>
      <c r="C63" s="24">
        <f t="shared" si="12"/>
        <v>1.04</v>
      </c>
      <c r="D63" s="719" t="s">
        <v>4049</v>
      </c>
      <c r="E63" s="24">
        <f t="shared" si="13"/>
        <v>0.95</v>
      </c>
      <c r="F63" s="719"/>
      <c r="G63" s="24">
        <f t="shared" si="14"/>
        <v>1</v>
      </c>
      <c r="H63" s="719"/>
      <c r="I63" s="24">
        <f t="shared" si="15"/>
        <v>1</v>
      </c>
      <c r="J63" s="719"/>
      <c r="K63" s="24">
        <f t="shared" si="16"/>
        <v>1</v>
      </c>
      <c r="L63" s="719"/>
      <c r="M63" s="24">
        <f t="shared" si="17"/>
        <v>1</v>
      </c>
      <c r="N63" s="719"/>
      <c r="O63" s="24">
        <f t="shared" si="18"/>
        <v>1</v>
      </c>
      <c r="P63" s="719" t="s">
        <v>4023</v>
      </c>
      <c r="Q63" s="24">
        <f t="shared" si="19"/>
        <v>1</v>
      </c>
      <c r="R63" s="715">
        <f t="shared" ca="1" si="20"/>
        <v>25316</v>
      </c>
      <c r="S63" s="361">
        <f t="shared" ca="1" si="21"/>
        <v>117</v>
      </c>
    </row>
    <row r="64" spans="1:19">
      <c r="A64" s="717" t="str">
        <f>抵押物清单!C43</f>
        <v>2-175</v>
      </c>
      <c r="B64" s="717">
        <f>抵押物清单!E43</f>
        <v>65.459999999999994</v>
      </c>
      <c r="C64" s="24">
        <f t="shared" si="12"/>
        <v>1.02</v>
      </c>
      <c r="D64" s="719" t="s">
        <v>4049</v>
      </c>
      <c r="E64" s="24">
        <f t="shared" si="13"/>
        <v>0.95</v>
      </c>
      <c r="F64" s="719"/>
      <c r="G64" s="24">
        <f t="shared" si="14"/>
        <v>1</v>
      </c>
      <c r="H64" s="719"/>
      <c r="I64" s="24">
        <f t="shared" si="15"/>
        <v>1</v>
      </c>
      <c r="J64" s="719"/>
      <c r="K64" s="24">
        <f t="shared" si="16"/>
        <v>1</v>
      </c>
      <c r="L64" s="719"/>
      <c r="M64" s="24">
        <f t="shared" si="17"/>
        <v>1</v>
      </c>
      <c r="N64" s="719"/>
      <c r="O64" s="24">
        <f t="shared" si="18"/>
        <v>1</v>
      </c>
      <c r="P64" s="719" t="s">
        <v>4023</v>
      </c>
      <c r="Q64" s="24">
        <f t="shared" si="19"/>
        <v>1</v>
      </c>
      <c r="R64" s="715">
        <f t="shared" ca="1" si="20"/>
        <v>24829</v>
      </c>
      <c r="S64" s="361">
        <f t="shared" ca="1" si="21"/>
        <v>163</v>
      </c>
    </row>
    <row r="65" spans="1:19">
      <c r="A65" s="717" t="str">
        <f>抵押物清单!C44</f>
        <v>2-176</v>
      </c>
      <c r="B65" s="717">
        <f>抵押物清单!E44</f>
        <v>51.28</v>
      </c>
      <c r="C65" s="24">
        <f t="shared" si="12"/>
        <v>1.02</v>
      </c>
      <c r="D65" s="719" t="s">
        <v>4049</v>
      </c>
      <c r="E65" s="24">
        <f t="shared" si="13"/>
        <v>0.95</v>
      </c>
      <c r="F65" s="719"/>
      <c r="G65" s="24">
        <f t="shared" si="14"/>
        <v>1</v>
      </c>
      <c r="H65" s="719"/>
      <c r="I65" s="24">
        <f t="shared" si="15"/>
        <v>1</v>
      </c>
      <c r="J65" s="719"/>
      <c r="K65" s="24">
        <f t="shared" si="16"/>
        <v>1</v>
      </c>
      <c r="L65" s="719"/>
      <c r="M65" s="24">
        <f t="shared" si="17"/>
        <v>1</v>
      </c>
      <c r="N65" s="719"/>
      <c r="O65" s="24">
        <f t="shared" si="18"/>
        <v>1</v>
      </c>
      <c r="P65" s="719" t="s">
        <v>4023</v>
      </c>
      <c r="Q65" s="24">
        <f t="shared" si="19"/>
        <v>1</v>
      </c>
      <c r="R65" s="715">
        <f t="shared" ca="1" si="20"/>
        <v>24829</v>
      </c>
      <c r="S65" s="361">
        <f t="shared" ca="1" si="21"/>
        <v>127</v>
      </c>
    </row>
    <row r="66" spans="1:19">
      <c r="A66" s="717" t="str">
        <f>抵押物清单!C45</f>
        <v>2-177</v>
      </c>
      <c r="B66" s="717">
        <f>抵押物清单!E45</f>
        <v>51.28</v>
      </c>
      <c r="C66" s="24">
        <f t="shared" si="12"/>
        <v>1.02</v>
      </c>
      <c r="D66" s="719" t="s">
        <v>4049</v>
      </c>
      <c r="E66" s="24">
        <f t="shared" si="13"/>
        <v>0.95</v>
      </c>
      <c r="F66" s="719"/>
      <c r="G66" s="24">
        <f t="shared" si="14"/>
        <v>1</v>
      </c>
      <c r="H66" s="719"/>
      <c r="I66" s="24">
        <f t="shared" si="15"/>
        <v>1</v>
      </c>
      <c r="J66" s="719"/>
      <c r="K66" s="24">
        <f t="shared" si="16"/>
        <v>1</v>
      </c>
      <c r="L66" s="719"/>
      <c r="M66" s="24">
        <f t="shared" si="17"/>
        <v>1</v>
      </c>
      <c r="N66" s="719"/>
      <c r="O66" s="24">
        <f t="shared" si="18"/>
        <v>1</v>
      </c>
      <c r="P66" s="719" t="s">
        <v>4023</v>
      </c>
      <c r="Q66" s="24">
        <f t="shared" si="19"/>
        <v>1</v>
      </c>
      <c r="R66" s="715">
        <f t="shared" ca="1" si="20"/>
        <v>24829</v>
      </c>
      <c r="S66" s="361">
        <f t="shared" ca="1" si="21"/>
        <v>127</v>
      </c>
    </row>
    <row r="67" spans="1:19">
      <c r="A67" s="717" t="str">
        <f>抵押物清单!C46</f>
        <v>2-178</v>
      </c>
      <c r="B67" s="717">
        <f>抵押物清单!E46</f>
        <v>51.28</v>
      </c>
      <c r="C67" s="24">
        <f t="shared" si="12"/>
        <v>1.02</v>
      </c>
      <c r="D67" s="719" t="s">
        <v>4049</v>
      </c>
      <c r="E67" s="24">
        <f t="shared" si="13"/>
        <v>0.95</v>
      </c>
      <c r="F67" s="719"/>
      <c r="G67" s="24">
        <f t="shared" si="14"/>
        <v>1</v>
      </c>
      <c r="H67" s="719"/>
      <c r="I67" s="24">
        <f t="shared" si="15"/>
        <v>1</v>
      </c>
      <c r="J67" s="719"/>
      <c r="K67" s="24">
        <f t="shared" si="16"/>
        <v>1</v>
      </c>
      <c r="L67" s="719"/>
      <c r="M67" s="24">
        <f t="shared" si="17"/>
        <v>1</v>
      </c>
      <c r="N67" s="719"/>
      <c r="O67" s="24">
        <f t="shared" si="18"/>
        <v>1</v>
      </c>
      <c r="P67" s="719" t="s">
        <v>4023</v>
      </c>
      <c r="Q67" s="24">
        <f t="shared" si="19"/>
        <v>1</v>
      </c>
      <c r="R67" s="715">
        <f t="shared" ca="1" si="20"/>
        <v>24829</v>
      </c>
      <c r="S67" s="361">
        <f t="shared" ca="1" si="21"/>
        <v>127</v>
      </c>
    </row>
    <row r="68" spans="1:19">
      <c r="A68" s="717" t="str">
        <f>抵押物清单!C47</f>
        <v>2-179</v>
      </c>
      <c r="B68" s="717">
        <f>抵押物清单!E47</f>
        <v>51.28</v>
      </c>
      <c r="C68" s="24">
        <f t="shared" si="12"/>
        <v>1.02</v>
      </c>
      <c r="D68" s="719" t="s">
        <v>4049</v>
      </c>
      <c r="E68" s="24">
        <f t="shared" si="13"/>
        <v>0.95</v>
      </c>
      <c r="F68" s="719"/>
      <c r="G68" s="24">
        <f t="shared" si="14"/>
        <v>1</v>
      </c>
      <c r="H68" s="719"/>
      <c r="I68" s="24">
        <f t="shared" si="15"/>
        <v>1</v>
      </c>
      <c r="J68" s="719"/>
      <c r="K68" s="24">
        <f t="shared" si="16"/>
        <v>1</v>
      </c>
      <c r="L68" s="719"/>
      <c r="M68" s="24">
        <f t="shared" si="17"/>
        <v>1</v>
      </c>
      <c r="N68" s="719"/>
      <c r="O68" s="24">
        <f t="shared" si="18"/>
        <v>1</v>
      </c>
      <c r="P68" s="719" t="s">
        <v>4023</v>
      </c>
      <c r="Q68" s="24">
        <f t="shared" si="19"/>
        <v>1</v>
      </c>
      <c r="R68" s="715">
        <f t="shared" ca="1" si="20"/>
        <v>24829</v>
      </c>
      <c r="S68" s="361">
        <f t="shared" ca="1" si="21"/>
        <v>127</v>
      </c>
    </row>
    <row r="69" spans="1:19">
      <c r="A69" s="717" t="str">
        <f>抵押物清单!C48</f>
        <v>2-180</v>
      </c>
      <c r="B69" s="717">
        <f>抵押物清单!E48</f>
        <v>51.4</v>
      </c>
      <c r="C69" s="24">
        <f t="shared" si="12"/>
        <v>1.02</v>
      </c>
      <c r="D69" s="719" t="s">
        <v>4049</v>
      </c>
      <c r="E69" s="24">
        <f t="shared" si="13"/>
        <v>0.95</v>
      </c>
      <c r="F69" s="719"/>
      <c r="G69" s="24">
        <f t="shared" si="14"/>
        <v>1</v>
      </c>
      <c r="H69" s="719"/>
      <c r="I69" s="24">
        <f t="shared" si="15"/>
        <v>1</v>
      </c>
      <c r="J69" s="719"/>
      <c r="K69" s="24">
        <f t="shared" si="16"/>
        <v>1</v>
      </c>
      <c r="L69" s="719"/>
      <c r="M69" s="24">
        <f t="shared" si="17"/>
        <v>1</v>
      </c>
      <c r="N69" s="719"/>
      <c r="O69" s="24">
        <f t="shared" si="18"/>
        <v>1</v>
      </c>
      <c r="P69" s="719" t="s">
        <v>4023</v>
      </c>
      <c r="Q69" s="24">
        <f t="shared" si="19"/>
        <v>1</v>
      </c>
      <c r="R69" s="715">
        <f t="shared" ca="1" si="20"/>
        <v>24829</v>
      </c>
      <c r="S69" s="361">
        <f t="shared" ca="1" si="21"/>
        <v>128</v>
      </c>
    </row>
    <row r="70" spans="1:19">
      <c r="A70" s="717" t="str">
        <f>抵押物清单!C49</f>
        <v>2-181</v>
      </c>
      <c r="B70" s="717">
        <f>抵押物清单!E49</f>
        <v>78.14</v>
      </c>
      <c r="C70" s="24">
        <f t="shared" si="12"/>
        <v>1.02</v>
      </c>
      <c r="D70" s="719" t="s">
        <v>4049</v>
      </c>
      <c r="E70" s="24">
        <f t="shared" si="13"/>
        <v>0.95</v>
      </c>
      <c r="F70" s="719"/>
      <c r="G70" s="24">
        <f t="shared" si="14"/>
        <v>1</v>
      </c>
      <c r="H70" s="719"/>
      <c r="I70" s="24">
        <f t="shared" si="15"/>
        <v>1</v>
      </c>
      <c r="J70" s="719"/>
      <c r="K70" s="24">
        <f t="shared" si="16"/>
        <v>1</v>
      </c>
      <c r="L70" s="719"/>
      <c r="M70" s="24">
        <f t="shared" si="17"/>
        <v>1</v>
      </c>
      <c r="N70" s="719"/>
      <c r="O70" s="24">
        <f t="shared" si="18"/>
        <v>1</v>
      </c>
      <c r="P70" s="719" t="s">
        <v>4023</v>
      </c>
      <c r="Q70" s="24">
        <f t="shared" si="19"/>
        <v>1</v>
      </c>
      <c r="R70" s="715">
        <f t="shared" ca="1" si="20"/>
        <v>24829</v>
      </c>
      <c r="S70" s="361">
        <f t="shared" ca="1" si="21"/>
        <v>194</v>
      </c>
    </row>
    <row r="71" spans="1:19">
      <c r="A71" s="717" t="str">
        <f>抵押物清单!C50</f>
        <v>2-182</v>
      </c>
      <c r="B71" s="717">
        <f>抵押物清单!E50</f>
        <v>51.28</v>
      </c>
      <c r="C71" s="24">
        <f t="shared" si="12"/>
        <v>1.02</v>
      </c>
      <c r="D71" s="719" t="s">
        <v>4049</v>
      </c>
      <c r="E71" s="24">
        <f t="shared" si="13"/>
        <v>0.95</v>
      </c>
      <c r="F71" s="719"/>
      <c r="G71" s="24">
        <f t="shared" si="14"/>
        <v>1</v>
      </c>
      <c r="H71" s="719"/>
      <c r="I71" s="24">
        <f t="shared" si="15"/>
        <v>1</v>
      </c>
      <c r="J71" s="719"/>
      <c r="K71" s="24">
        <f t="shared" si="16"/>
        <v>1</v>
      </c>
      <c r="L71" s="719"/>
      <c r="M71" s="24">
        <f t="shared" si="17"/>
        <v>1</v>
      </c>
      <c r="N71" s="719"/>
      <c r="O71" s="24">
        <f t="shared" si="18"/>
        <v>1</v>
      </c>
      <c r="P71" s="719" t="s">
        <v>4023</v>
      </c>
      <c r="Q71" s="24">
        <f t="shared" si="19"/>
        <v>1</v>
      </c>
      <c r="R71" s="715">
        <f t="shared" ca="1" si="20"/>
        <v>24829</v>
      </c>
      <c r="S71" s="361">
        <f t="shared" ca="1" si="21"/>
        <v>127</v>
      </c>
    </row>
    <row r="72" spans="1:19">
      <c r="A72" s="717" t="str">
        <f>抵押物清单!C51</f>
        <v>2-185</v>
      </c>
      <c r="B72" s="717">
        <f>抵押物清单!E51</f>
        <v>51.28</v>
      </c>
      <c r="C72" s="24">
        <f t="shared" si="12"/>
        <v>1.02</v>
      </c>
      <c r="D72" s="719" t="s">
        <v>4049</v>
      </c>
      <c r="E72" s="24">
        <f t="shared" si="13"/>
        <v>0.95</v>
      </c>
      <c r="F72" s="719"/>
      <c r="G72" s="24">
        <f t="shared" si="14"/>
        <v>1</v>
      </c>
      <c r="H72" s="719"/>
      <c r="I72" s="24">
        <f t="shared" si="15"/>
        <v>1</v>
      </c>
      <c r="J72" s="719"/>
      <c r="K72" s="24">
        <f t="shared" si="16"/>
        <v>1</v>
      </c>
      <c r="L72" s="719"/>
      <c r="M72" s="24">
        <f t="shared" si="17"/>
        <v>1</v>
      </c>
      <c r="N72" s="719"/>
      <c r="O72" s="24">
        <f t="shared" si="18"/>
        <v>1</v>
      </c>
      <c r="P72" s="719" t="s">
        <v>4023</v>
      </c>
      <c r="Q72" s="24">
        <f t="shared" si="19"/>
        <v>1</v>
      </c>
      <c r="R72" s="715">
        <f t="shared" ca="1" si="20"/>
        <v>24829</v>
      </c>
      <c r="S72" s="361">
        <f t="shared" ca="1" si="21"/>
        <v>127</v>
      </c>
    </row>
    <row r="73" spans="1:19">
      <c r="A73" s="717" t="str">
        <f>抵押物清单!C52</f>
        <v>2-203</v>
      </c>
      <c r="B73" s="717">
        <f>抵押物清单!E52</f>
        <v>113.16</v>
      </c>
      <c r="C73" s="24">
        <f t="shared" si="12"/>
        <v>1</v>
      </c>
      <c r="D73" s="719" t="s">
        <v>4049</v>
      </c>
      <c r="E73" s="24">
        <f t="shared" si="13"/>
        <v>0.95</v>
      </c>
      <c r="F73" s="719"/>
      <c r="G73" s="24">
        <f t="shared" si="14"/>
        <v>1</v>
      </c>
      <c r="H73" s="719"/>
      <c r="I73" s="24">
        <f t="shared" si="15"/>
        <v>1</v>
      </c>
      <c r="J73" s="719"/>
      <c r="K73" s="24">
        <f t="shared" si="16"/>
        <v>1</v>
      </c>
      <c r="L73" s="719"/>
      <c r="M73" s="24">
        <f t="shared" si="17"/>
        <v>1</v>
      </c>
      <c r="N73" s="719"/>
      <c r="O73" s="24">
        <f t="shared" si="18"/>
        <v>1</v>
      </c>
      <c r="P73" s="719" t="s">
        <v>4108</v>
      </c>
      <c r="Q73" s="24">
        <f t="shared" si="19"/>
        <v>0.65</v>
      </c>
      <c r="R73" s="715">
        <f t="shared" ca="1" si="20"/>
        <v>15822</v>
      </c>
      <c r="S73" s="361">
        <f t="shared" ca="1" si="21"/>
        <v>179</v>
      </c>
    </row>
    <row r="74" spans="1:19">
      <c r="A74" s="717" t="str">
        <f>抵押物清单!C53</f>
        <v>2-223</v>
      </c>
      <c r="B74" s="717">
        <f>抵押物清单!E53</f>
        <v>71.62</v>
      </c>
      <c r="C74" s="24">
        <f t="shared" si="12"/>
        <v>1.02</v>
      </c>
      <c r="D74" s="719" t="s">
        <v>4049</v>
      </c>
      <c r="E74" s="24">
        <f t="shared" si="13"/>
        <v>0.95</v>
      </c>
      <c r="F74" s="719"/>
      <c r="G74" s="24">
        <f t="shared" si="14"/>
        <v>1</v>
      </c>
      <c r="H74" s="719"/>
      <c r="I74" s="24">
        <f t="shared" si="15"/>
        <v>1</v>
      </c>
      <c r="J74" s="719"/>
      <c r="K74" s="24">
        <f t="shared" si="16"/>
        <v>1</v>
      </c>
      <c r="L74" s="719"/>
      <c r="M74" s="24">
        <f t="shared" si="17"/>
        <v>1</v>
      </c>
      <c r="N74" s="719"/>
      <c r="O74" s="24">
        <f t="shared" si="18"/>
        <v>1</v>
      </c>
      <c r="P74" s="719" t="s">
        <v>4108</v>
      </c>
      <c r="Q74" s="24">
        <f t="shared" si="19"/>
        <v>0.65</v>
      </c>
      <c r="R74" s="715">
        <f t="shared" ca="1" si="20"/>
        <v>16139</v>
      </c>
      <c r="S74" s="361">
        <f t="shared" ca="1" si="21"/>
        <v>116</v>
      </c>
    </row>
    <row r="75" spans="1:19">
      <c r="A75" s="717" t="str">
        <f>抵押物清单!C54</f>
        <v>2-224</v>
      </c>
      <c r="B75" s="717">
        <f>抵押物清单!E54</f>
        <v>42.81</v>
      </c>
      <c r="C75" s="24">
        <f t="shared" si="12"/>
        <v>1.04</v>
      </c>
      <c r="D75" s="719" t="s">
        <v>4049</v>
      </c>
      <c r="E75" s="24">
        <f t="shared" si="13"/>
        <v>0.95</v>
      </c>
      <c r="F75" s="719"/>
      <c r="G75" s="24">
        <f t="shared" si="14"/>
        <v>1</v>
      </c>
      <c r="H75" s="719"/>
      <c r="I75" s="24">
        <f t="shared" si="15"/>
        <v>1</v>
      </c>
      <c r="J75" s="719"/>
      <c r="K75" s="24">
        <f t="shared" si="16"/>
        <v>1</v>
      </c>
      <c r="L75" s="719"/>
      <c r="M75" s="24">
        <f t="shared" si="17"/>
        <v>1</v>
      </c>
      <c r="N75" s="719"/>
      <c r="O75" s="24">
        <f t="shared" si="18"/>
        <v>1</v>
      </c>
      <c r="P75" s="719" t="s">
        <v>4108</v>
      </c>
      <c r="Q75" s="24">
        <f t="shared" si="19"/>
        <v>0.65</v>
      </c>
      <c r="R75" s="715">
        <f t="shared" ca="1" si="20"/>
        <v>16455</v>
      </c>
      <c r="S75" s="361">
        <f t="shared" ca="1" si="21"/>
        <v>70</v>
      </c>
    </row>
    <row r="76" spans="1:19">
      <c r="A76" s="717" t="str">
        <f>抵押物清单!C55</f>
        <v>2-225</v>
      </c>
      <c r="B76" s="717">
        <f>抵押物清单!E55</f>
        <v>41.33</v>
      </c>
      <c r="C76" s="24">
        <f t="shared" si="12"/>
        <v>1.04</v>
      </c>
      <c r="D76" s="719" t="s">
        <v>4049</v>
      </c>
      <c r="E76" s="24">
        <f t="shared" si="13"/>
        <v>0.95</v>
      </c>
      <c r="F76" s="719"/>
      <c r="G76" s="24">
        <f t="shared" si="14"/>
        <v>1</v>
      </c>
      <c r="H76" s="719"/>
      <c r="I76" s="24">
        <f t="shared" si="15"/>
        <v>1</v>
      </c>
      <c r="J76" s="719"/>
      <c r="K76" s="24">
        <f t="shared" si="16"/>
        <v>1</v>
      </c>
      <c r="L76" s="719"/>
      <c r="M76" s="24">
        <f t="shared" si="17"/>
        <v>1</v>
      </c>
      <c r="N76" s="719"/>
      <c r="O76" s="24">
        <f t="shared" si="18"/>
        <v>1</v>
      </c>
      <c r="P76" s="719" t="s">
        <v>4108</v>
      </c>
      <c r="Q76" s="24">
        <f t="shared" si="19"/>
        <v>0.65</v>
      </c>
      <c r="R76" s="715">
        <f t="shared" ca="1" si="20"/>
        <v>16455</v>
      </c>
      <c r="S76" s="361">
        <f t="shared" ca="1" si="21"/>
        <v>68</v>
      </c>
    </row>
    <row r="77" spans="1:19">
      <c r="A77" s="717" t="str">
        <f>抵押物清单!C56</f>
        <v>2-226</v>
      </c>
      <c r="B77" s="717">
        <f>抵押物清单!E56</f>
        <v>41.33</v>
      </c>
      <c r="C77" s="24">
        <f t="shared" si="12"/>
        <v>1.04</v>
      </c>
      <c r="D77" s="719" t="s">
        <v>4049</v>
      </c>
      <c r="E77" s="24">
        <f t="shared" si="13"/>
        <v>0.95</v>
      </c>
      <c r="F77" s="719"/>
      <c r="G77" s="24">
        <f t="shared" si="14"/>
        <v>1</v>
      </c>
      <c r="H77" s="719"/>
      <c r="I77" s="24">
        <f t="shared" si="15"/>
        <v>1</v>
      </c>
      <c r="J77" s="719"/>
      <c r="K77" s="24">
        <f t="shared" si="16"/>
        <v>1</v>
      </c>
      <c r="L77" s="719"/>
      <c r="M77" s="24">
        <f t="shared" si="17"/>
        <v>1</v>
      </c>
      <c r="N77" s="719"/>
      <c r="O77" s="24">
        <f t="shared" si="18"/>
        <v>1</v>
      </c>
      <c r="P77" s="719" t="s">
        <v>4108</v>
      </c>
      <c r="Q77" s="24">
        <f t="shared" si="19"/>
        <v>0.65</v>
      </c>
      <c r="R77" s="715">
        <f t="shared" ca="1" si="20"/>
        <v>16455</v>
      </c>
      <c r="S77" s="361">
        <f t="shared" ca="1" si="21"/>
        <v>68</v>
      </c>
    </row>
    <row r="78" spans="1:19">
      <c r="A78" s="717" t="str">
        <f>抵押物清单!C57</f>
        <v>2-227</v>
      </c>
      <c r="B78" s="717">
        <f>抵押物清单!E57</f>
        <v>41.33</v>
      </c>
      <c r="C78" s="24">
        <f t="shared" si="12"/>
        <v>1.04</v>
      </c>
      <c r="D78" s="719" t="s">
        <v>4049</v>
      </c>
      <c r="E78" s="24">
        <f t="shared" si="13"/>
        <v>0.95</v>
      </c>
      <c r="F78" s="719"/>
      <c r="G78" s="24">
        <f t="shared" si="14"/>
        <v>1</v>
      </c>
      <c r="H78" s="719"/>
      <c r="I78" s="24">
        <f t="shared" si="15"/>
        <v>1</v>
      </c>
      <c r="J78" s="719"/>
      <c r="K78" s="24">
        <f t="shared" si="16"/>
        <v>1</v>
      </c>
      <c r="L78" s="719"/>
      <c r="M78" s="24">
        <f t="shared" si="17"/>
        <v>1</v>
      </c>
      <c r="N78" s="719"/>
      <c r="O78" s="24">
        <f t="shared" si="18"/>
        <v>1</v>
      </c>
      <c r="P78" s="719" t="s">
        <v>4108</v>
      </c>
      <c r="Q78" s="24">
        <f t="shared" si="19"/>
        <v>0.65</v>
      </c>
      <c r="R78" s="715">
        <f t="shared" ca="1" si="20"/>
        <v>16455</v>
      </c>
      <c r="S78" s="361">
        <f t="shared" ref="S78:S122" ca="1" si="22">ROUND(R78*B78/10000,0)</f>
        <v>68</v>
      </c>
    </row>
    <row r="79" spans="1:19">
      <c r="A79" s="717" t="str">
        <f>抵押物清单!C58</f>
        <v>2-228</v>
      </c>
      <c r="B79" s="717">
        <f>抵押物清单!E58</f>
        <v>41.33</v>
      </c>
      <c r="C79" s="24">
        <f t="shared" si="12"/>
        <v>1.04</v>
      </c>
      <c r="D79" s="719" t="s">
        <v>4049</v>
      </c>
      <c r="E79" s="24">
        <f t="shared" si="13"/>
        <v>0.95</v>
      </c>
      <c r="F79" s="719"/>
      <c r="G79" s="24">
        <f t="shared" si="14"/>
        <v>1</v>
      </c>
      <c r="H79" s="719"/>
      <c r="I79" s="24">
        <f t="shared" si="15"/>
        <v>1</v>
      </c>
      <c r="J79" s="719"/>
      <c r="K79" s="24">
        <f t="shared" si="16"/>
        <v>1</v>
      </c>
      <c r="L79" s="719"/>
      <c r="M79" s="24">
        <f t="shared" si="17"/>
        <v>1</v>
      </c>
      <c r="N79" s="719"/>
      <c r="O79" s="24">
        <f t="shared" si="18"/>
        <v>1</v>
      </c>
      <c r="P79" s="719" t="s">
        <v>4108</v>
      </c>
      <c r="Q79" s="24">
        <f t="shared" si="19"/>
        <v>0.65</v>
      </c>
      <c r="R79" s="715">
        <f t="shared" ca="1" si="20"/>
        <v>16455</v>
      </c>
      <c r="S79" s="361">
        <f t="shared" ca="1" si="22"/>
        <v>68</v>
      </c>
    </row>
    <row r="80" spans="1:19">
      <c r="A80" s="717" t="str">
        <f>抵押物清单!C59</f>
        <v>2-229</v>
      </c>
      <c r="B80" s="717">
        <f>抵押物清单!E59</f>
        <v>41.33</v>
      </c>
      <c r="C80" s="24">
        <f t="shared" si="12"/>
        <v>1.04</v>
      </c>
      <c r="D80" s="719" t="s">
        <v>4049</v>
      </c>
      <c r="E80" s="24">
        <f t="shared" si="13"/>
        <v>0.95</v>
      </c>
      <c r="F80" s="719"/>
      <c r="G80" s="24">
        <f t="shared" si="14"/>
        <v>1</v>
      </c>
      <c r="H80" s="719"/>
      <c r="I80" s="24">
        <f t="shared" si="15"/>
        <v>1</v>
      </c>
      <c r="J80" s="719"/>
      <c r="K80" s="24">
        <f t="shared" si="16"/>
        <v>1</v>
      </c>
      <c r="L80" s="719"/>
      <c r="M80" s="24">
        <f t="shared" si="17"/>
        <v>1</v>
      </c>
      <c r="N80" s="719"/>
      <c r="O80" s="24">
        <f t="shared" si="18"/>
        <v>1</v>
      </c>
      <c r="P80" s="719" t="s">
        <v>4108</v>
      </c>
      <c r="Q80" s="24">
        <f t="shared" si="19"/>
        <v>0.65</v>
      </c>
      <c r="R80" s="715">
        <f t="shared" ca="1" si="20"/>
        <v>16455</v>
      </c>
      <c r="S80" s="361">
        <f t="shared" ca="1" si="22"/>
        <v>68</v>
      </c>
    </row>
    <row r="81" spans="1:19">
      <c r="A81" s="717" t="str">
        <f>抵押物清单!C60</f>
        <v>2-230</v>
      </c>
      <c r="B81" s="717">
        <f>抵押物清单!E60</f>
        <v>41.33</v>
      </c>
      <c r="C81" s="24">
        <f t="shared" si="12"/>
        <v>1.04</v>
      </c>
      <c r="D81" s="719" t="s">
        <v>4049</v>
      </c>
      <c r="E81" s="24">
        <f t="shared" si="13"/>
        <v>0.95</v>
      </c>
      <c r="F81" s="719"/>
      <c r="G81" s="24">
        <f t="shared" si="14"/>
        <v>1</v>
      </c>
      <c r="H81" s="719"/>
      <c r="I81" s="24">
        <f t="shared" si="15"/>
        <v>1</v>
      </c>
      <c r="J81" s="719"/>
      <c r="K81" s="24">
        <f t="shared" si="16"/>
        <v>1</v>
      </c>
      <c r="L81" s="719"/>
      <c r="M81" s="24">
        <f t="shared" si="17"/>
        <v>1</v>
      </c>
      <c r="N81" s="719"/>
      <c r="O81" s="24">
        <f t="shared" si="18"/>
        <v>1</v>
      </c>
      <c r="P81" s="719" t="s">
        <v>4108</v>
      </c>
      <c r="Q81" s="24">
        <f t="shared" si="19"/>
        <v>0.65</v>
      </c>
      <c r="R81" s="715">
        <f t="shared" ca="1" si="20"/>
        <v>16455</v>
      </c>
      <c r="S81" s="361">
        <f t="shared" ca="1" si="22"/>
        <v>68</v>
      </c>
    </row>
    <row r="82" spans="1:19">
      <c r="A82" s="717" t="str">
        <f>抵押物清单!C61</f>
        <v>2-231</v>
      </c>
      <c r="B82" s="717">
        <f>抵押物清单!E61</f>
        <v>41.33</v>
      </c>
      <c r="C82" s="24">
        <f t="shared" si="12"/>
        <v>1.04</v>
      </c>
      <c r="D82" s="719" t="s">
        <v>4049</v>
      </c>
      <c r="E82" s="24">
        <f t="shared" si="13"/>
        <v>0.95</v>
      </c>
      <c r="F82" s="719"/>
      <c r="G82" s="24">
        <f t="shared" si="14"/>
        <v>1</v>
      </c>
      <c r="H82" s="719"/>
      <c r="I82" s="24">
        <f t="shared" si="15"/>
        <v>1</v>
      </c>
      <c r="J82" s="719"/>
      <c r="K82" s="24">
        <f t="shared" si="16"/>
        <v>1</v>
      </c>
      <c r="L82" s="719"/>
      <c r="M82" s="24">
        <f t="shared" si="17"/>
        <v>1</v>
      </c>
      <c r="N82" s="719"/>
      <c r="O82" s="24">
        <f t="shared" si="18"/>
        <v>1</v>
      </c>
      <c r="P82" s="719" t="s">
        <v>4108</v>
      </c>
      <c r="Q82" s="24">
        <f t="shared" si="19"/>
        <v>0.65</v>
      </c>
      <c r="R82" s="715">
        <f t="shared" ca="1" si="20"/>
        <v>16455</v>
      </c>
      <c r="S82" s="361">
        <f t="shared" ca="1" si="22"/>
        <v>68</v>
      </c>
    </row>
    <row r="83" spans="1:19">
      <c r="A83" s="717" t="str">
        <f>抵押物清单!C62</f>
        <v>2-232</v>
      </c>
      <c r="B83" s="717">
        <f>抵押物清单!E62</f>
        <v>41.33</v>
      </c>
      <c r="C83" s="24">
        <f t="shared" si="12"/>
        <v>1.04</v>
      </c>
      <c r="D83" s="719" t="s">
        <v>4049</v>
      </c>
      <c r="E83" s="24">
        <f t="shared" si="13"/>
        <v>0.95</v>
      </c>
      <c r="F83" s="719"/>
      <c r="G83" s="24">
        <f t="shared" si="14"/>
        <v>1</v>
      </c>
      <c r="H83" s="719"/>
      <c r="I83" s="24">
        <f t="shared" si="15"/>
        <v>1</v>
      </c>
      <c r="J83" s="719"/>
      <c r="K83" s="24">
        <f t="shared" si="16"/>
        <v>1</v>
      </c>
      <c r="L83" s="719"/>
      <c r="M83" s="24">
        <f t="shared" si="17"/>
        <v>1</v>
      </c>
      <c r="N83" s="719"/>
      <c r="O83" s="24">
        <f t="shared" si="18"/>
        <v>1</v>
      </c>
      <c r="P83" s="719" t="s">
        <v>4108</v>
      </c>
      <c r="Q83" s="24">
        <f t="shared" si="19"/>
        <v>0.65</v>
      </c>
      <c r="R83" s="715">
        <f t="shared" ca="1" si="20"/>
        <v>16455</v>
      </c>
      <c r="S83" s="361">
        <f t="shared" ca="1" si="22"/>
        <v>68</v>
      </c>
    </row>
    <row r="84" spans="1:19">
      <c r="A84" s="717" t="str">
        <f>抵押物清单!C63</f>
        <v>2-233</v>
      </c>
      <c r="B84" s="717">
        <f>抵押物清单!E63</f>
        <v>43.3</v>
      </c>
      <c r="C84" s="24">
        <f t="shared" si="12"/>
        <v>1.04</v>
      </c>
      <c r="D84" s="719" t="s">
        <v>4049</v>
      </c>
      <c r="E84" s="24">
        <f t="shared" si="13"/>
        <v>0.95</v>
      </c>
      <c r="F84" s="719"/>
      <c r="G84" s="24">
        <f t="shared" si="14"/>
        <v>1</v>
      </c>
      <c r="H84" s="719"/>
      <c r="I84" s="24">
        <f t="shared" si="15"/>
        <v>1</v>
      </c>
      <c r="J84" s="719"/>
      <c r="K84" s="24">
        <f t="shared" si="16"/>
        <v>1</v>
      </c>
      <c r="L84" s="719"/>
      <c r="M84" s="24">
        <f t="shared" si="17"/>
        <v>1</v>
      </c>
      <c r="N84" s="719"/>
      <c r="O84" s="24">
        <f t="shared" si="18"/>
        <v>1</v>
      </c>
      <c r="P84" s="719" t="s">
        <v>4108</v>
      </c>
      <c r="Q84" s="24">
        <f t="shared" si="19"/>
        <v>0.65</v>
      </c>
      <c r="R84" s="715">
        <f t="shared" ca="1" si="20"/>
        <v>16455</v>
      </c>
      <c r="S84" s="361">
        <f t="shared" ca="1" si="22"/>
        <v>71</v>
      </c>
    </row>
    <row r="85" spans="1:19">
      <c r="A85" s="717" t="str">
        <f>抵押物清单!C64</f>
        <v>2-234</v>
      </c>
      <c r="B85" s="717">
        <f>抵押物清单!E64</f>
        <v>37.590000000000003</v>
      </c>
      <c r="C85" s="24">
        <f t="shared" si="12"/>
        <v>1.04</v>
      </c>
      <c r="D85" s="719" t="s">
        <v>4049</v>
      </c>
      <c r="E85" s="24">
        <f t="shared" si="13"/>
        <v>0.95</v>
      </c>
      <c r="F85" s="719"/>
      <c r="G85" s="24">
        <f t="shared" si="14"/>
        <v>1</v>
      </c>
      <c r="H85" s="719"/>
      <c r="I85" s="24">
        <f t="shared" si="15"/>
        <v>1</v>
      </c>
      <c r="J85" s="719"/>
      <c r="K85" s="24">
        <f t="shared" si="16"/>
        <v>1</v>
      </c>
      <c r="L85" s="719"/>
      <c r="M85" s="24">
        <f t="shared" si="17"/>
        <v>1</v>
      </c>
      <c r="N85" s="719"/>
      <c r="O85" s="24">
        <f t="shared" si="18"/>
        <v>1</v>
      </c>
      <c r="P85" s="719" t="s">
        <v>4108</v>
      </c>
      <c r="Q85" s="24">
        <f t="shared" si="19"/>
        <v>0.65</v>
      </c>
      <c r="R85" s="715">
        <f t="shared" ca="1" si="20"/>
        <v>16455</v>
      </c>
      <c r="S85" s="361">
        <f t="shared" ca="1" si="22"/>
        <v>62</v>
      </c>
    </row>
    <row r="86" spans="1:19">
      <c r="A86" s="717" t="str">
        <f>抵押物清单!C65</f>
        <v>2-235</v>
      </c>
      <c r="B86" s="717">
        <f>抵押物清单!E65</f>
        <v>35.89</v>
      </c>
      <c r="C86" s="24">
        <f t="shared" si="12"/>
        <v>1.04</v>
      </c>
      <c r="D86" s="719" t="s">
        <v>4049</v>
      </c>
      <c r="E86" s="24">
        <f t="shared" si="13"/>
        <v>0.95</v>
      </c>
      <c r="F86" s="719"/>
      <c r="G86" s="24">
        <f t="shared" si="14"/>
        <v>1</v>
      </c>
      <c r="H86" s="719"/>
      <c r="I86" s="24">
        <f t="shared" si="15"/>
        <v>1</v>
      </c>
      <c r="J86" s="719"/>
      <c r="K86" s="24">
        <f t="shared" si="16"/>
        <v>1</v>
      </c>
      <c r="L86" s="719"/>
      <c r="M86" s="24">
        <f t="shared" si="17"/>
        <v>1</v>
      </c>
      <c r="N86" s="719"/>
      <c r="O86" s="24">
        <f t="shared" si="18"/>
        <v>1</v>
      </c>
      <c r="P86" s="719" t="s">
        <v>4108</v>
      </c>
      <c r="Q86" s="24">
        <f t="shared" si="19"/>
        <v>0.65</v>
      </c>
      <c r="R86" s="715">
        <f t="shared" ca="1" si="20"/>
        <v>16455</v>
      </c>
      <c r="S86" s="361">
        <f t="shared" ca="1" si="22"/>
        <v>59</v>
      </c>
    </row>
    <row r="87" spans="1:19">
      <c r="A87" s="717" t="str">
        <f>抵押物清单!C66</f>
        <v>2-236</v>
      </c>
      <c r="B87" s="717">
        <f>抵押物清单!E66</f>
        <v>35.89</v>
      </c>
      <c r="C87" s="24">
        <f t="shared" si="12"/>
        <v>1.04</v>
      </c>
      <c r="D87" s="719" t="s">
        <v>4049</v>
      </c>
      <c r="E87" s="24">
        <f t="shared" si="13"/>
        <v>0.95</v>
      </c>
      <c r="F87" s="719"/>
      <c r="G87" s="24">
        <f t="shared" si="14"/>
        <v>1</v>
      </c>
      <c r="H87" s="719"/>
      <c r="I87" s="24">
        <f t="shared" si="15"/>
        <v>1</v>
      </c>
      <c r="J87" s="719"/>
      <c r="K87" s="24">
        <f t="shared" si="16"/>
        <v>1</v>
      </c>
      <c r="L87" s="719"/>
      <c r="M87" s="24">
        <f t="shared" si="17"/>
        <v>1</v>
      </c>
      <c r="N87" s="719"/>
      <c r="O87" s="24">
        <f t="shared" si="18"/>
        <v>1</v>
      </c>
      <c r="P87" s="719" t="s">
        <v>4108</v>
      </c>
      <c r="Q87" s="24">
        <f t="shared" si="19"/>
        <v>0.65</v>
      </c>
      <c r="R87" s="715">
        <f t="shared" ca="1" si="20"/>
        <v>16455</v>
      </c>
      <c r="S87" s="361">
        <f t="shared" ca="1" si="22"/>
        <v>59</v>
      </c>
    </row>
    <row r="88" spans="1:19">
      <c r="A88" s="717" t="str">
        <f>抵押物清单!C67</f>
        <v>2-237</v>
      </c>
      <c r="B88" s="717">
        <f>抵押物清单!E67</f>
        <v>35.89</v>
      </c>
      <c r="C88" s="24">
        <f t="shared" si="12"/>
        <v>1.04</v>
      </c>
      <c r="D88" s="719" t="s">
        <v>4049</v>
      </c>
      <c r="E88" s="24">
        <f t="shared" si="13"/>
        <v>0.95</v>
      </c>
      <c r="F88" s="719"/>
      <c r="G88" s="24">
        <f t="shared" si="14"/>
        <v>1</v>
      </c>
      <c r="H88" s="719"/>
      <c r="I88" s="24">
        <f t="shared" si="15"/>
        <v>1</v>
      </c>
      <c r="J88" s="719"/>
      <c r="K88" s="24">
        <f t="shared" si="16"/>
        <v>1</v>
      </c>
      <c r="L88" s="719"/>
      <c r="M88" s="24">
        <f t="shared" si="17"/>
        <v>1</v>
      </c>
      <c r="N88" s="719"/>
      <c r="O88" s="24">
        <f t="shared" si="18"/>
        <v>1</v>
      </c>
      <c r="P88" s="719" t="s">
        <v>4108</v>
      </c>
      <c r="Q88" s="24">
        <f t="shared" si="19"/>
        <v>0.65</v>
      </c>
      <c r="R88" s="715">
        <f t="shared" ca="1" si="20"/>
        <v>16455</v>
      </c>
      <c r="S88" s="361">
        <f t="shared" ca="1" si="22"/>
        <v>59</v>
      </c>
    </row>
    <row r="89" spans="1:19">
      <c r="A89" s="717" t="str">
        <f>抵押物清单!C68</f>
        <v>2-238</v>
      </c>
      <c r="B89" s="717">
        <f>抵押物清单!E68</f>
        <v>35.89</v>
      </c>
      <c r="C89" s="24">
        <f t="shared" si="12"/>
        <v>1.04</v>
      </c>
      <c r="D89" s="719" t="s">
        <v>4049</v>
      </c>
      <c r="E89" s="24">
        <f t="shared" si="13"/>
        <v>0.95</v>
      </c>
      <c r="F89" s="719"/>
      <c r="G89" s="24">
        <f t="shared" si="14"/>
        <v>1</v>
      </c>
      <c r="H89" s="719"/>
      <c r="I89" s="24">
        <f t="shared" si="15"/>
        <v>1</v>
      </c>
      <c r="J89" s="719"/>
      <c r="K89" s="24">
        <f t="shared" si="16"/>
        <v>1</v>
      </c>
      <c r="L89" s="719"/>
      <c r="M89" s="24">
        <f t="shared" si="17"/>
        <v>1</v>
      </c>
      <c r="N89" s="719"/>
      <c r="O89" s="24">
        <f t="shared" si="18"/>
        <v>1</v>
      </c>
      <c r="P89" s="719" t="s">
        <v>4108</v>
      </c>
      <c r="Q89" s="24">
        <f t="shared" si="19"/>
        <v>0.65</v>
      </c>
      <c r="R89" s="715">
        <f t="shared" ca="1" si="20"/>
        <v>16455</v>
      </c>
      <c r="S89" s="361">
        <f t="shared" ca="1" si="22"/>
        <v>59</v>
      </c>
    </row>
    <row r="90" spans="1:19">
      <c r="A90" s="717" t="str">
        <f>抵押物清单!C69</f>
        <v>2-239</v>
      </c>
      <c r="B90" s="717">
        <f>抵押物清单!E69</f>
        <v>35.89</v>
      </c>
      <c r="C90" s="24">
        <f t="shared" ref="C90:C153" si="23">IF(B90="",1,(LOOKUP(B90,$3:$3,$4:$4)-LOOKUP($B$24,$3:$3,$4:$4)+100)/100)</f>
        <v>1.04</v>
      </c>
      <c r="D90" s="719" t="s">
        <v>4049</v>
      </c>
      <c r="E90" s="24">
        <f t="shared" ref="E90:E153" si="24">(SUMIF($5:$5,D90,$6:$6)-SUMIF($5:$5,$D$24,$6:$6)+100)/100</f>
        <v>0.95</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4108</v>
      </c>
      <c r="Q90" s="24">
        <f t="shared" ref="Q90:Q153" si="30">(SUMIF($17:$17,P90,$18:$18)-SUMIF($17:$17,$P$24,$18:$18)+100)/100</f>
        <v>0.65</v>
      </c>
      <c r="R90" s="715">
        <f t="shared" ref="R90:R153" ca="1" si="31">IF(B90="",0,ROUND($R$24*C90*E90*G90*I90*K90*M90*O90*Q90,0))</f>
        <v>16455</v>
      </c>
      <c r="S90" s="361">
        <f t="shared" ca="1" si="22"/>
        <v>59</v>
      </c>
    </row>
    <row r="91" spans="1:19">
      <c r="A91" s="717" t="str">
        <f>抵押物清单!C70</f>
        <v>2-240</v>
      </c>
      <c r="B91" s="717">
        <f>抵押物清单!E70</f>
        <v>35.89</v>
      </c>
      <c r="C91" s="24">
        <f t="shared" si="23"/>
        <v>1.04</v>
      </c>
      <c r="D91" s="719" t="s">
        <v>4049</v>
      </c>
      <c r="E91" s="24">
        <f t="shared" si="24"/>
        <v>0.95</v>
      </c>
      <c r="F91" s="719"/>
      <c r="G91" s="24">
        <f t="shared" si="25"/>
        <v>1</v>
      </c>
      <c r="H91" s="719"/>
      <c r="I91" s="24">
        <f t="shared" si="26"/>
        <v>1</v>
      </c>
      <c r="J91" s="719"/>
      <c r="K91" s="24">
        <f t="shared" si="27"/>
        <v>1</v>
      </c>
      <c r="L91" s="719"/>
      <c r="M91" s="24">
        <f t="shared" si="28"/>
        <v>1</v>
      </c>
      <c r="N91" s="719"/>
      <c r="O91" s="24">
        <f t="shared" si="29"/>
        <v>1</v>
      </c>
      <c r="P91" s="719" t="s">
        <v>4108</v>
      </c>
      <c r="Q91" s="24">
        <f t="shared" si="30"/>
        <v>0.65</v>
      </c>
      <c r="R91" s="715">
        <f t="shared" ca="1" si="31"/>
        <v>16455</v>
      </c>
      <c r="S91" s="361">
        <f t="shared" ca="1" si="22"/>
        <v>59</v>
      </c>
    </row>
    <row r="92" spans="1:19">
      <c r="A92" s="717" t="str">
        <f>抵押物清单!C71</f>
        <v>2-241</v>
      </c>
      <c r="B92" s="717">
        <f>抵押物清单!E71</f>
        <v>35.89</v>
      </c>
      <c r="C92" s="24">
        <f t="shared" si="23"/>
        <v>1.04</v>
      </c>
      <c r="D92" s="719" t="s">
        <v>4049</v>
      </c>
      <c r="E92" s="24">
        <f t="shared" si="24"/>
        <v>0.95</v>
      </c>
      <c r="F92" s="719"/>
      <c r="G92" s="24">
        <f t="shared" si="25"/>
        <v>1</v>
      </c>
      <c r="H92" s="719"/>
      <c r="I92" s="24">
        <f t="shared" si="26"/>
        <v>1</v>
      </c>
      <c r="J92" s="719"/>
      <c r="K92" s="24">
        <f t="shared" si="27"/>
        <v>1</v>
      </c>
      <c r="L92" s="719"/>
      <c r="M92" s="24">
        <f t="shared" si="28"/>
        <v>1</v>
      </c>
      <c r="N92" s="719"/>
      <c r="O92" s="24">
        <f t="shared" si="29"/>
        <v>1</v>
      </c>
      <c r="P92" s="719" t="s">
        <v>4108</v>
      </c>
      <c r="Q92" s="24">
        <f t="shared" si="30"/>
        <v>0.65</v>
      </c>
      <c r="R92" s="715">
        <f t="shared" ca="1" si="31"/>
        <v>16455</v>
      </c>
      <c r="S92" s="361">
        <f t="shared" ca="1" si="22"/>
        <v>59</v>
      </c>
    </row>
    <row r="93" spans="1:19">
      <c r="A93" s="717" t="str">
        <f>抵押物清单!C72</f>
        <v>2-242</v>
      </c>
      <c r="B93" s="717">
        <f>抵押物清单!E72</f>
        <v>35.89</v>
      </c>
      <c r="C93" s="24">
        <f t="shared" si="23"/>
        <v>1.04</v>
      </c>
      <c r="D93" s="719" t="s">
        <v>4049</v>
      </c>
      <c r="E93" s="24">
        <f t="shared" si="24"/>
        <v>0.95</v>
      </c>
      <c r="F93" s="719"/>
      <c r="G93" s="24">
        <f t="shared" si="25"/>
        <v>1</v>
      </c>
      <c r="H93" s="719"/>
      <c r="I93" s="24">
        <f t="shared" si="26"/>
        <v>1</v>
      </c>
      <c r="J93" s="719"/>
      <c r="K93" s="24">
        <f t="shared" si="27"/>
        <v>1</v>
      </c>
      <c r="L93" s="719"/>
      <c r="M93" s="24">
        <f t="shared" si="28"/>
        <v>1</v>
      </c>
      <c r="N93" s="719"/>
      <c r="O93" s="24">
        <f t="shared" si="29"/>
        <v>1</v>
      </c>
      <c r="P93" s="719" t="s">
        <v>4108</v>
      </c>
      <c r="Q93" s="24">
        <f t="shared" si="30"/>
        <v>0.65</v>
      </c>
      <c r="R93" s="715">
        <f t="shared" ca="1" si="31"/>
        <v>16455</v>
      </c>
      <c r="S93" s="361">
        <f t="shared" ca="1" si="22"/>
        <v>59</v>
      </c>
    </row>
    <row r="94" spans="1:19">
      <c r="A94" s="717" t="str">
        <f>抵押物清单!C73</f>
        <v>2-243</v>
      </c>
      <c r="B94" s="717">
        <f>抵押物清单!E73</f>
        <v>37.17</v>
      </c>
      <c r="C94" s="24">
        <f t="shared" si="23"/>
        <v>1.04</v>
      </c>
      <c r="D94" s="719" t="s">
        <v>4049</v>
      </c>
      <c r="E94" s="24">
        <f t="shared" si="24"/>
        <v>0.95</v>
      </c>
      <c r="F94" s="719"/>
      <c r="G94" s="24">
        <f t="shared" si="25"/>
        <v>1</v>
      </c>
      <c r="H94" s="719"/>
      <c r="I94" s="24">
        <f t="shared" si="26"/>
        <v>1</v>
      </c>
      <c r="J94" s="719"/>
      <c r="K94" s="24">
        <f t="shared" si="27"/>
        <v>1</v>
      </c>
      <c r="L94" s="719"/>
      <c r="M94" s="24">
        <f t="shared" si="28"/>
        <v>1</v>
      </c>
      <c r="N94" s="719"/>
      <c r="O94" s="24">
        <f t="shared" si="29"/>
        <v>1</v>
      </c>
      <c r="P94" s="719" t="s">
        <v>4108</v>
      </c>
      <c r="Q94" s="24">
        <f t="shared" si="30"/>
        <v>0.65</v>
      </c>
      <c r="R94" s="715">
        <f t="shared" ca="1" si="31"/>
        <v>16455</v>
      </c>
      <c r="S94" s="361">
        <f t="shared" ca="1" si="22"/>
        <v>61</v>
      </c>
    </row>
    <row r="95" spans="1:19">
      <c r="A95" s="717" t="str">
        <f>抵押物清单!C74</f>
        <v>2-244</v>
      </c>
      <c r="B95" s="717">
        <f>抵押物清单!E74</f>
        <v>60.66</v>
      </c>
      <c r="C95" s="24">
        <f t="shared" si="23"/>
        <v>1.02</v>
      </c>
      <c r="D95" s="719" t="s">
        <v>4049</v>
      </c>
      <c r="E95" s="24">
        <f t="shared" si="24"/>
        <v>0.95</v>
      </c>
      <c r="F95" s="719"/>
      <c r="G95" s="24">
        <f t="shared" si="25"/>
        <v>1</v>
      </c>
      <c r="H95" s="719"/>
      <c r="I95" s="24">
        <f t="shared" si="26"/>
        <v>1</v>
      </c>
      <c r="J95" s="719"/>
      <c r="K95" s="24">
        <f t="shared" si="27"/>
        <v>1</v>
      </c>
      <c r="L95" s="719"/>
      <c r="M95" s="24">
        <f t="shared" si="28"/>
        <v>1</v>
      </c>
      <c r="N95" s="719"/>
      <c r="O95" s="24">
        <f t="shared" si="29"/>
        <v>1</v>
      </c>
      <c r="P95" s="719" t="s">
        <v>4108</v>
      </c>
      <c r="Q95" s="24">
        <f t="shared" si="30"/>
        <v>0.65</v>
      </c>
      <c r="R95" s="715">
        <f t="shared" ca="1" si="31"/>
        <v>16139</v>
      </c>
      <c r="S95" s="361">
        <f t="shared" ca="1" si="22"/>
        <v>98</v>
      </c>
    </row>
    <row r="96" spans="1:19">
      <c r="A96" s="717" t="str">
        <f>抵押物清单!C75</f>
        <v>2-245</v>
      </c>
      <c r="B96" s="717">
        <f>抵押物清单!E75</f>
        <v>42.29</v>
      </c>
      <c r="C96" s="24">
        <f t="shared" si="23"/>
        <v>1.04</v>
      </c>
      <c r="D96" s="719" t="s">
        <v>4049</v>
      </c>
      <c r="E96" s="24">
        <f t="shared" si="24"/>
        <v>0.95</v>
      </c>
      <c r="F96" s="719"/>
      <c r="G96" s="24">
        <f t="shared" si="25"/>
        <v>1</v>
      </c>
      <c r="H96" s="719"/>
      <c r="I96" s="24">
        <f t="shared" si="26"/>
        <v>1</v>
      </c>
      <c r="J96" s="719"/>
      <c r="K96" s="24">
        <f t="shared" si="27"/>
        <v>1</v>
      </c>
      <c r="L96" s="719"/>
      <c r="M96" s="24">
        <f t="shared" si="28"/>
        <v>1</v>
      </c>
      <c r="N96" s="719"/>
      <c r="O96" s="24">
        <f t="shared" si="29"/>
        <v>1</v>
      </c>
      <c r="P96" s="719" t="s">
        <v>4108</v>
      </c>
      <c r="Q96" s="24">
        <f t="shared" si="30"/>
        <v>0.65</v>
      </c>
      <c r="R96" s="715">
        <f t="shared" ca="1" si="31"/>
        <v>16455</v>
      </c>
      <c r="S96" s="361">
        <f t="shared" ca="1" si="22"/>
        <v>70</v>
      </c>
    </row>
    <row r="97" spans="1:19">
      <c r="A97" s="717" t="str">
        <f>抵押物清单!C76</f>
        <v>2-247</v>
      </c>
      <c r="B97" s="717">
        <f>抵押物清单!E76</f>
        <v>35.89</v>
      </c>
      <c r="C97" s="24">
        <f t="shared" si="23"/>
        <v>1.04</v>
      </c>
      <c r="D97" s="719" t="s">
        <v>4049</v>
      </c>
      <c r="E97" s="24">
        <f t="shared" si="24"/>
        <v>0.95</v>
      </c>
      <c r="F97" s="719"/>
      <c r="G97" s="24">
        <f t="shared" si="25"/>
        <v>1</v>
      </c>
      <c r="H97" s="719"/>
      <c r="I97" s="24">
        <f t="shared" si="26"/>
        <v>1</v>
      </c>
      <c r="J97" s="719"/>
      <c r="K97" s="24">
        <f t="shared" si="27"/>
        <v>1</v>
      </c>
      <c r="L97" s="719"/>
      <c r="M97" s="24">
        <f t="shared" si="28"/>
        <v>1</v>
      </c>
      <c r="N97" s="719"/>
      <c r="O97" s="24">
        <f t="shared" si="29"/>
        <v>1</v>
      </c>
      <c r="P97" s="719" t="s">
        <v>4108</v>
      </c>
      <c r="Q97" s="24">
        <f t="shared" si="30"/>
        <v>0.65</v>
      </c>
      <c r="R97" s="715">
        <f t="shared" ca="1" si="31"/>
        <v>16455</v>
      </c>
      <c r="S97" s="361">
        <f t="shared" ca="1" si="22"/>
        <v>59</v>
      </c>
    </row>
    <row r="98" spans="1:19">
      <c r="A98" s="717" t="str">
        <f>抵押物清单!C77</f>
        <v>2-251</v>
      </c>
      <c r="B98" s="717">
        <f>抵押物清单!E77</f>
        <v>69.53</v>
      </c>
      <c r="C98" s="24">
        <f t="shared" si="23"/>
        <v>1.02</v>
      </c>
      <c r="D98" s="719" t="s">
        <v>4049</v>
      </c>
      <c r="E98" s="24">
        <f t="shared" si="24"/>
        <v>0.95</v>
      </c>
      <c r="F98" s="719"/>
      <c r="G98" s="24">
        <f t="shared" si="25"/>
        <v>1</v>
      </c>
      <c r="H98" s="719"/>
      <c r="I98" s="24">
        <f t="shared" si="26"/>
        <v>1</v>
      </c>
      <c r="J98" s="719"/>
      <c r="K98" s="24">
        <f t="shared" si="27"/>
        <v>1</v>
      </c>
      <c r="L98" s="719"/>
      <c r="M98" s="24">
        <f t="shared" si="28"/>
        <v>1</v>
      </c>
      <c r="N98" s="719"/>
      <c r="O98" s="24">
        <f t="shared" si="29"/>
        <v>1</v>
      </c>
      <c r="P98" s="719" t="s">
        <v>4108</v>
      </c>
      <c r="Q98" s="24">
        <f t="shared" si="30"/>
        <v>0.65</v>
      </c>
      <c r="R98" s="715">
        <f t="shared" ca="1" si="31"/>
        <v>16139</v>
      </c>
      <c r="S98" s="361">
        <f t="shared" ca="1" si="22"/>
        <v>112</v>
      </c>
    </row>
    <row r="99" spans="1:19">
      <c r="A99" s="717" t="str">
        <f>抵押物清单!C78</f>
        <v>2-252</v>
      </c>
      <c r="B99" s="717">
        <f>抵押物清单!E78</f>
        <v>68.83</v>
      </c>
      <c r="C99" s="24">
        <f t="shared" si="23"/>
        <v>1.02</v>
      </c>
      <c r="D99" s="719" t="s">
        <v>4049</v>
      </c>
      <c r="E99" s="24">
        <f t="shared" si="24"/>
        <v>0.95</v>
      </c>
      <c r="F99" s="719"/>
      <c r="G99" s="24">
        <f t="shared" si="25"/>
        <v>1</v>
      </c>
      <c r="H99" s="719"/>
      <c r="I99" s="24">
        <f t="shared" si="26"/>
        <v>1</v>
      </c>
      <c r="J99" s="719"/>
      <c r="K99" s="24">
        <f t="shared" si="27"/>
        <v>1</v>
      </c>
      <c r="L99" s="719"/>
      <c r="M99" s="24">
        <f t="shared" si="28"/>
        <v>1</v>
      </c>
      <c r="N99" s="719"/>
      <c r="O99" s="24">
        <f t="shared" si="29"/>
        <v>1</v>
      </c>
      <c r="P99" s="719" t="s">
        <v>4108</v>
      </c>
      <c r="Q99" s="24">
        <f t="shared" si="30"/>
        <v>0.65</v>
      </c>
      <c r="R99" s="715">
        <f t="shared" ca="1" si="31"/>
        <v>16139</v>
      </c>
      <c r="S99" s="361">
        <f t="shared" ca="1" si="22"/>
        <v>111</v>
      </c>
    </row>
    <row r="100" spans="1:19">
      <c r="A100" s="717" t="str">
        <f>抵押物清单!C79</f>
        <v>2-253</v>
      </c>
      <c r="B100" s="717">
        <f>抵押物清单!E79</f>
        <v>68.83</v>
      </c>
      <c r="C100" s="24">
        <f t="shared" si="23"/>
        <v>1.02</v>
      </c>
      <c r="D100" s="719" t="s">
        <v>4049</v>
      </c>
      <c r="E100" s="24">
        <f t="shared" si="24"/>
        <v>0.95</v>
      </c>
      <c r="F100" s="719"/>
      <c r="G100" s="24">
        <f t="shared" si="25"/>
        <v>1</v>
      </c>
      <c r="H100" s="719"/>
      <c r="I100" s="24">
        <f t="shared" si="26"/>
        <v>1</v>
      </c>
      <c r="J100" s="719"/>
      <c r="K100" s="24">
        <f t="shared" si="27"/>
        <v>1</v>
      </c>
      <c r="L100" s="719"/>
      <c r="M100" s="24">
        <f t="shared" si="28"/>
        <v>1</v>
      </c>
      <c r="N100" s="719"/>
      <c r="O100" s="24">
        <f t="shared" si="29"/>
        <v>1</v>
      </c>
      <c r="P100" s="719" t="s">
        <v>4108</v>
      </c>
      <c r="Q100" s="24">
        <f t="shared" si="30"/>
        <v>0.65</v>
      </c>
      <c r="R100" s="715">
        <f t="shared" ca="1" si="31"/>
        <v>16139</v>
      </c>
      <c r="S100" s="361">
        <f t="shared" ca="1" si="22"/>
        <v>111</v>
      </c>
    </row>
    <row r="101" spans="1:19">
      <c r="A101" s="717" t="str">
        <f>抵押物清单!C80</f>
        <v>2-254</v>
      </c>
      <c r="B101" s="717">
        <f>抵押物清单!E80</f>
        <v>102.91</v>
      </c>
      <c r="C101" s="24">
        <f t="shared" si="23"/>
        <v>1</v>
      </c>
      <c r="D101" s="719" t="s">
        <v>4049</v>
      </c>
      <c r="E101" s="24">
        <f t="shared" si="24"/>
        <v>0.95</v>
      </c>
      <c r="F101" s="719"/>
      <c r="G101" s="24">
        <f t="shared" si="25"/>
        <v>1</v>
      </c>
      <c r="H101" s="719"/>
      <c r="I101" s="24">
        <f t="shared" si="26"/>
        <v>1</v>
      </c>
      <c r="J101" s="719"/>
      <c r="K101" s="24">
        <f t="shared" si="27"/>
        <v>1</v>
      </c>
      <c r="L101" s="719"/>
      <c r="M101" s="24">
        <f t="shared" si="28"/>
        <v>1</v>
      </c>
      <c r="N101" s="719"/>
      <c r="O101" s="24">
        <f t="shared" si="29"/>
        <v>1</v>
      </c>
      <c r="P101" s="719" t="s">
        <v>4108</v>
      </c>
      <c r="Q101" s="24">
        <f t="shared" si="30"/>
        <v>0.65</v>
      </c>
      <c r="R101" s="715">
        <f t="shared" ca="1" si="31"/>
        <v>15822</v>
      </c>
      <c r="S101" s="361">
        <f t="shared" ca="1" si="22"/>
        <v>163</v>
      </c>
    </row>
    <row r="102" spans="1:19">
      <c r="A102" s="717" t="str">
        <f>抵押物清单!C81</f>
        <v>2-255</v>
      </c>
      <c r="B102" s="717">
        <f>抵押物清单!E81</f>
        <v>53.27</v>
      </c>
      <c r="C102" s="24">
        <f t="shared" si="23"/>
        <v>1.02</v>
      </c>
      <c r="D102" s="719" t="s">
        <v>4049</v>
      </c>
      <c r="E102" s="24">
        <f t="shared" si="24"/>
        <v>0.95</v>
      </c>
      <c r="F102" s="719"/>
      <c r="G102" s="24">
        <f t="shared" si="25"/>
        <v>1</v>
      </c>
      <c r="H102" s="719"/>
      <c r="I102" s="24">
        <f t="shared" si="26"/>
        <v>1</v>
      </c>
      <c r="J102" s="719"/>
      <c r="K102" s="24">
        <f t="shared" si="27"/>
        <v>1</v>
      </c>
      <c r="L102" s="719"/>
      <c r="M102" s="24">
        <f t="shared" si="28"/>
        <v>1</v>
      </c>
      <c r="N102" s="719"/>
      <c r="O102" s="24">
        <f t="shared" si="29"/>
        <v>1</v>
      </c>
      <c r="P102" s="719" t="s">
        <v>4108</v>
      </c>
      <c r="Q102" s="24">
        <f t="shared" si="30"/>
        <v>0.65</v>
      </c>
      <c r="R102" s="715">
        <f t="shared" ca="1" si="31"/>
        <v>16139</v>
      </c>
      <c r="S102" s="361">
        <f t="shared" ca="1" si="22"/>
        <v>86</v>
      </c>
    </row>
    <row r="103" spans="1:19">
      <c r="A103" s="717" t="str">
        <f>抵押物清单!C82</f>
        <v>2-257</v>
      </c>
      <c r="B103" s="717">
        <f>抵押物清单!E82</f>
        <v>68.83</v>
      </c>
      <c r="C103" s="24">
        <f t="shared" si="23"/>
        <v>1.02</v>
      </c>
      <c r="D103" s="719" t="s">
        <v>4049</v>
      </c>
      <c r="E103" s="24">
        <f t="shared" si="24"/>
        <v>0.95</v>
      </c>
      <c r="F103" s="719"/>
      <c r="G103" s="24">
        <f t="shared" si="25"/>
        <v>1</v>
      </c>
      <c r="H103" s="719"/>
      <c r="I103" s="24">
        <f t="shared" si="26"/>
        <v>1</v>
      </c>
      <c r="J103" s="719"/>
      <c r="K103" s="24">
        <f t="shared" si="27"/>
        <v>1</v>
      </c>
      <c r="L103" s="719"/>
      <c r="M103" s="24">
        <f t="shared" si="28"/>
        <v>1</v>
      </c>
      <c r="N103" s="719"/>
      <c r="O103" s="24">
        <f t="shared" si="29"/>
        <v>1</v>
      </c>
      <c r="P103" s="719" t="s">
        <v>4108</v>
      </c>
      <c r="Q103" s="24">
        <f t="shared" si="30"/>
        <v>0.65</v>
      </c>
      <c r="R103" s="715">
        <f t="shared" ca="1" si="31"/>
        <v>16139</v>
      </c>
      <c r="S103" s="361">
        <f t="shared" ca="1" si="22"/>
        <v>111</v>
      </c>
    </row>
    <row r="104" spans="1:19">
      <c r="A104" s="717" t="str">
        <f>抵押物清单!C83</f>
        <v>2-258</v>
      </c>
      <c r="B104" s="717">
        <f>抵押物清单!E83</f>
        <v>68.83</v>
      </c>
      <c r="C104" s="24">
        <f t="shared" si="23"/>
        <v>1.02</v>
      </c>
      <c r="D104" s="719" t="s">
        <v>4049</v>
      </c>
      <c r="E104" s="24">
        <f t="shared" si="24"/>
        <v>0.95</v>
      </c>
      <c r="F104" s="719"/>
      <c r="G104" s="24">
        <f t="shared" si="25"/>
        <v>1</v>
      </c>
      <c r="H104" s="719"/>
      <c r="I104" s="24">
        <f t="shared" si="26"/>
        <v>1</v>
      </c>
      <c r="J104" s="719"/>
      <c r="K104" s="24">
        <f t="shared" si="27"/>
        <v>1</v>
      </c>
      <c r="L104" s="719"/>
      <c r="M104" s="24">
        <f t="shared" si="28"/>
        <v>1</v>
      </c>
      <c r="N104" s="719"/>
      <c r="O104" s="24">
        <f t="shared" si="29"/>
        <v>1</v>
      </c>
      <c r="P104" s="719" t="s">
        <v>4108</v>
      </c>
      <c r="Q104" s="24">
        <f t="shared" si="30"/>
        <v>0.65</v>
      </c>
      <c r="R104" s="715">
        <f t="shared" ca="1" si="31"/>
        <v>16139</v>
      </c>
      <c r="S104" s="361">
        <f t="shared" ca="1" si="22"/>
        <v>111</v>
      </c>
    </row>
    <row r="105" spans="1:19">
      <c r="A105" s="717" t="str">
        <f>抵押物清单!C84</f>
        <v>2-259</v>
      </c>
      <c r="B105" s="717">
        <f>抵押物清单!E84</f>
        <v>68.83</v>
      </c>
      <c r="C105" s="24">
        <f t="shared" si="23"/>
        <v>1.02</v>
      </c>
      <c r="D105" s="719" t="s">
        <v>4049</v>
      </c>
      <c r="E105" s="24">
        <f t="shared" si="24"/>
        <v>0.95</v>
      </c>
      <c r="F105" s="719"/>
      <c r="G105" s="24">
        <f t="shared" si="25"/>
        <v>1</v>
      </c>
      <c r="H105" s="719"/>
      <c r="I105" s="24">
        <f t="shared" si="26"/>
        <v>1</v>
      </c>
      <c r="J105" s="719"/>
      <c r="K105" s="24">
        <f t="shared" si="27"/>
        <v>1</v>
      </c>
      <c r="L105" s="719"/>
      <c r="M105" s="24">
        <f t="shared" si="28"/>
        <v>1</v>
      </c>
      <c r="N105" s="719"/>
      <c r="O105" s="24">
        <f t="shared" si="29"/>
        <v>1</v>
      </c>
      <c r="P105" s="719" t="s">
        <v>4108</v>
      </c>
      <c r="Q105" s="24">
        <f t="shared" si="30"/>
        <v>0.65</v>
      </c>
      <c r="R105" s="715">
        <f t="shared" ca="1" si="31"/>
        <v>16139</v>
      </c>
      <c r="S105" s="361">
        <f t="shared" ca="1" si="22"/>
        <v>111</v>
      </c>
    </row>
    <row r="106" spans="1:19">
      <c r="A106" s="717" t="str">
        <f>抵押物清单!C85</f>
        <v>2-260</v>
      </c>
      <c r="B106" s="717">
        <f>抵押物清单!E85</f>
        <v>102.91</v>
      </c>
      <c r="C106" s="24">
        <f t="shared" si="23"/>
        <v>1</v>
      </c>
      <c r="D106" s="719" t="s">
        <v>4049</v>
      </c>
      <c r="E106" s="24">
        <f t="shared" si="24"/>
        <v>0.95</v>
      </c>
      <c r="F106" s="719"/>
      <c r="G106" s="24">
        <f t="shared" si="25"/>
        <v>1</v>
      </c>
      <c r="H106" s="719"/>
      <c r="I106" s="24">
        <f t="shared" si="26"/>
        <v>1</v>
      </c>
      <c r="J106" s="719"/>
      <c r="K106" s="24">
        <f t="shared" si="27"/>
        <v>1</v>
      </c>
      <c r="L106" s="719"/>
      <c r="M106" s="24">
        <f t="shared" si="28"/>
        <v>1</v>
      </c>
      <c r="N106" s="719"/>
      <c r="O106" s="24">
        <f t="shared" si="29"/>
        <v>1</v>
      </c>
      <c r="P106" s="719" t="s">
        <v>4108</v>
      </c>
      <c r="Q106" s="24">
        <f t="shared" si="30"/>
        <v>0.65</v>
      </c>
      <c r="R106" s="715">
        <f t="shared" ca="1" si="31"/>
        <v>15822</v>
      </c>
      <c r="S106" s="361">
        <f t="shared" ca="1" si="22"/>
        <v>163</v>
      </c>
    </row>
    <row r="107" spans="1:19">
      <c r="A107" s="717" t="str">
        <f>抵押物清单!C86</f>
        <v>2-261</v>
      </c>
      <c r="B107" s="717">
        <f>抵押物清单!E86</f>
        <v>53.27</v>
      </c>
      <c r="C107" s="24">
        <f t="shared" si="23"/>
        <v>1.02</v>
      </c>
      <c r="D107" s="719" t="s">
        <v>4049</v>
      </c>
      <c r="E107" s="24">
        <f t="shared" si="24"/>
        <v>0.95</v>
      </c>
      <c r="F107" s="719"/>
      <c r="G107" s="24">
        <f t="shared" si="25"/>
        <v>1</v>
      </c>
      <c r="H107" s="719"/>
      <c r="I107" s="24">
        <f t="shared" si="26"/>
        <v>1</v>
      </c>
      <c r="J107" s="719"/>
      <c r="K107" s="24">
        <f t="shared" si="27"/>
        <v>1</v>
      </c>
      <c r="L107" s="719"/>
      <c r="M107" s="24">
        <f t="shared" si="28"/>
        <v>1</v>
      </c>
      <c r="N107" s="719"/>
      <c r="O107" s="24">
        <f t="shared" si="29"/>
        <v>1</v>
      </c>
      <c r="P107" s="719" t="s">
        <v>4108</v>
      </c>
      <c r="Q107" s="24">
        <f t="shared" si="30"/>
        <v>0.65</v>
      </c>
      <c r="R107" s="715">
        <f t="shared" ca="1" si="31"/>
        <v>16139</v>
      </c>
      <c r="S107" s="361">
        <f t="shared" ca="1" si="22"/>
        <v>86</v>
      </c>
    </row>
    <row r="108" spans="1:19">
      <c r="A108" s="717" t="str">
        <f>抵押物清单!C87</f>
        <v>2-262</v>
      </c>
      <c r="B108" s="717">
        <f>抵押物清单!E87</f>
        <v>68.83</v>
      </c>
      <c r="C108" s="24">
        <f t="shared" si="23"/>
        <v>1.02</v>
      </c>
      <c r="D108" s="719" t="s">
        <v>4049</v>
      </c>
      <c r="E108" s="24">
        <f t="shared" si="24"/>
        <v>0.95</v>
      </c>
      <c r="F108" s="719"/>
      <c r="G108" s="24">
        <f t="shared" si="25"/>
        <v>1</v>
      </c>
      <c r="H108" s="719"/>
      <c r="I108" s="24">
        <f t="shared" si="26"/>
        <v>1</v>
      </c>
      <c r="J108" s="719"/>
      <c r="K108" s="24">
        <f t="shared" si="27"/>
        <v>1</v>
      </c>
      <c r="L108" s="719"/>
      <c r="M108" s="24">
        <f t="shared" si="28"/>
        <v>1</v>
      </c>
      <c r="N108" s="719"/>
      <c r="O108" s="24">
        <f t="shared" si="29"/>
        <v>1</v>
      </c>
      <c r="P108" s="719" t="s">
        <v>4108</v>
      </c>
      <c r="Q108" s="24">
        <f t="shared" si="30"/>
        <v>0.65</v>
      </c>
      <c r="R108" s="715">
        <f t="shared" ca="1" si="31"/>
        <v>16139</v>
      </c>
      <c r="S108" s="361">
        <f t="shared" ca="1" si="22"/>
        <v>111</v>
      </c>
    </row>
    <row r="109" spans="1:19">
      <c r="A109" s="717" t="str">
        <f>抵押物清单!C88</f>
        <v>2-263</v>
      </c>
      <c r="B109" s="717">
        <f>抵押物清单!E88</f>
        <v>68.83</v>
      </c>
      <c r="C109" s="24">
        <f t="shared" si="23"/>
        <v>1.02</v>
      </c>
      <c r="D109" s="719" t="s">
        <v>4049</v>
      </c>
      <c r="E109" s="24">
        <f t="shared" si="24"/>
        <v>0.95</v>
      </c>
      <c r="F109" s="719"/>
      <c r="G109" s="24">
        <f t="shared" si="25"/>
        <v>1</v>
      </c>
      <c r="H109" s="719"/>
      <c r="I109" s="24">
        <f t="shared" si="26"/>
        <v>1</v>
      </c>
      <c r="J109" s="719"/>
      <c r="K109" s="24">
        <f t="shared" si="27"/>
        <v>1</v>
      </c>
      <c r="L109" s="719"/>
      <c r="M109" s="24">
        <f t="shared" si="28"/>
        <v>1</v>
      </c>
      <c r="N109" s="719"/>
      <c r="O109" s="24">
        <f t="shared" si="29"/>
        <v>1</v>
      </c>
      <c r="P109" s="719" t="s">
        <v>4108</v>
      </c>
      <c r="Q109" s="24">
        <f t="shared" si="30"/>
        <v>0.65</v>
      </c>
      <c r="R109" s="715">
        <f t="shared" ca="1" si="31"/>
        <v>16139</v>
      </c>
      <c r="S109" s="361">
        <f t="shared" ca="1" si="22"/>
        <v>111</v>
      </c>
    </row>
    <row r="110" spans="1:19">
      <c r="A110" s="717" t="str">
        <f>抵押物清单!C89</f>
        <v>2-264</v>
      </c>
      <c r="B110" s="717">
        <f>抵押物清单!E89</f>
        <v>68.83</v>
      </c>
      <c r="C110" s="24">
        <f t="shared" si="23"/>
        <v>1.02</v>
      </c>
      <c r="D110" s="719" t="s">
        <v>4049</v>
      </c>
      <c r="E110" s="24">
        <f t="shared" si="24"/>
        <v>0.95</v>
      </c>
      <c r="F110" s="719"/>
      <c r="G110" s="24">
        <f t="shared" si="25"/>
        <v>1</v>
      </c>
      <c r="H110" s="719"/>
      <c r="I110" s="24">
        <f t="shared" si="26"/>
        <v>1</v>
      </c>
      <c r="J110" s="719"/>
      <c r="K110" s="24">
        <f t="shared" si="27"/>
        <v>1</v>
      </c>
      <c r="L110" s="719"/>
      <c r="M110" s="24">
        <f t="shared" si="28"/>
        <v>1</v>
      </c>
      <c r="N110" s="719"/>
      <c r="O110" s="24">
        <f t="shared" si="29"/>
        <v>1</v>
      </c>
      <c r="P110" s="719" t="s">
        <v>4108</v>
      </c>
      <c r="Q110" s="24">
        <f t="shared" si="30"/>
        <v>0.65</v>
      </c>
      <c r="R110" s="715">
        <f t="shared" ca="1" si="31"/>
        <v>16139</v>
      </c>
      <c r="S110" s="361">
        <f t="shared" ca="1" si="22"/>
        <v>111</v>
      </c>
    </row>
    <row r="111" spans="1:19">
      <c r="A111" s="717" t="str">
        <f>抵押物清单!C90</f>
        <v>2-265</v>
      </c>
      <c r="B111" s="717">
        <f>抵押物清单!E90</f>
        <v>68.83</v>
      </c>
      <c r="C111" s="24">
        <f t="shared" si="23"/>
        <v>1.02</v>
      </c>
      <c r="D111" s="719" t="s">
        <v>4049</v>
      </c>
      <c r="E111" s="24">
        <f t="shared" si="24"/>
        <v>0.95</v>
      </c>
      <c r="F111" s="719"/>
      <c r="G111" s="24">
        <f t="shared" si="25"/>
        <v>1</v>
      </c>
      <c r="H111" s="719"/>
      <c r="I111" s="24">
        <f t="shared" si="26"/>
        <v>1</v>
      </c>
      <c r="J111" s="719"/>
      <c r="K111" s="24">
        <f t="shared" si="27"/>
        <v>1</v>
      </c>
      <c r="L111" s="719"/>
      <c r="M111" s="24">
        <f t="shared" si="28"/>
        <v>1</v>
      </c>
      <c r="N111" s="719"/>
      <c r="O111" s="24">
        <f t="shared" si="29"/>
        <v>1</v>
      </c>
      <c r="P111" s="719" t="s">
        <v>4108</v>
      </c>
      <c r="Q111" s="24">
        <f t="shared" si="30"/>
        <v>0.65</v>
      </c>
      <c r="R111" s="715">
        <f t="shared" ca="1" si="31"/>
        <v>16139</v>
      </c>
      <c r="S111" s="361">
        <f t="shared" ca="1" si="22"/>
        <v>111</v>
      </c>
    </row>
    <row r="112" spans="1:19">
      <c r="A112" s="717" t="str">
        <f>抵押物清单!C91</f>
        <v>2-266</v>
      </c>
      <c r="B112" s="717">
        <f>抵押物清单!E91</f>
        <v>91.16</v>
      </c>
      <c r="C112" s="24">
        <f t="shared" si="23"/>
        <v>1.02</v>
      </c>
      <c r="D112" s="719" t="s">
        <v>4049</v>
      </c>
      <c r="E112" s="24">
        <f t="shared" si="24"/>
        <v>0.95</v>
      </c>
      <c r="F112" s="719"/>
      <c r="G112" s="24">
        <f t="shared" si="25"/>
        <v>1</v>
      </c>
      <c r="H112" s="719"/>
      <c r="I112" s="24">
        <f t="shared" si="26"/>
        <v>1</v>
      </c>
      <c r="J112" s="719"/>
      <c r="K112" s="24">
        <f t="shared" si="27"/>
        <v>1</v>
      </c>
      <c r="L112" s="719"/>
      <c r="M112" s="24">
        <f t="shared" si="28"/>
        <v>1</v>
      </c>
      <c r="N112" s="719"/>
      <c r="O112" s="24">
        <f t="shared" si="29"/>
        <v>1</v>
      </c>
      <c r="P112" s="719" t="s">
        <v>4108</v>
      </c>
      <c r="Q112" s="24">
        <f t="shared" si="30"/>
        <v>0.65</v>
      </c>
      <c r="R112" s="715">
        <f t="shared" ca="1" si="31"/>
        <v>16139</v>
      </c>
      <c r="S112" s="361">
        <f t="shared" ca="1" si="22"/>
        <v>147</v>
      </c>
    </row>
    <row r="113" spans="1:19">
      <c r="A113" s="717" t="str">
        <f>抵押物清单!C92</f>
        <v>2-267</v>
      </c>
      <c r="B113" s="717">
        <f>抵押物清单!E92</f>
        <v>46.65</v>
      </c>
      <c r="C113" s="24">
        <f t="shared" si="23"/>
        <v>1.04</v>
      </c>
      <c r="D113" s="719" t="s">
        <v>4049</v>
      </c>
      <c r="E113" s="24">
        <f t="shared" si="24"/>
        <v>0.95</v>
      </c>
      <c r="F113" s="719"/>
      <c r="G113" s="24">
        <f t="shared" si="25"/>
        <v>1</v>
      </c>
      <c r="H113" s="719"/>
      <c r="I113" s="24">
        <f t="shared" si="26"/>
        <v>1</v>
      </c>
      <c r="J113" s="719"/>
      <c r="K113" s="24">
        <f t="shared" si="27"/>
        <v>1</v>
      </c>
      <c r="L113" s="719"/>
      <c r="M113" s="24">
        <f t="shared" si="28"/>
        <v>1</v>
      </c>
      <c r="N113" s="719"/>
      <c r="O113" s="24">
        <f t="shared" si="29"/>
        <v>1</v>
      </c>
      <c r="P113" s="719" t="s">
        <v>4108</v>
      </c>
      <c r="Q113" s="24">
        <f t="shared" si="30"/>
        <v>0.65</v>
      </c>
      <c r="R113" s="715">
        <f t="shared" ca="1" si="31"/>
        <v>16455</v>
      </c>
      <c r="S113" s="361">
        <f t="shared" ca="1" si="22"/>
        <v>77</v>
      </c>
    </row>
    <row r="114" spans="1:19">
      <c r="A114" s="717" t="str">
        <f>抵押物清单!C93</f>
        <v>2-268</v>
      </c>
      <c r="B114" s="717">
        <f>抵押物清单!E93</f>
        <v>67.05</v>
      </c>
      <c r="C114" s="24">
        <f t="shared" si="23"/>
        <v>1.02</v>
      </c>
      <c r="D114" s="719" t="s">
        <v>4049</v>
      </c>
      <c r="E114" s="24">
        <f t="shared" si="24"/>
        <v>0.95</v>
      </c>
      <c r="F114" s="719"/>
      <c r="G114" s="24">
        <f t="shared" si="25"/>
        <v>1</v>
      </c>
      <c r="H114" s="719"/>
      <c r="I114" s="24">
        <f t="shared" si="26"/>
        <v>1</v>
      </c>
      <c r="J114" s="719"/>
      <c r="K114" s="24">
        <f t="shared" si="27"/>
        <v>1</v>
      </c>
      <c r="L114" s="719"/>
      <c r="M114" s="24">
        <f t="shared" si="28"/>
        <v>1</v>
      </c>
      <c r="N114" s="719"/>
      <c r="O114" s="24">
        <f t="shared" si="29"/>
        <v>1</v>
      </c>
      <c r="P114" s="719" t="s">
        <v>4108</v>
      </c>
      <c r="Q114" s="24">
        <f t="shared" si="30"/>
        <v>0.65</v>
      </c>
      <c r="R114" s="715">
        <f t="shared" ca="1" si="31"/>
        <v>16139</v>
      </c>
      <c r="S114" s="361">
        <f t="shared" ca="1" si="22"/>
        <v>108</v>
      </c>
    </row>
    <row r="115" spans="1:19">
      <c r="A115" s="717" t="str">
        <f>抵押物清单!C94</f>
        <v>2-269</v>
      </c>
      <c r="B115" s="717">
        <f>抵押物清单!E94</f>
        <v>20.82</v>
      </c>
      <c r="C115" s="24">
        <f t="shared" si="23"/>
        <v>1.04</v>
      </c>
      <c r="D115" s="719" t="s">
        <v>4049</v>
      </c>
      <c r="E115" s="24">
        <f t="shared" si="24"/>
        <v>0.95</v>
      </c>
      <c r="F115" s="719"/>
      <c r="G115" s="24">
        <f t="shared" si="25"/>
        <v>1</v>
      </c>
      <c r="H115" s="719"/>
      <c r="I115" s="24">
        <f t="shared" si="26"/>
        <v>1</v>
      </c>
      <c r="J115" s="719"/>
      <c r="K115" s="24">
        <f t="shared" si="27"/>
        <v>1</v>
      </c>
      <c r="L115" s="719"/>
      <c r="M115" s="24">
        <f t="shared" si="28"/>
        <v>1</v>
      </c>
      <c r="N115" s="719"/>
      <c r="O115" s="24">
        <f t="shared" si="29"/>
        <v>1</v>
      </c>
      <c r="P115" s="719" t="s">
        <v>4108</v>
      </c>
      <c r="Q115" s="24">
        <f t="shared" si="30"/>
        <v>0.65</v>
      </c>
      <c r="R115" s="715">
        <f t="shared" ca="1" si="31"/>
        <v>16455</v>
      </c>
      <c r="S115" s="361">
        <f t="shared" ca="1" si="22"/>
        <v>34</v>
      </c>
    </row>
    <row r="116" spans="1:19">
      <c r="A116" s="717" t="str">
        <f>抵押物清单!C95</f>
        <v>2-270</v>
      </c>
      <c r="B116" s="717">
        <f>抵押物清单!E95</f>
        <v>50.03</v>
      </c>
      <c r="C116" s="24">
        <f t="shared" si="23"/>
        <v>1.02</v>
      </c>
      <c r="D116" s="719" t="s">
        <v>4049</v>
      </c>
      <c r="E116" s="24">
        <f t="shared" si="24"/>
        <v>0.95</v>
      </c>
      <c r="F116" s="719"/>
      <c r="G116" s="24">
        <f t="shared" si="25"/>
        <v>1</v>
      </c>
      <c r="H116" s="719"/>
      <c r="I116" s="24">
        <f t="shared" si="26"/>
        <v>1</v>
      </c>
      <c r="J116" s="719"/>
      <c r="K116" s="24">
        <f t="shared" si="27"/>
        <v>1</v>
      </c>
      <c r="L116" s="719"/>
      <c r="M116" s="24">
        <f t="shared" si="28"/>
        <v>1</v>
      </c>
      <c r="N116" s="719"/>
      <c r="O116" s="24">
        <f t="shared" si="29"/>
        <v>1</v>
      </c>
      <c r="P116" s="719" t="s">
        <v>4108</v>
      </c>
      <c r="Q116" s="24">
        <f t="shared" si="30"/>
        <v>0.65</v>
      </c>
      <c r="R116" s="715">
        <f t="shared" ca="1" si="31"/>
        <v>16139</v>
      </c>
      <c r="S116" s="361">
        <f t="shared" ca="1" si="22"/>
        <v>81</v>
      </c>
    </row>
    <row r="117" spans="1:19">
      <c r="A117" s="717" t="str">
        <f>抵押物清单!C96</f>
        <v>2-301</v>
      </c>
      <c r="B117" s="717">
        <f>抵押物清单!E96</f>
        <v>157.99</v>
      </c>
      <c r="C117" s="24">
        <f t="shared" si="23"/>
        <v>1</v>
      </c>
      <c r="D117" s="719" t="s">
        <v>4049</v>
      </c>
      <c r="E117" s="24">
        <f t="shared" si="24"/>
        <v>0.95</v>
      </c>
      <c r="F117" s="719"/>
      <c r="G117" s="24">
        <f t="shared" si="25"/>
        <v>1</v>
      </c>
      <c r="H117" s="719"/>
      <c r="I117" s="24">
        <f t="shared" si="26"/>
        <v>1</v>
      </c>
      <c r="J117" s="719"/>
      <c r="K117" s="24">
        <f t="shared" si="27"/>
        <v>1</v>
      </c>
      <c r="L117" s="719"/>
      <c r="M117" s="24">
        <f t="shared" si="28"/>
        <v>1</v>
      </c>
      <c r="N117" s="719"/>
      <c r="O117" s="24">
        <f t="shared" si="29"/>
        <v>1</v>
      </c>
      <c r="P117" s="719" t="s">
        <v>4109</v>
      </c>
      <c r="Q117" s="24">
        <f t="shared" si="30"/>
        <v>0.55000000000000004</v>
      </c>
      <c r="R117" s="715">
        <f t="shared" ca="1" si="31"/>
        <v>13388</v>
      </c>
      <c r="S117" s="361">
        <f t="shared" ca="1" si="22"/>
        <v>212</v>
      </c>
    </row>
    <row r="118" spans="1:19">
      <c r="A118" s="717" t="str">
        <f>抵押物清单!C97</f>
        <v>2-303</v>
      </c>
      <c r="B118" s="717">
        <f>抵押物清单!E97</f>
        <v>174.18</v>
      </c>
      <c r="C118" s="24">
        <f t="shared" si="23"/>
        <v>1</v>
      </c>
      <c r="D118" s="719" t="s">
        <v>4049</v>
      </c>
      <c r="E118" s="24">
        <f t="shared" si="24"/>
        <v>0.95</v>
      </c>
      <c r="F118" s="719"/>
      <c r="G118" s="24">
        <f t="shared" si="25"/>
        <v>1</v>
      </c>
      <c r="H118" s="719"/>
      <c r="I118" s="24">
        <f t="shared" si="26"/>
        <v>1</v>
      </c>
      <c r="J118" s="719"/>
      <c r="K118" s="24">
        <f t="shared" si="27"/>
        <v>1</v>
      </c>
      <c r="L118" s="719"/>
      <c r="M118" s="24">
        <f t="shared" si="28"/>
        <v>1</v>
      </c>
      <c r="N118" s="719"/>
      <c r="O118" s="24">
        <f t="shared" si="29"/>
        <v>1</v>
      </c>
      <c r="P118" s="719" t="s">
        <v>4109</v>
      </c>
      <c r="Q118" s="24">
        <f t="shared" si="30"/>
        <v>0.55000000000000004</v>
      </c>
      <c r="R118" s="715">
        <f t="shared" ca="1" si="31"/>
        <v>13388</v>
      </c>
      <c r="S118" s="361">
        <f t="shared" ca="1" si="22"/>
        <v>233</v>
      </c>
    </row>
    <row r="119" spans="1:19">
      <c r="A119" s="717" t="str">
        <f>抵押物清单!C98</f>
        <v>2-305</v>
      </c>
      <c r="B119" s="717">
        <f>抵押物清单!E98</f>
        <v>150.51</v>
      </c>
      <c r="C119" s="24">
        <f t="shared" si="23"/>
        <v>1</v>
      </c>
      <c r="D119" s="719" t="s">
        <v>4049</v>
      </c>
      <c r="E119" s="24">
        <f t="shared" si="24"/>
        <v>0.95</v>
      </c>
      <c r="F119" s="719"/>
      <c r="G119" s="24">
        <f t="shared" si="25"/>
        <v>1</v>
      </c>
      <c r="H119" s="719"/>
      <c r="I119" s="24">
        <f t="shared" si="26"/>
        <v>1</v>
      </c>
      <c r="J119" s="719"/>
      <c r="K119" s="24">
        <f t="shared" si="27"/>
        <v>1</v>
      </c>
      <c r="L119" s="719"/>
      <c r="M119" s="24">
        <f t="shared" si="28"/>
        <v>1</v>
      </c>
      <c r="N119" s="719"/>
      <c r="O119" s="24">
        <f t="shared" si="29"/>
        <v>1</v>
      </c>
      <c r="P119" s="719" t="s">
        <v>4109</v>
      </c>
      <c r="Q119" s="24">
        <f t="shared" si="30"/>
        <v>0.55000000000000004</v>
      </c>
      <c r="R119" s="715">
        <f t="shared" ca="1" si="31"/>
        <v>13388</v>
      </c>
      <c r="S119" s="361">
        <f t="shared" ca="1" si="22"/>
        <v>202</v>
      </c>
    </row>
    <row r="120" spans="1:19">
      <c r="A120" s="717" t="str">
        <f>抵押物清单!C99</f>
        <v>2-307</v>
      </c>
      <c r="B120" s="717">
        <f>抵押物清单!E99</f>
        <v>180.66</v>
      </c>
      <c r="C120" s="24">
        <f t="shared" si="23"/>
        <v>1</v>
      </c>
      <c r="D120" s="719" t="s">
        <v>4049</v>
      </c>
      <c r="E120" s="24">
        <f t="shared" si="24"/>
        <v>0.95</v>
      </c>
      <c r="F120" s="719"/>
      <c r="G120" s="24">
        <f t="shared" si="25"/>
        <v>1</v>
      </c>
      <c r="H120" s="719"/>
      <c r="I120" s="24">
        <f t="shared" si="26"/>
        <v>1</v>
      </c>
      <c r="J120" s="719"/>
      <c r="K120" s="24">
        <f t="shared" si="27"/>
        <v>1</v>
      </c>
      <c r="L120" s="719"/>
      <c r="M120" s="24">
        <f t="shared" si="28"/>
        <v>1</v>
      </c>
      <c r="N120" s="719"/>
      <c r="O120" s="24">
        <f t="shared" si="29"/>
        <v>1</v>
      </c>
      <c r="P120" s="719" t="s">
        <v>4109</v>
      </c>
      <c r="Q120" s="24">
        <f t="shared" si="30"/>
        <v>0.55000000000000004</v>
      </c>
      <c r="R120" s="715">
        <f t="shared" ca="1" si="31"/>
        <v>13388</v>
      </c>
      <c r="S120" s="361">
        <f t="shared" ca="1" si="22"/>
        <v>242</v>
      </c>
    </row>
    <row r="121" spans="1:19">
      <c r="A121" s="717" t="str">
        <f>抵押物清单!C100</f>
        <v>2-308</v>
      </c>
      <c r="B121" s="717">
        <f>抵押物清单!E100</f>
        <v>157.85</v>
      </c>
      <c r="C121" s="24">
        <f t="shared" si="23"/>
        <v>1</v>
      </c>
      <c r="D121" s="719" t="s">
        <v>4049</v>
      </c>
      <c r="E121" s="24">
        <f t="shared" si="24"/>
        <v>0.95</v>
      </c>
      <c r="F121" s="719"/>
      <c r="G121" s="24">
        <f t="shared" si="25"/>
        <v>1</v>
      </c>
      <c r="H121" s="719"/>
      <c r="I121" s="24">
        <f t="shared" si="26"/>
        <v>1</v>
      </c>
      <c r="J121" s="719"/>
      <c r="K121" s="24">
        <f t="shared" si="27"/>
        <v>1</v>
      </c>
      <c r="L121" s="719"/>
      <c r="M121" s="24">
        <f t="shared" si="28"/>
        <v>1</v>
      </c>
      <c r="N121" s="719"/>
      <c r="O121" s="24">
        <f t="shared" si="29"/>
        <v>1</v>
      </c>
      <c r="P121" s="719" t="s">
        <v>4109</v>
      </c>
      <c r="Q121" s="24">
        <f t="shared" si="30"/>
        <v>0.55000000000000004</v>
      </c>
      <c r="R121" s="715">
        <f t="shared" ca="1" si="31"/>
        <v>13388</v>
      </c>
      <c r="S121" s="361">
        <f t="shared" ca="1" si="22"/>
        <v>211</v>
      </c>
    </row>
    <row r="122" spans="1:19">
      <c r="A122" s="717" t="str">
        <f>抵押物清单!C101</f>
        <v>2-312</v>
      </c>
      <c r="B122" s="717">
        <f>抵押物清单!E101</f>
        <v>159.61000000000001</v>
      </c>
      <c r="C122" s="24">
        <f t="shared" si="23"/>
        <v>1</v>
      </c>
      <c r="D122" s="719" t="s">
        <v>4049</v>
      </c>
      <c r="E122" s="24">
        <f t="shared" si="24"/>
        <v>0.95</v>
      </c>
      <c r="F122" s="719"/>
      <c r="G122" s="24">
        <f t="shared" si="25"/>
        <v>1</v>
      </c>
      <c r="H122" s="719"/>
      <c r="I122" s="24">
        <f t="shared" si="26"/>
        <v>1</v>
      </c>
      <c r="J122" s="719"/>
      <c r="K122" s="24">
        <f t="shared" si="27"/>
        <v>1</v>
      </c>
      <c r="L122" s="719"/>
      <c r="M122" s="24">
        <f t="shared" si="28"/>
        <v>1</v>
      </c>
      <c r="N122" s="719"/>
      <c r="O122" s="24">
        <f t="shared" si="29"/>
        <v>1</v>
      </c>
      <c r="P122" s="719" t="s">
        <v>4109</v>
      </c>
      <c r="Q122" s="24">
        <f t="shared" si="30"/>
        <v>0.55000000000000004</v>
      </c>
      <c r="R122" s="715">
        <f t="shared" ca="1" si="31"/>
        <v>13388</v>
      </c>
      <c r="S122" s="361">
        <f t="shared" ca="1" si="22"/>
        <v>214</v>
      </c>
    </row>
    <row r="123" spans="1:19">
      <c r="A123" s="717" t="str">
        <f>抵押物清单!C102</f>
        <v>2-313</v>
      </c>
      <c r="B123" s="717">
        <f>抵押物清单!E102</f>
        <v>169.84</v>
      </c>
      <c r="C123" s="24">
        <f t="shared" si="23"/>
        <v>1</v>
      </c>
      <c r="D123" s="719" t="s">
        <v>4049</v>
      </c>
      <c r="E123" s="24">
        <f t="shared" si="24"/>
        <v>0.95</v>
      </c>
      <c r="F123" s="719"/>
      <c r="G123" s="24">
        <f t="shared" si="25"/>
        <v>1</v>
      </c>
      <c r="H123" s="719"/>
      <c r="I123" s="24">
        <f t="shared" si="26"/>
        <v>1</v>
      </c>
      <c r="J123" s="719"/>
      <c r="K123" s="24">
        <f t="shared" si="27"/>
        <v>1</v>
      </c>
      <c r="L123" s="719"/>
      <c r="M123" s="24">
        <f t="shared" si="28"/>
        <v>1</v>
      </c>
      <c r="N123" s="719"/>
      <c r="O123" s="24">
        <f t="shared" si="29"/>
        <v>1</v>
      </c>
      <c r="P123" s="719" t="s">
        <v>4109</v>
      </c>
      <c r="Q123" s="24">
        <f t="shared" si="30"/>
        <v>0.55000000000000004</v>
      </c>
      <c r="R123" s="715">
        <f t="shared" ca="1" si="31"/>
        <v>13388</v>
      </c>
      <c r="S123" s="361">
        <f t="shared" ref="S123:S186" ca="1" si="32">ROUND(R123*B123/10000,0)</f>
        <v>227</v>
      </c>
    </row>
    <row r="124" spans="1:19">
      <c r="A124" s="717" t="str">
        <f>抵押物清单!C103</f>
        <v>2-314</v>
      </c>
      <c r="B124" s="717">
        <f>抵押物清单!E103</f>
        <v>208.47</v>
      </c>
      <c r="C124" s="24">
        <f t="shared" si="23"/>
        <v>0.98</v>
      </c>
      <c r="D124" s="719" t="s">
        <v>4049</v>
      </c>
      <c r="E124" s="24">
        <f t="shared" si="24"/>
        <v>0.95</v>
      </c>
      <c r="F124" s="719"/>
      <c r="G124" s="24">
        <f t="shared" si="25"/>
        <v>1</v>
      </c>
      <c r="H124" s="719"/>
      <c r="I124" s="24">
        <f t="shared" si="26"/>
        <v>1</v>
      </c>
      <c r="J124" s="719"/>
      <c r="K124" s="24">
        <f t="shared" si="27"/>
        <v>1</v>
      </c>
      <c r="L124" s="719"/>
      <c r="M124" s="24">
        <f t="shared" si="28"/>
        <v>1</v>
      </c>
      <c r="N124" s="719"/>
      <c r="O124" s="24">
        <f t="shared" si="29"/>
        <v>1</v>
      </c>
      <c r="P124" s="719" t="s">
        <v>4109</v>
      </c>
      <c r="Q124" s="24">
        <f t="shared" si="30"/>
        <v>0.55000000000000004</v>
      </c>
      <c r="R124" s="715">
        <f t="shared" ca="1" si="31"/>
        <v>13120</v>
      </c>
      <c r="S124" s="361">
        <f t="shared" ca="1" si="32"/>
        <v>274</v>
      </c>
    </row>
    <row r="125" spans="1:19">
      <c r="A125" s="717" t="str">
        <f>抵押物清单!C104</f>
        <v>2-315</v>
      </c>
      <c r="B125" s="717">
        <f>抵押物清单!E104</f>
        <v>204.81</v>
      </c>
      <c r="C125" s="24">
        <f t="shared" si="23"/>
        <v>0.98</v>
      </c>
      <c r="D125" s="719" t="s">
        <v>4049</v>
      </c>
      <c r="E125" s="24">
        <f t="shared" si="24"/>
        <v>0.95</v>
      </c>
      <c r="F125" s="719"/>
      <c r="G125" s="24">
        <f t="shared" si="25"/>
        <v>1</v>
      </c>
      <c r="H125" s="719"/>
      <c r="I125" s="24">
        <f t="shared" si="26"/>
        <v>1</v>
      </c>
      <c r="J125" s="719"/>
      <c r="K125" s="24">
        <f t="shared" si="27"/>
        <v>1</v>
      </c>
      <c r="L125" s="719"/>
      <c r="M125" s="24">
        <f t="shared" si="28"/>
        <v>1</v>
      </c>
      <c r="N125" s="719"/>
      <c r="O125" s="24">
        <f t="shared" si="29"/>
        <v>1</v>
      </c>
      <c r="P125" s="719" t="s">
        <v>4109</v>
      </c>
      <c r="Q125" s="24">
        <f t="shared" si="30"/>
        <v>0.55000000000000004</v>
      </c>
      <c r="R125" s="715">
        <f t="shared" ca="1" si="31"/>
        <v>13120</v>
      </c>
      <c r="S125" s="361">
        <f t="shared" ca="1" si="32"/>
        <v>269</v>
      </c>
    </row>
    <row r="126" spans="1:19">
      <c r="A126" s="717" t="str">
        <f>抵押物清单!C105</f>
        <v>2-316</v>
      </c>
      <c r="B126" s="717">
        <f>抵押物清单!E105</f>
        <v>176.08</v>
      </c>
      <c r="C126" s="24">
        <f t="shared" si="23"/>
        <v>1</v>
      </c>
      <c r="D126" s="719" t="s">
        <v>4049</v>
      </c>
      <c r="E126" s="24">
        <f t="shared" si="24"/>
        <v>0.95</v>
      </c>
      <c r="F126" s="719"/>
      <c r="G126" s="24">
        <f t="shared" si="25"/>
        <v>1</v>
      </c>
      <c r="H126" s="719"/>
      <c r="I126" s="24">
        <f t="shared" si="26"/>
        <v>1</v>
      </c>
      <c r="J126" s="719"/>
      <c r="K126" s="24">
        <f t="shared" si="27"/>
        <v>1</v>
      </c>
      <c r="L126" s="719"/>
      <c r="M126" s="24">
        <f t="shared" si="28"/>
        <v>1</v>
      </c>
      <c r="N126" s="719"/>
      <c r="O126" s="24">
        <f t="shared" si="29"/>
        <v>1</v>
      </c>
      <c r="P126" s="719" t="s">
        <v>4109</v>
      </c>
      <c r="Q126" s="24">
        <f t="shared" si="30"/>
        <v>0.55000000000000004</v>
      </c>
      <c r="R126" s="715">
        <f t="shared" ca="1" si="31"/>
        <v>13388</v>
      </c>
      <c r="S126" s="361">
        <f t="shared" ca="1" si="32"/>
        <v>236</v>
      </c>
    </row>
    <row r="127" spans="1:19">
      <c r="A127" s="717" t="str">
        <f>抵押物清单!C106</f>
        <v>2-317</v>
      </c>
      <c r="B127" s="717">
        <f>抵押物清单!E106</f>
        <v>179.28</v>
      </c>
      <c r="C127" s="24">
        <f t="shared" si="23"/>
        <v>1</v>
      </c>
      <c r="D127" s="719" t="s">
        <v>4049</v>
      </c>
      <c r="E127" s="24">
        <f t="shared" si="24"/>
        <v>0.95</v>
      </c>
      <c r="F127" s="719"/>
      <c r="G127" s="24">
        <f t="shared" si="25"/>
        <v>1</v>
      </c>
      <c r="H127" s="719"/>
      <c r="I127" s="24">
        <f t="shared" si="26"/>
        <v>1</v>
      </c>
      <c r="J127" s="719"/>
      <c r="K127" s="24">
        <f t="shared" si="27"/>
        <v>1</v>
      </c>
      <c r="L127" s="719"/>
      <c r="M127" s="24">
        <f t="shared" si="28"/>
        <v>1</v>
      </c>
      <c r="N127" s="719"/>
      <c r="O127" s="24">
        <f t="shared" si="29"/>
        <v>1</v>
      </c>
      <c r="P127" s="719" t="s">
        <v>4109</v>
      </c>
      <c r="Q127" s="24">
        <f t="shared" si="30"/>
        <v>0.55000000000000004</v>
      </c>
      <c r="R127" s="715">
        <f t="shared" ca="1" si="31"/>
        <v>13388</v>
      </c>
      <c r="S127" s="361">
        <f t="shared" ca="1" si="32"/>
        <v>240</v>
      </c>
    </row>
    <row r="128" spans="1:19">
      <c r="A128" s="717" t="str">
        <f>抵押物清单!C107</f>
        <v>2-318</v>
      </c>
      <c r="B128" s="717">
        <f>抵押物清单!E107</f>
        <v>92.72</v>
      </c>
      <c r="C128" s="24">
        <f t="shared" si="23"/>
        <v>1.02</v>
      </c>
      <c r="D128" s="719" t="s">
        <v>4049</v>
      </c>
      <c r="E128" s="24">
        <f t="shared" si="24"/>
        <v>0.95</v>
      </c>
      <c r="F128" s="719"/>
      <c r="G128" s="24">
        <f t="shared" si="25"/>
        <v>1</v>
      </c>
      <c r="H128" s="719"/>
      <c r="I128" s="24">
        <f t="shared" si="26"/>
        <v>1</v>
      </c>
      <c r="J128" s="719"/>
      <c r="K128" s="24">
        <f t="shared" si="27"/>
        <v>1</v>
      </c>
      <c r="L128" s="719"/>
      <c r="M128" s="24">
        <f t="shared" si="28"/>
        <v>1</v>
      </c>
      <c r="N128" s="719"/>
      <c r="O128" s="24">
        <f t="shared" si="29"/>
        <v>1</v>
      </c>
      <c r="P128" s="719" t="s">
        <v>4109</v>
      </c>
      <c r="Q128" s="24">
        <f t="shared" si="30"/>
        <v>0.55000000000000004</v>
      </c>
      <c r="R128" s="715">
        <f t="shared" ca="1" si="31"/>
        <v>13656</v>
      </c>
      <c r="S128" s="361">
        <f t="shared" ca="1" si="32"/>
        <v>127</v>
      </c>
    </row>
    <row r="129" spans="1:19">
      <c r="A129" s="717" t="str">
        <f>抵押物清单!C108</f>
        <v>2-319</v>
      </c>
      <c r="B129" s="717">
        <f>抵押物清单!E108</f>
        <v>92.13</v>
      </c>
      <c r="C129" s="24">
        <f t="shared" si="23"/>
        <v>1.02</v>
      </c>
      <c r="D129" s="719" t="s">
        <v>4049</v>
      </c>
      <c r="E129" s="24">
        <f t="shared" si="24"/>
        <v>0.95</v>
      </c>
      <c r="F129" s="719"/>
      <c r="G129" s="24">
        <f t="shared" si="25"/>
        <v>1</v>
      </c>
      <c r="H129" s="719"/>
      <c r="I129" s="24">
        <f t="shared" si="26"/>
        <v>1</v>
      </c>
      <c r="J129" s="719"/>
      <c r="K129" s="24">
        <f t="shared" si="27"/>
        <v>1</v>
      </c>
      <c r="L129" s="719"/>
      <c r="M129" s="24">
        <f t="shared" si="28"/>
        <v>1</v>
      </c>
      <c r="N129" s="719"/>
      <c r="O129" s="24">
        <f t="shared" si="29"/>
        <v>1</v>
      </c>
      <c r="P129" s="719" t="s">
        <v>4109</v>
      </c>
      <c r="Q129" s="24">
        <f t="shared" si="30"/>
        <v>0.55000000000000004</v>
      </c>
      <c r="R129" s="715">
        <f t="shared" ca="1" si="31"/>
        <v>13656</v>
      </c>
      <c r="S129" s="361">
        <f t="shared" ca="1" si="32"/>
        <v>126</v>
      </c>
    </row>
    <row r="130" spans="1:19">
      <c r="A130" s="717" t="str">
        <f>抵押物清单!C109</f>
        <v>2-320</v>
      </c>
      <c r="B130" s="717">
        <f>抵押物清单!E109</f>
        <v>49.28</v>
      </c>
      <c r="C130" s="24">
        <f t="shared" si="23"/>
        <v>1.04</v>
      </c>
      <c r="D130" s="719" t="s">
        <v>4049</v>
      </c>
      <c r="E130" s="24">
        <f t="shared" si="24"/>
        <v>0.95</v>
      </c>
      <c r="F130" s="719"/>
      <c r="G130" s="24">
        <f t="shared" si="25"/>
        <v>1</v>
      </c>
      <c r="H130" s="719"/>
      <c r="I130" s="24">
        <f t="shared" si="26"/>
        <v>1</v>
      </c>
      <c r="J130" s="719"/>
      <c r="K130" s="24">
        <f t="shared" si="27"/>
        <v>1</v>
      </c>
      <c r="L130" s="719"/>
      <c r="M130" s="24">
        <f t="shared" si="28"/>
        <v>1</v>
      </c>
      <c r="N130" s="719"/>
      <c r="O130" s="24">
        <f t="shared" si="29"/>
        <v>1</v>
      </c>
      <c r="P130" s="719" t="s">
        <v>4109</v>
      </c>
      <c r="Q130" s="24">
        <f t="shared" si="30"/>
        <v>0.55000000000000004</v>
      </c>
      <c r="R130" s="715">
        <f t="shared" ca="1" si="31"/>
        <v>13924</v>
      </c>
      <c r="S130" s="361">
        <f t="shared" ca="1" si="32"/>
        <v>69</v>
      </c>
    </row>
    <row r="131" spans="1:19">
      <c r="A131" s="717" t="str">
        <f>抵押物清单!C110</f>
        <v>2-321</v>
      </c>
      <c r="B131" s="717">
        <f>抵押物清单!E110</f>
        <v>64.680000000000007</v>
      </c>
      <c r="C131" s="24">
        <f t="shared" si="23"/>
        <v>1.02</v>
      </c>
      <c r="D131" s="719" t="s">
        <v>4049</v>
      </c>
      <c r="E131" s="24">
        <f t="shared" si="24"/>
        <v>0.95</v>
      </c>
      <c r="F131" s="719"/>
      <c r="G131" s="24">
        <f t="shared" si="25"/>
        <v>1</v>
      </c>
      <c r="H131" s="719"/>
      <c r="I131" s="24">
        <f t="shared" si="26"/>
        <v>1</v>
      </c>
      <c r="J131" s="719"/>
      <c r="K131" s="24">
        <f t="shared" si="27"/>
        <v>1</v>
      </c>
      <c r="L131" s="719"/>
      <c r="M131" s="24">
        <f t="shared" si="28"/>
        <v>1</v>
      </c>
      <c r="N131" s="719"/>
      <c r="O131" s="24">
        <f t="shared" si="29"/>
        <v>1</v>
      </c>
      <c r="P131" s="719" t="s">
        <v>4109</v>
      </c>
      <c r="Q131" s="24">
        <f t="shared" si="30"/>
        <v>0.55000000000000004</v>
      </c>
      <c r="R131" s="715">
        <f t="shared" ca="1" si="31"/>
        <v>13656</v>
      </c>
      <c r="S131" s="361">
        <f t="shared" ca="1" si="32"/>
        <v>88</v>
      </c>
    </row>
    <row r="132" spans="1:19">
      <c r="A132" s="717" t="str">
        <f>抵押物清单!C111</f>
        <v>2-327</v>
      </c>
      <c r="B132" s="717">
        <f>抵押物清单!E111</f>
        <v>108.11</v>
      </c>
      <c r="C132" s="24">
        <f t="shared" si="23"/>
        <v>1</v>
      </c>
      <c r="D132" s="719" t="s">
        <v>4049</v>
      </c>
      <c r="E132" s="24">
        <f t="shared" si="24"/>
        <v>0.95</v>
      </c>
      <c r="F132" s="719"/>
      <c r="G132" s="24">
        <f t="shared" si="25"/>
        <v>1</v>
      </c>
      <c r="H132" s="719"/>
      <c r="I132" s="24">
        <f t="shared" si="26"/>
        <v>1</v>
      </c>
      <c r="J132" s="719"/>
      <c r="K132" s="24">
        <f t="shared" si="27"/>
        <v>1</v>
      </c>
      <c r="L132" s="719"/>
      <c r="M132" s="24">
        <f t="shared" si="28"/>
        <v>1</v>
      </c>
      <c r="N132" s="719"/>
      <c r="O132" s="24">
        <f t="shared" si="29"/>
        <v>1</v>
      </c>
      <c r="P132" s="719" t="s">
        <v>4109</v>
      </c>
      <c r="Q132" s="24">
        <f t="shared" si="30"/>
        <v>0.55000000000000004</v>
      </c>
      <c r="R132" s="715">
        <f t="shared" ca="1" si="31"/>
        <v>13388</v>
      </c>
      <c r="S132" s="361">
        <f t="shared" ca="1" si="32"/>
        <v>145</v>
      </c>
    </row>
    <row r="133" spans="1:19">
      <c r="A133" s="717" t="str">
        <f>抵押物清单!C112</f>
        <v>2-328</v>
      </c>
      <c r="B133" s="717">
        <f>抵押物清单!E112</f>
        <v>121.89</v>
      </c>
      <c r="C133" s="24">
        <f t="shared" si="23"/>
        <v>1</v>
      </c>
      <c r="D133" s="719" t="s">
        <v>4049</v>
      </c>
      <c r="E133" s="24">
        <f t="shared" si="24"/>
        <v>0.95</v>
      </c>
      <c r="F133" s="719"/>
      <c r="G133" s="24">
        <f t="shared" si="25"/>
        <v>1</v>
      </c>
      <c r="H133" s="719"/>
      <c r="I133" s="24">
        <f t="shared" si="26"/>
        <v>1</v>
      </c>
      <c r="J133" s="719"/>
      <c r="K133" s="24">
        <f t="shared" si="27"/>
        <v>1</v>
      </c>
      <c r="L133" s="719"/>
      <c r="M133" s="24">
        <f t="shared" si="28"/>
        <v>1</v>
      </c>
      <c r="N133" s="719"/>
      <c r="O133" s="24">
        <f t="shared" si="29"/>
        <v>1</v>
      </c>
      <c r="P133" s="719" t="s">
        <v>4109</v>
      </c>
      <c r="Q133" s="24">
        <f t="shared" si="30"/>
        <v>0.55000000000000004</v>
      </c>
      <c r="R133" s="715">
        <f t="shared" ca="1" si="31"/>
        <v>13388</v>
      </c>
      <c r="S133" s="361">
        <f t="shared" ca="1" si="32"/>
        <v>163</v>
      </c>
    </row>
    <row r="134" spans="1:19">
      <c r="A134" s="717" t="str">
        <f>抵押物清单!C113</f>
        <v>2-329</v>
      </c>
      <c r="B134" s="717">
        <f>抵押物清单!E113</f>
        <v>149.75</v>
      </c>
      <c r="C134" s="24">
        <f t="shared" si="23"/>
        <v>1</v>
      </c>
      <c r="D134" s="719" t="s">
        <v>4049</v>
      </c>
      <c r="E134" s="24">
        <f t="shared" si="24"/>
        <v>0.95</v>
      </c>
      <c r="F134" s="719"/>
      <c r="G134" s="24">
        <f t="shared" si="25"/>
        <v>1</v>
      </c>
      <c r="H134" s="719"/>
      <c r="I134" s="24">
        <f t="shared" si="26"/>
        <v>1</v>
      </c>
      <c r="J134" s="719"/>
      <c r="K134" s="24">
        <f t="shared" si="27"/>
        <v>1</v>
      </c>
      <c r="L134" s="719"/>
      <c r="M134" s="24">
        <f t="shared" si="28"/>
        <v>1</v>
      </c>
      <c r="N134" s="719"/>
      <c r="O134" s="24">
        <f t="shared" si="29"/>
        <v>1</v>
      </c>
      <c r="P134" s="719" t="s">
        <v>4109</v>
      </c>
      <c r="Q134" s="24">
        <f t="shared" si="30"/>
        <v>0.55000000000000004</v>
      </c>
      <c r="R134" s="715">
        <f t="shared" ca="1" si="31"/>
        <v>13388</v>
      </c>
      <c r="S134" s="361">
        <f t="shared" ca="1" si="32"/>
        <v>200</v>
      </c>
    </row>
    <row r="135" spans="1:19">
      <c r="A135" s="717" t="str">
        <f>抵押物清单!C114</f>
        <v>2-330</v>
      </c>
      <c r="B135" s="717">
        <f>抵押物清单!E114</f>
        <v>106.96</v>
      </c>
      <c r="C135" s="24">
        <f t="shared" si="23"/>
        <v>1</v>
      </c>
      <c r="D135" s="719" t="s">
        <v>4049</v>
      </c>
      <c r="E135" s="24">
        <f t="shared" si="24"/>
        <v>0.95</v>
      </c>
      <c r="F135" s="719"/>
      <c r="G135" s="24">
        <f t="shared" si="25"/>
        <v>1</v>
      </c>
      <c r="H135" s="719"/>
      <c r="I135" s="24">
        <f t="shared" si="26"/>
        <v>1</v>
      </c>
      <c r="J135" s="719"/>
      <c r="K135" s="24">
        <f t="shared" si="27"/>
        <v>1</v>
      </c>
      <c r="L135" s="719"/>
      <c r="M135" s="24">
        <f t="shared" si="28"/>
        <v>1</v>
      </c>
      <c r="N135" s="719"/>
      <c r="O135" s="24">
        <f t="shared" si="29"/>
        <v>1</v>
      </c>
      <c r="P135" s="719" t="s">
        <v>4109</v>
      </c>
      <c r="Q135" s="24">
        <f t="shared" si="30"/>
        <v>0.55000000000000004</v>
      </c>
      <c r="R135" s="715">
        <f t="shared" ca="1" si="31"/>
        <v>13388</v>
      </c>
      <c r="S135" s="361">
        <f t="shared" ca="1" si="32"/>
        <v>143</v>
      </c>
    </row>
    <row r="136" spans="1:19">
      <c r="A136" s="717" t="str">
        <f>抵押物清单!C115</f>
        <v>2-331</v>
      </c>
      <c r="B136" s="717">
        <f>抵押物清单!E115</f>
        <v>257.85000000000002</v>
      </c>
      <c r="C136" s="24">
        <f t="shared" si="23"/>
        <v>0.98</v>
      </c>
      <c r="D136" s="719" t="s">
        <v>4049</v>
      </c>
      <c r="E136" s="24">
        <f t="shared" si="24"/>
        <v>0.95</v>
      </c>
      <c r="F136" s="719"/>
      <c r="G136" s="24">
        <f t="shared" si="25"/>
        <v>1</v>
      </c>
      <c r="H136" s="719"/>
      <c r="I136" s="24">
        <f t="shared" si="26"/>
        <v>1</v>
      </c>
      <c r="J136" s="719"/>
      <c r="K136" s="24">
        <f t="shared" si="27"/>
        <v>1</v>
      </c>
      <c r="L136" s="719"/>
      <c r="M136" s="24">
        <f t="shared" si="28"/>
        <v>1</v>
      </c>
      <c r="N136" s="719"/>
      <c r="O136" s="24">
        <f t="shared" si="29"/>
        <v>1</v>
      </c>
      <c r="P136" s="719" t="s">
        <v>4109</v>
      </c>
      <c r="Q136" s="24">
        <f t="shared" si="30"/>
        <v>0.55000000000000004</v>
      </c>
      <c r="R136" s="715">
        <f t="shared" ca="1" si="31"/>
        <v>13120</v>
      </c>
      <c r="S136" s="361">
        <f t="shared" ca="1" si="32"/>
        <v>338</v>
      </c>
    </row>
    <row r="137" spans="1:19">
      <c r="A137" s="717" t="str">
        <f>抵押物清单!C116</f>
        <v>2-332</v>
      </c>
      <c r="B137" s="717">
        <f>抵押物清单!E116</f>
        <v>108.25</v>
      </c>
      <c r="C137" s="24">
        <f t="shared" si="23"/>
        <v>1</v>
      </c>
      <c r="D137" s="719" t="s">
        <v>4049</v>
      </c>
      <c r="E137" s="24">
        <f t="shared" si="24"/>
        <v>0.95</v>
      </c>
      <c r="F137" s="719"/>
      <c r="G137" s="24">
        <f t="shared" si="25"/>
        <v>1</v>
      </c>
      <c r="H137" s="719"/>
      <c r="I137" s="24">
        <f t="shared" si="26"/>
        <v>1</v>
      </c>
      <c r="J137" s="719"/>
      <c r="K137" s="24">
        <f t="shared" si="27"/>
        <v>1</v>
      </c>
      <c r="L137" s="719"/>
      <c r="M137" s="24">
        <f t="shared" si="28"/>
        <v>1</v>
      </c>
      <c r="N137" s="719"/>
      <c r="O137" s="24">
        <f t="shared" si="29"/>
        <v>1</v>
      </c>
      <c r="P137" s="719" t="s">
        <v>4109</v>
      </c>
      <c r="Q137" s="24">
        <f t="shared" si="30"/>
        <v>0.55000000000000004</v>
      </c>
      <c r="R137" s="715">
        <f t="shared" ca="1" si="31"/>
        <v>13388</v>
      </c>
      <c r="S137" s="361">
        <f t="shared" ca="1" si="32"/>
        <v>145</v>
      </c>
    </row>
    <row r="138" spans="1:19">
      <c r="A138" s="717" t="str">
        <f>抵押物清单!C118</f>
        <v>3-133</v>
      </c>
      <c r="B138" s="717">
        <f>抵押物清单!E118</f>
        <v>39.33</v>
      </c>
      <c r="C138" s="24">
        <f t="shared" si="23"/>
        <v>1.04</v>
      </c>
      <c r="D138" s="719" t="s">
        <v>4049</v>
      </c>
      <c r="E138" s="24">
        <f t="shared" si="24"/>
        <v>0.95</v>
      </c>
      <c r="F138" s="719"/>
      <c r="G138" s="24">
        <f t="shared" si="25"/>
        <v>1</v>
      </c>
      <c r="H138" s="719"/>
      <c r="I138" s="24">
        <f t="shared" si="26"/>
        <v>1</v>
      </c>
      <c r="J138" s="719"/>
      <c r="K138" s="24">
        <f t="shared" si="27"/>
        <v>1</v>
      </c>
      <c r="L138" s="719"/>
      <c r="M138" s="24">
        <f t="shared" si="28"/>
        <v>1</v>
      </c>
      <c r="N138" s="719"/>
      <c r="O138" s="24">
        <f t="shared" si="29"/>
        <v>1</v>
      </c>
      <c r="P138" s="719" t="s">
        <v>4023</v>
      </c>
      <c r="Q138" s="24">
        <f t="shared" si="30"/>
        <v>1</v>
      </c>
      <c r="R138" s="715">
        <f t="shared" ca="1" si="31"/>
        <v>25316</v>
      </c>
      <c r="S138" s="361">
        <f t="shared" ca="1" si="32"/>
        <v>100</v>
      </c>
    </row>
    <row r="139" spans="1:19">
      <c r="A139" s="717" t="str">
        <f>抵押物清单!C119</f>
        <v>3-139</v>
      </c>
      <c r="B139" s="717">
        <f>抵押物清单!E119</f>
        <v>68.8</v>
      </c>
      <c r="C139" s="24">
        <f t="shared" si="23"/>
        <v>1.02</v>
      </c>
      <c r="D139" s="719" t="s">
        <v>4049</v>
      </c>
      <c r="E139" s="24">
        <f t="shared" si="24"/>
        <v>0.95</v>
      </c>
      <c r="F139" s="719"/>
      <c r="G139" s="24">
        <f t="shared" si="25"/>
        <v>1</v>
      </c>
      <c r="H139" s="719"/>
      <c r="I139" s="24">
        <f t="shared" si="26"/>
        <v>1</v>
      </c>
      <c r="J139" s="719"/>
      <c r="K139" s="24">
        <f t="shared" si="27"/>
        <v>1</v>
      </c>
      <c r="L139" s="719"/>
      <c r="M139" s="24">
        <f t="shared" si="28"/>
        <v>1</v>
      </c>
      <c r="N139" s="719"/>
      <c r="O139" s="24">
        <f t="shared" si="29"/>
        <v>1</v>
      </c>
      <c r="P139" s="719" t="s">
        <v>4023</v>
      </c>
      <c r="Q139" s="24">
        <f t="shared" si="30"/>
        <v>1</v>
      </c>
      <c r="R139" s="715">
        <f t="shared" ca="1" si="31"/>
        <v>24829</v>
      </c>
      <c r="S139" s="361">
        <f t="shared" ca="1" si="32"/>
        <v>171</v>
      </c>
    </row>
    <row r="140" spans="1:19">
      <c r="A140" s="717" t="str">
        <f>抵押物清单!C120</f>
        <v>3-143</v>
      </c>
      <c r="B140" s="717">
        <f>抵押物清单!E120</f>
        <v>59.77</v>
      </c>
      <c r="C140" s="24">
        <f t="shared" si="23"/>
        <v>1.02</v>
      </c>
      <c r="D140" s="719" t="s">
        <v>4049</v>
      </c>
      <c r="E140" s="24">
        <f t="shared" si="24"/>
        <v>0.95</v>
      </c>
      <c r="F140" s="719"/>
      <c r="G140" s="24">
        <f t="shared" si="25"/>
        <v>1</v>
      </c>
      <c r="H140" s="719"/>
      <c r="I140" s="24">
        <f t="shared" si="26"/>
        <v>1</v>
      </c>
      <c r="J140" s="719"/>
      <c r="K140" s="24">
        <f t="shared" si="27"/>
        <v>1</v>
      </c>
      <c r="L140" s="719"/>
      <c r="M140" s="24">
        <f t="shared" si="28"/>
        <v>1</v>
      </c>
      <c r="N140" s="719"/>
      <c r="O140" s="24">
        <f t="shared" si="29"/>
        <v>1</v>
      </c>
      <c r="P140" s="719" t="s">
        <v>4023</v>
      </c>
      <c r="Q140" s="24">
        <f t="shared" si="30"/>
        <v>1</v>
      </c>
      <c r="R140" s="715">
        <f t="shared" ca="1" si="31"/>
        <v>24829</v>
      </c>
      <c r="S140" s="361">
        <f t="shared" ca="1" si="32"/>
        <v>148</v>
      </c>
    </row>
    <row r="141" spans="1:19">
      <c r="A141" s="717" t="str">
        <f>抵押物清单!C121</f>
        <v>3-146</v>
      </c>
      <c r="B141" s="717">
        <f>抵押物清单!E121</f>
        <v>46.66</v>
      </c>
      <c r="C141" s="24">
        <f t="shared" si="23"/>
        <v>1.04</v>
      </c>
      <c r="D141" s="719" t="s">
        <v>4049</v>
      </c>
      <c r="E141" s="24">
        <f t="shared" si="24"/>
        <v>0.95</v>
      </c>
      <c r="F141" s="719"/>
      <c r="G141" s="24">
        <f t="shared" si="25"/>
        <v>1</v>
      </c>
      <c r="H141" s="719"/>
      <c r="I141" s="24">
        <f t="shared" si="26"/>
        <v>1</v>
      </c>
      <c r="J141" s="719"/>
      <c r="K141" s="24">
        <f t="shared" si="27"/>
        <v>1</v>
      </c>
      <c r="L141" s="719"/>
      <c r="M141" s="24">
        <f t="shared" si="28"/>
        <v>1</v>
      </c>
      <c r="N141" s="719"/>
      <c r="O141" s="24">
        <f t="shared" si="29"/>
        <v>1</v>
      </c>
      <c r="P141" s="719" t="s">
        <v>4023</v>
      </c>
      <c r="Q141" s="24">
        <f t="shared" si="30"/>
        <v>1</v>
      </c>
      <c r="R141" s="715">
        <f t="shared" ca="1" si="31"/>
        <v>25316</v>
      </c>
      <c r="S141" s="361">
        <f t="shared" ca="1" si="32"/>
        <v>118</v>
      </c>
    </row>
    <row r="142" spans="1:19">
      <c r="A142" s="717" t="str">
        <f>抵押物清单!C122</f>
        <v>3-147</v>
      </c>
      <c r="B142" s="717">
        <f>抵押物清单!E122</f>
        <v>58.62</v>
      </c>
      <c r="C142" s="24">
        <f t="shared" si="23"/>
        <v>1.02</v>
      </c>
      <c r="D142" s="719" t="s">
        <v>4049</v>
      </c>
      <c r="E142" s="24">
        <f t="shared" si="24"/>
        <v>0.95</v>
      </c>
      <c r="F142" s="719"/>
      <c r="G142" s="24">
        <f t="shared" si="25"/>
        <v>1</v>
      </c>
      <c r="H142" s="719"/>
      <c r="I142" s="24">
        <f t="shared" si="26"/>
        <v>1</v>
      </c>
      <c r="J142" s="719"/>
      <c r="K142" s="24">
        <f t="shared" si="27"/>
        <v>1</v>
      </c>
      <c r="L142" s="719"/>
      <c r="M142" s="24">
        <f t="shared" si="28"/>
        <v>1</v>
      </c>
      <c r="N142" s="719"/>
      <c r="O142" s="24">
        <f t="shared" si="29"/>
        <v>1</v>
      </c>
      <c r="P142" s="719" t="s">
        <v>4023</v>
      </c>
      <c r="Q142" s="24">
        <f t="shared" si="30"/>
        <v>1</v>
      </c>
      <c r="R142" s="715">
        <f t="shared" ca="1" si="31"/>
        <v>24829</v>
      </c>
      <c r="S142" s="361">
        <f t="shared" ca="1" si="32"/>
        <v>146</v>
      </c>
    </row>
    <row r="143" spans="1:19">
      <c r="A143" s="717" t="str">
        <f>抵押物清单!C123</f>
        <v>3-155</v>
      </c>
      <c r="B143" s="717">
        <f>抵押物清单!E123</f>
        <v>95.61</v>
      </c>
      <c r="C143" s="24">
        <f t="shared" si="23"/>
        <v>1.02</v>
      </c>
      <c r="D143" s="719" t="s">
        <v>4049</v>
      </c>
      <c r="E143" s="24">
        <f t="shared" si="24"/>
        <v>0.95</v>
      </c>
      <c r="F143" s="719"/>
      <c r="G143" s="24">
        <f t="shared" si="25"/>
        <v>1</v>
      </c>
      <c r="H143" s="719"/>
      <c r="I143" s="24">
        <f t="shared" si="26"/>
        <v>1</v>
      </c>
      <c r="J143" s="719"/>
      <c r="K143" s="24">
        <f t="shared" si="27"/>
        <v>1</v>
      </c>
      <c r="L143" s="719"/>
      <c r="M143" s="24">
        <f t="shared" si="28"/>
        <v>1</v>
      </c>
      <c r="N143" s="719"/>
      <c r="O143" s="24">
        <f t="shared" si="29"/>
        <v>1</v>
      </c>
      <c r="P143" s="719" t="s">
        <v>4023</v>
      </c>
      <c r="Q143" s="24">
        <f t="shared" si="30"/>
        <v>1</v>
      </c>
      <c r="R143" s="715">
        <f t="shared" ca="1" si="31"/>
        <v>24829</v>
      </c>
      <c r="S143" s="361">
        <f t="shared" ca="1" si="32"/>
        <v>237</v>
      </c>
    </row>
    <row r="144" spans="1:19">
      <c r="A144" s="717" t="str">
        <f>抵押物清单!C124</f>
        <v>3-166</v>
      </c>
      <c r="B144" s="717">
        <f>抵押物清单!E124</f>
        <v>56.11</v>
      </c>
      <c r="C144" s="24">
        <f t="shared" si="23"/>
        <v>1.02</v>
      </c>
      <c r="D144" s="719" t="s">
        <v>4049</v>
      </c>
      <c r="E144" s="24">
        <f t="shared" si="24"/>
        <v>0.95</v>
      </c>
      <c r="F144" s="719"/>
      <c r="G144" s="24">
        <f t="shared" si="25"/>
        <v>1</v>
      </c>
      <c r="H144" s="719"/>
      <c r="I144" s="24">
        <f t="shared" si="26"/>
        <v>1</v>
      </c>
      <c r="J144" s="719"/>
      <c r="K144" s="24">
        <f t="shared" si="27"/>
        <v>1</v>
      </c>
      <c r="L144" s="719"/>
      <c r="M144" s="24">
        <f t="shared" si="28"/>
        <v>1</v>
      </c>
      <c r="N144" s="719"/>
      <c r="O144" s="24">
        <f t="shared" si="29"/>
        <v>1</v>
      </c>
      <c r="P144" s="719" t="s">
        <v>4023</v>
      </c>
      <c r="Q144" s="24">
        <f t="shared" si="30"/>
        <v>1</v>
      </c>
      <c r="R144" s="715">
        <f t="shared" ca="1" si="31"/>
        <v>24829</v>
      </c>
      <c r="S144" s="361">
        <f t="shared" ca="1" si="32"/>
        <v>139</v>
      </c>
    </row>
    <row r="145" spans="1:19">
      <c r="A145" s="717" t="str">
        <f>抵押物清单!C125</f>
        <v>3-167</v>
      </c>
      <c r="B145" s="717">
        <f>抵押物清单!E125</f>
        <v>56.11</v>
      </c>
      <c r="C145" s="24">
        <f t="shared" si="23"/>
        <v>1.02</v>
      </c>
      <c r="D145" s="719" t="s">
        <v>4049</v>
      </c>
      <c r="E145" s="24">
        <f t="shared" si="24"/>
        <v>0.95</v>
      </c>
      <c r="F145" s="719"/>
      <c r="G145" s="24">
        <f t="shared" si="25"/>
        <v>1</v>
      </c>
      <c r="H145" s="719"/>
      <c r="I145" s="24">
        <f t="shared" si="26"/>
        <v>1</v>
      </c>
      <c r="J145" s="719"/>
      <c r="K145" s="24">
        <f t="shared" si="27"/>
        <v>1</v>
      </c>
      <c r="L145" s="719"/>
      <c r="M145" s="24">
        <f t="shared" si="28"/>
        <v>1</v>
      </c>
      <c r="N145" s="719"/>
      <c r="O145" s="24">
        <f t="shared" si="29"/>
        <v>1</v>
      </c>
      <c r="P145" s="719" t="s">
        <v>4023</v>
      </c>
      <c r="Q145" s="24">
        <f t="shared" si="30"/>
        <v>1</v>
      </c>
      <c r="R145" s="715">
        <f t="shared" ca="1" si="31"/>
        <v>24829</v>
      </c>
      <c r="S145" s="361">
        <f t="shared" ca="1" si="32"/>
        <v>139</v>
      </c>
    </row>
    <row r="146" spans="1:19">
      <c r="A146" s="717" t="str">
        <f>抵押物清单!C126</f>
        <v>3-168</v>
      </c>
      <c r="B146" s="717">
        <f>抵押物清单!E126</f>
        <v>56.11</v>
      </c>
      <c r="C146" s="24">
        <f t="shared" si="23"/>
        <v>1.02</v>
      </c>
      <c r="D146" s="719" t="s">
        <v>4049</v>
      </c>
      <c r="E146" s="24">
        <f t="shared" si="24"/>
        <v>0.95</v>
      </c>
      <c r="F146" s="719"/>
      <c r="G146" s="24">
        <f t="shared" si="25"/>
        <v>1</v>
      </c>
      <c r="H146" s="719"/>
      <c r="I146" s="24">
        <f t="shared" si="26"/>
        <v>1</v>
      </c>
      <c r="J146" s="719"/>
      <c r="K146" s="24">
        <f t="shared" si="27"/>
        <v>1</v>
      </c>
      <c r="L146" s="719"/>
      <c r="M146" s="24">
        <f t="shared" si="28"/>
        <v>1</v>
      </c>
      <c r="N146" s="719"/>
      <c r="O146" s="24">
        <f t="shared" si="29"/>
        <v>1</v>
      </c>
      <c r="P146" s="719" t="s">
        <v>4023</v>
      </c>
      <c r="Q146" s="24">
        <f t="shared" si="30"/>
        <v>1</v>
      </c>
      <c r="R146" s="715">
        <f t="shared" ca="1" si="31"/>
        <v>24829</v>
      </c>
      <c r="S146" s="361">
        <f t="shared" ca="1" si="32"/>
        <v>139</v>
      </c>
    </row>
    <row r="147" spans="1:19">
      <c r="A147" s="717" t="str">
        <f>抵押物清单!C127</f>
        <v>3-169</v>
      </c>
      <c r="B147" s="717">
        <f>抵押物清单!E127</f>
        <v>82.1</v>
      </c>
      <c r="C147" s="24">
        <f t="shared" si="23"/>
        <v>1.02</v>
      </c>
      <c r="D147" s="719" t="s">
        <v>4049</v>
      </c>
      <c r="E147" s="24">
        <f t="shared" si="24"/>
        <v>0.95</v>
      </c>
      <c r="F147" s="719"/>
      <c r="G147" s="24">
        <f t="shared" si="25"/>
        <v>1</v>
      </c>
      <c r="H147" s="719"/>
      <c r="I147" s="24">
        <f t="shared" si="26"/>
        <v>1</v>
      </c>
      <c r="J147" s="719"/>
      <c r="K147" s="24">
        <f t="shared" si="27"/>
        <v>1</v>
      </c>
      <c r="L147" s="719"/>
      <c r="M147" s="24">
        <f t="shared" si="28"/>
        <v>1</v>
      </c>
      <c r="N147" s="719"/>
      <c r="O147" s="24">
        <f t="shared" si="29"/>
        <v>1</v>
      </c>
      <c r="P147" s="719" t="s">
        <v>4023</v>
      </c>
      <c r="Q147" s="24">
        <f t="shared" si="30"/>
        <v>1</v>
      </c>
      <c r="R147" s="715">
        <f t="shared" ca="1" si="31"/>
        <v>24829</v>
      </c>
      <c r="S147" s="361">
        <f t="shared" ca="1" si="32"/>
        <v>204</v>
      </c>
    </row>
    <row r="148" spans="1:19">
      <c r="A148" s="717" t="str">
        <f>抵押物清单!C128</f>
        <v>3-170</v>
      </c>
      <c r="B148" s="717">
        <f>抵押物清单!E128</f>
        <v>80.31</v>
      </c>
      <c r="C148" s="24">
        <f t="shared" si="23"/>
        <v>1.02</v>
      </c>
      <c r="D148" s="719" t="s">
        <v>4049</v>
      </c>
      <c r="E148" s="24">
        <f t="shared" si="24"/>
        <v>0.95</v>
      </c>
      <c r="F148" s="719"/>
      <c r="G148" s="24">
        <f t="shared" si="25"/>
        <v>1</v>
      </c>
      <c r="H148" s="719"/>
      <c r="I148" s="24">
        <f t="shared" si="26"/>
        <v>1</v>
      </c>
      <c r="J148" s="719"/>
      <c r="K148" s="24">
        <f t="shared" si="27"/>
        <v>1</v>
      </c>
      <c r="L148" s="719"/>
      <c r="M148" s="24">
        <f t="shared" si="28"/>
        <v>1</v>
      </c>
      <c r="N148" s="719"/>
      <c r="O148" s="24">
        <f t="shared" si="29"/>
        <v>1</v>
      </c>
      <c r="P148" s="719" t="s">
        <v>4023</v>
      </c>
      <c r="Q148" s="24">
        <f t="shared" si="30"/>
        <v>1</v>
      </c>
      <c r="R148" s="715">
        <f t="shared" ca="1" si="31"/>
        <v>24829</v>
      </c>
      <c r="S148" s="361">
        <f t="shared" ca="1" si="32"/>
        <v>199</v>
      </c>
    </row>
    <row r="149" spans="1:19">
      <c r="A149" s="717" t="str">
        <f>抵押物清单!C129</f>
        <v>3-172</v>
      </c>
      <c r="B149" s="717">
        <f>抵押物清单!E129</f>
        <v>48.49</v>
      </c>
      <c r="C149" s="24">
        <f t="shared" si="23"/>
        <v>1.04</v>
      </c>
      <c r="D149" s="719" t="s">
        <v>4049</v>
      </c>
      <c r="E149" s="24">
        <f t="shared" si="24"/>
        <v>0.95</v>
      </c>
      <c r="F149" s="719"/>
      <c r="G149" s="24">
        <f t="shared" si="25"/>
        <v>1</v>
      </c>
      <c r="H149" s="719"/>
      <c r="I149" s="24">
        <f t="shared" si="26"/>
        <v>1</v>
      </c>
      <c r="J149" s="719"/>
      <c r="K149" s="24">
        <f t="shared" si="27"/>
        <v>1</v>
      </c>
      <c r="L149" s="719"/>
      <c r="M149" s="24">
        <f t="shared" si="28"/>
        <v>1</v>
      </c>
      <c r="N149" s="719"/>
      <c r="O149" s="24">
        <f t="shared" si="29"/>
        <v>1</v>
      </c>
      <c r="P149" s="719" t="s">
        <v>4023</v>
      </c>
      <c r="Q149" s="24">
        <f t="shared" si="30"/>
        <v>1</v>
      </c>
      <c r="R149" s="715">
        <f t="shared" ca="1" si="31"/>
        <v>25316</v>
      </c>
      <c r="S149" s="361">
        <f t="shared" ca="1" si="32"/>
        <v>123</v>
      </c>
    </row>
    <row r="150" spans="1:19">
      <c r="A150" s="717" t="str">
        <f>抵押物清单!C130</f>
        <v>3-176</v>
      </c>
      <c r="B150" s="717">
        <f>抵押物清单!E130</f>
        <v>52.36</v>
      </c>
      <c r="C150" s="24">
        <f t="shared" si="23"/>
        <v>1.02</v>
      </c>
      <c r="D150" s="719" t="s">
        <v>4049</v>
      </c>
      <c r="E150" s="24">
        <f t="shared" si="24"/>
        <v>0.95</v>
      </c>
      <c r="F150" s="719"/>
      <c r="G150" s="24">
        <f t="shared" si="25"/>
        <v>1</v>
      </c>
      <c r="H150" s="719"/>
      <c r="I150" s="24">
        <f t="shared" si="26"/>
        <v>1</v>
      </c>
      <c r="J150" s="719"/>
      <c r="K150" s="24">
        <f t="shared" si="27"/>
        <v>1</v>
      </c>
      <c r="L150" s="719"/>
      <c r="M150" s="24">
        <f t="shared" si="28"/>
        <v>1</v>
      </c>
      <c r="N150" s="719"/>
      <c r="O150" s="24">
        <f t="shared" si="29"/>
        <v>1</v>
      </c>
      <c r="P150" s="719" t="s">
        <v>4023</v>
      </c>
      <c r="Q150" s="24">
        <f t="shared" si="30"/>
        <v>1</v>
      </c>
      <c r="R150" s="715">
        <f t="shared" ca="1" si="31"/>
        <v>24829</v>
      </c>
      <c r="S150" s="361">
        <f t="shared" ca="1" si="32"/>
        <v>130</v>
      </c>
    </row>
    <row r="151" spans="1:19">
      <c r="A151" s="717" t="str">
        <f>抵押物清单!C131</f>
        <v>3-180</v>
      </c>
      <c r="B151" s="717">
        <f>抵押物清单!E131</f>
        <v>58.96</v>
      </c>
      <c r="C151" s="24">
        <f t="shared" si="23"/>
        <v>1.02</v>
      </c>
      <c r="D151" s="719" t="s">
        <v>4049</v>
      </c>
      <c r="E151" s="24">
        <f t="shared" si="24"/>
        <v>0.95</v>
      </c>
      <c r="F151" s="719"/>
      <c r="G151" s="24">
        <f t="shared" si="25"/>
        <v>1</v>
      </c>
      <c r="H151" s="719"/>
      <c r="I151" s="24">
        <f t="shared" si="26"/>
        <v>1</v>
      </c>
      <c r="J151" s="719"/>
      <c r="K151" s="24">
        <f t="shared" si="27"/>
        <v>1</v>
      </c>
      <c r="L151" s="719"/>
      <c r="M151" s="24">
        <f t="shared" si="28"/>
        <v>1</v>
      </c>
      <c r="N151" s="719"/>
      <c r="O151" s="24">
        <f t="shared" si="29"/>
        <v>1</v>
      </c>
      <c r="P151" s="719" t="s">
        <v>4023</v>
      </c>
      <c r="Q151" s="24">
        <f t="shared" si="30"/>
        <v>1</v>
      </c>
      <c r="R151" s="715">
        <f t="shared" ca="1" si="31"/>
        <v>24829</v>
      </c>
      <c r="S151" s="361">
        <f t="shared" ca="1" si="32"/>
        <v>146</v>
      </c>
    </row>
    <row r="152" spans="1:19">
      <c r="A152" s="717" t="str">
        <f>抵押物清单!C132</f>
        <v>3-201</v>
      </c>
      <c r="B152" s="717">
        <f>抵押物清单!E132</f>
        <v>234.81</v>
      </c>
      <c r="C152" s="24">
        <f t="shared" si="23"/>
        <v>0.98</v>
      </c>
      <c r="D152" s="719" t="s">
        <v>4049</v>
      </c>
      <c r="E152" s="24">
        <f t="shared" si="24"/>
        <v>0.95</v>
      </c>
      <c r="F152" s="719"/>
      <c r="G152" s="24">
        <f t="shared" si="25"/>
        <v>1</v>
      </c>
      <c r="H152" s="719"/>
      <c r="I152" s="24">
        <f t="shared" si="26"/>
        <v>1</v>
      </c>
      <c r="J152" s="719"/>
      <c r="K152" s="24">
        <f t="shared" si="27"/>
        <v>1</v>
      </c>
      <c r="L152" s="719"/>
      <c r="M152" s="24">
        <f t="shared" si="28"/>
        <v>1</v>
      </c>
      <c r="N152" s="719"/>
      <c r="O152" s="24">
        <f t="shared" si="29"/>
        <v>1</v>
      </c>
      <c r="P152" s="719" t="s">
        <v>4108</v>
      </c>
      <c r="Q152" s="24">
        <f t="shared" si="30"/>
        <v>0.65</v>
      </c>
      <c r="R152" s="715">
        <f t="shared" ca="1" si="31"/>
        <v>15506</v>
      </c>
      <c r="S152" s="361">
        <f t="shared" ca="1" si="32"/>
        <v>364</v>
      </c>
    </row>
    <row r="153" spans="1:19">
      <c r="A153" s="717" t="str">
        <f>抵押物清单!C133</f>
        <v>3-213</v>
      </c>
      <c r="B153" s="717">
        <f>抵押物清单!E133</f>
        <v>377.65</v>
      </c>
      <c r="C153" s="24">
        <f t="shared" si="23"/>
        <v>0.98</v>
      </c>
      <c r="D153" s="719" t="s">
        <v>4049</v>
      </c>
      <c r="E153" s="24">
        <f t="shared" si="24"/>
        <v>0.95</v>
      </c>
      <c r="F153" s="719"/>
      <c r="G153" s="24">
        <f t="shared" si="25"/>
        <v>1</v>
      </c>
      <c r="H153" s="719"/>
      <c r="I153" s="24">
        <f t="shared" si="26"/>
        <v>1</v>
      </c>
      <c r="J153" s="719"/>
      <c r="K153" s="24">
        <f t="shared" si="27"/>
        <v>1</v>
      </c>
      <c r="L153" s="719"/>
      <c r="M153" s="24">
        <f t="shared" si="28"/>
        <v>1</v>
      </c>
      <c r="N153" s="719"/>
      <c r="O153" s="24">
        <f t="shared" si="29"/>
        <v>1</v>
      </c>
      <c r="P153" s="719" t="s">
        <v>4108</v>
      </c>
      <c r="Q153" s="24">
        <f t="shared" si="30"/>
        <v>0.65</v>
      </c>
      <c r="R153" s="715">
        <f t="shared" ca="1" si="31"/>
        <v>15506</v>
      </c>
      <c r="S153" s="361">
        <f t="shared" ca="1" si="32"/>
        <v>586</v>
      </c>
    </row>
    <row r="154" spans="1:19">
      <c r="A154" s="717" t="str">
        <f>抵押物清单!C134</f>
        <v>3-224</v>
      </c>
      <c r="B154" s="717">
        <f>抵押物清单!E134</f>
        <v>51.26</v>
      </c>
      <c r="C154" s="24">
        <f t="shared" ref="C154:C217" si="33">IF(B154="",1,(LOOKUP(B154,$3:$3,$4:$4)-LOOKUP($B$24,$3:$3,$4:$4)+100)/100)</f>
        <v>1.02</v>
      </c>
      <c r="D154" s="719" t="s">
        <v>4049</v>
      </c>
      <c r="E154" s="24">
        <f t="shared" ref="E154:E217" si="34">(SUMIF($5:$5,D154,$6:$6)-SUMIF($5:$5,$D$24,$6:$6)+100)/100</f>
        <v>0.95</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4108</v>
      </c>
      <c r="Q154" s="24">
        <f t="shared" ref="Q154:Q217" si="40">(SUMIF($17:$17,P154,$18:$18)-SUMIF($17:$17,$P$24,$18:$18)+100)/100</f>
        <v>0.65</v>
      </c>
      <c r="R154" s="715">
        <f t="shared" ref="R154:R217" ca="1" si="41">IF(B154="",0,ROUND($R$24*C154*E154*G154*I154*K154*M154*O154*Q154,0))</f>
        <v>16139</v>
      </c>
      <c r="S154" s="361">
        <f t="shared" ca="1" si="32"/>
        <v>83</v>
      </c>
    </row>
    <row r="155" spans="1:19">
      <c r="A155" s="717" t="str">
        <f>抵押物清单!C135</f>
        <v>3-225</v>
      </c>
      <c r="B155" s="717">
        <f>抵押物清单!E135</f>
        <v>48.93</v>
      </c>
      <c r="C155" s="24">
        <f t="shared" si="33"/>
        <v>1.04</v>
      </c>
      <c r="D155" s="719" t="s">
        <v>4049</v>
      </c>
      <c r="E155" s="24">
        <f t="shared" si="34"/>
        <v>0.95</v>
      </c>
      <c r="F155" s="719"/>
      <c r="G155" s="24">
        <f t="shared" si="35"/>
        <v>1</v>
      </c>
      <c r="H155" s="719"/>
      <c r="I155" s="24">
        <f t="shared" si="36"/>
        <v>1</v>
      </c>
      <c r="J155" s="719"/>
      <c r="K155" s="24">
        <f t="shared" si="37"/>
        <v>1</v>
      </c>
      <c r="L155" s="719"/>
      <c r="M155" s="24">
        <f t="shared" si="38"/>
        <v>1</v>
      </c>
      <c r="N155" s="719"/>
      <c r="O155" s="24">
        <f t="shared" si="39"/>
        <v>1</v>
      </c>
      <c r="P155" s="719" t="s">
        <v>4108</v>
      </c>
      <c r="Q155" s="24">
        <f t="shared" si="40"/>
        <v>0.65</v>
      </c>
      <c r="R155" s="715">
        <f t="shared" ca="1" si="41"/>
        <v>16455</v>
      </c>
      <c r="S155" s="361">
        <f t="shared" ca="1" si="32"/>
        <v>81</v>
      </c>
    </row>
    <row r="156" spans="1:19">
      <c r="A156" s="717" t="str">
        <f>抵押物清单!C136</f>
        <v>3-226</v>
      </c>
      <c r="B156" s="717">
        <f>抵押物清单!E136</f>
        <v>48.93</v>
      </c>
      <c r="C156" s="24">
        <f t="shared" si="33"/>
        <v>1.04</v>
      </c>
      <c r="D156" s="719" t="s">
        <v>4049</v>
      </c>
      <c r="E156" s="24">
        <f t="shared" si="34"/>
        <v>0.95</v>
      </c>
      <c r="F156" s="719"/>
      <c r="G156" s="24">
        <f t="shared" si="35"/>
        <v>1</v>
      </c>
      <c r="H156" s="719"/>
      <c r="I156" s="24">
        <f t="shared" si="36"/>
        <v>1</v>
      </c>
      <c r="J156" s="719"/>
      <c r="K156" s="24">
        <f t="shared" si="37"/>
        <v>1</v>
      </c>
      <c r="L156" s="719"/>
      <c r="M156" s="24">
        <f t="shared" si="38"/>
        <v>1</v>
      </c>
      <c r="N156" s="719"/>
      <c r="O156" s="24">
        <f t="shared" si="39"/>
        <v>1</v>
      </c>
      <c r="P156" s="719" t="s">
        <v>4108</v>
      </c>
      <c r="Q156" s="24">
        <f t="shared" si="40"/>
        <v>0.65</v>
      </c>
      <c r="R156" s="715">
        <f t="shared" ca="1" si="41"/>
        <v>16455</v>
      </c>
      <c r="S156" s="361">
        <f t="shared" ca="1" si="32"/>
        <v>81</v>
      </c>
    </row>
    <row r="157" spans="1:19">
      <c r="A157" s="717" t="str">
        <f>抵押物清单!C137</f>
        <v>3-227</v>
      </c>
      <c r="B157" s="717">
        <f>抵押物清单!E137</f>
        <v>48.93</v>
      </c>
      <c r="C157" s="24">
        <f t="shared" si="33"/>
        <v>1.04</v>
      </c>
      <c r="D157" s="719" t="s">
        <v>4049</v>
      </c>
      <c r="E157" s="24">
        <f t="shared" si="34"/>
        <v>0.95</v>
      </c>
      <c r="F157" s="719"/>
      <c r="G157" s="24">
        <f t="shared" si="35"/>
        <v>1</v>
      </c>
      <c r="H157" s="719"/>
      <c r="I157" s="24">
        <f t="shared" si="36"/>
        <v>1</v>
      </c>
      <c r="J157" s="719"/>
      <c r="K157" s="24">
        <f t="shared" si="37"/>
        <v>1</v>
      </c>
      <c r="L157" s="719"/>
      <c r="M157" s="24">
        <f t="shared" si="38"/>
        <v>1</v>
      </c>
      <c r="N157" s="719"/>
      <c r="O157" s="24">
        <f t="shared" si="39"/>
        <v>1</v>
      </c>
      <c r="P157" s="719" t="s">
        <v>4108</v>
      </c>
      <c r="Q157" s="24">
        <f t="shared" si="40"/>
        <v>0.65</v>
      </c>
      <c r="R157" s="715">
        <f t="shared" ca="1" si="41"/>
        <v>16455</v>
      </c>
      <c r="S157" s="361">
        <f t="shared" ca="1" si="32"/>
        <v>81</v>
      </c>
    </row>
    <row r="158" spans="1:19">
      <c r="A158" s="717" t="str">
        <f>抵押物清单!C138</f>
        <v>3-228</v>
      </c>
      <c r="B158" s="717">
        <f>抵押物清单!E138</f>
        <v>48.93</v>
      </c>
      <c r="C158" s="24">
        <f t="shared" si="33"/>
        <v>1.04</v>
      </c>
      <c r="D158" s="719" t="s">
        <v>4049</v>
      </c>
      <c r="E158" s="24">
        <f t="shared" si="34"/>
        <v>0.95</v>
      </c>
      <c r="F158" s="719"/>
      <c r="G158" s="24">
        <f t="shared" si="35"/>
        <v>1</v>
      </c>
      <c r="H158" s="719"/>
      <c r="I158" s="24">
        <f t="shared" si="36"/>
        <v>1</v>
      </c>
      <c r="J158" s="719"/>
      <c r="K158" s="24">
        <f t="shared" si="37"/>
        <v>1</v>
      </c>
      <c r="L158" s="719"/>
      <c r="M158" s="24">
        <f t="shared" si="38"/>
        <v>1</v>
      </c>
      <c r="N158" s="719"/>
      <c r="O158" s="24">
        <f t="shared" si="39"/>
        <v>1</v>
      </c>
      <c r="P158" s="719" t="s">
        <v>4108</v>
      </c>
      <c r="Q158" s="24">
        <f t="shared" si="40"/>
        <v>0.65</v>
      </c>
      <c r="R158" s="715">
        <f t="shared" ca="1" si="41"/>
        <v>16455</v>
      </c>
      <c r="S158" s="361">
        <f t="shared" ca="1" si="32"/>
        <v>81</v>
      </c>
    </row>
    <row r="159" spans="1:19">
      <c r="A159" s="717" t="str">
        <f>抵押物清单!C139</f>
        <v>3-229</v>
      </c>
      <c r="B159" s="717">
        <f>抵押物清单!E139</f>
        <v>48.93</v>
      </c>
      <c r="C159" s="24">
        <f t="shared" si="33"/>
        <v>1.04</v>
      </c>
      <c r="D159" s="719" t="s">
        <v>4049</v>
      </c>
      <c r="E159" s="24">
        <f t="shared" si="34"/>
        <v>0.95</v>
      </c>
      <c r="F159" s="719"/>
      <c r="G159" s="24">
        <f t="shared" si="35"/>
        <v>1</v>
      </c>
      <c r="H159" s="719"/>
      <c r="I159" s="24">
        <f t="shared" si="36"/>
        <v>1</v>
      </c>
      <c r="J159" s="719"/>
      <c r="K159" s="24">
        <f t="shared" si="37"/>
        <v>1</v>
      </c>
      <c r="L159" s="719"/>
      <c r="M159" s="24">
        <f t="shared" si="38"/>
        <v>1</v>
      </c>
      <c r="N159" s="719"/>
      <c r="O159" s="24">
        <f t="shared" si="39"/>
        <v>1</v>
      </c>
      <c r="P159" s="719" t="s">
        <v>4108</v>
      </c>
      <c r="Q159" s="24">
        <f t="shared" si="40"/>
        <v>0.65</v>
      </c>
      <c r="R159" s="715">
        <f t="shared" ca="1" si="41"/>
        <v>16455</v>
      </c>
      <c r="S159" s="361">
        <f t="shared" ca="1" si="32"/>
        <v>81</v>
      </c>
    </row>
    <row r="160" spans="1:19">
      <c r="A160" s="717" t="str">
        <f>抵押物清单!C140</f>
        <v>3-230</v>
      </c>
      <c r="B160" s="717">
        <f>抵押物清单!E140</f>
        <v>48.93</v>
      </c>
      <c r="C160" s="24">
        <f t="shared" si="33"/>
        <v>1.04</v>
      </c>
      <c r="D160" s="719" t="s">
        <v>4049</v>
      </c>
      <c r="E160" s="24">
        <f t="shared" si="34"/>
        <v>0.95</v>
      </c>
      <c r="F160" s="719"/>
      <c r="G160" s="24">
        <f t="shared" si="35"/>
        <v>1</v>
      </c>
      <c r="H160" s="719"/>
      <c r="I160" s="24">
        <f t="shared" si="36"/>
        <v>1</v>
      </c>
      <c r="J160" s="719"/>
      <c r="K160" s="24">
        <f t="shared" si="37"/>
        <v>1</v>
      </c>
      <c r="L160" s="719"/>
      <c r="M160" s="24">
        <f t="shared" si="38"/>
        <v>1</v>
      </c>
      <c r="N160" s="719"/>
      <c r="O160" s="24">
        <f t="shared" si="39"/>
        <v>1</v>
      </c>
      <c r="P160" s="719" t="s">
        <v>4108</v>
      </c>
      <c r="Q160" s="24">
        <f t="shared" si="40"/>
        <v>0.65</v>
      </c>
      <c r="R160" s="715">
        <f t="shared" ca="1" si="41"/>
        <v>16455</v>
      </c>
      <c r="S160" s="361">
        <f t="shared" ca="1" si="32"/>
        <v>81</v>
      </c>
    </row>
    <row r="161" spans="1:19">
      <c r="A161" s="717" t="str">
        <f>抵押物清单!C141</f>
        <v>3-231</v>
      </c>
      <c r="B161" s="717">
        <f>抵押物清单!E141</f>
        <v>61.67</v>
      </c>
      <c r="C161" s="24">
        <f t="shared" si="33"/>
        <v>1.02</v>
      </c>
      <c r="D161" s="719" t="s">
        <v>4049</v>
      </c>
      <c r="E161" s="24">
        <f t="shared" si="34"/>
        <v>0.95</v>
      </c>
      <c r="F161" s="719"/>
      <c r="G161" s="24">
        <f t="shared" si="35"/>
        <v>1</v>
      </c>
      <c r="H161" s="719"/>
      <c r="I161" s="24">
        <f t="shared" si="36"/>
        <v>1</v>
      </c>
      <c r="J161" s="719"/>
      <c r="K161" s="24">
        <f t="shared" si="37"/>
        <v>1</v>
      </c>
      <c r="L161" s="719"/>
      <c r="M161" s="24">
        <f t="shared" si="38"/>
        <v>1</v>
      </c>
      <c r="N161" s="719"/>
      <c r="O161" s="24">
        <f t="shared" si="39"/>
        <v>1</v>
      </c>
      <c r="P161" s="719" t="s">
        <v>4108</v>
      </c>
      <c r="Q161" s="24">
        <f t="shared" si="40"/>
        <v>0.65</v>
      </c>
      <c r="R161" s="715">
        <f t="shared" ca="1" si="41"/>
        <v>16139</v>
      </c>
      <c r="S161" s="361">
        <f t="shared" ca="1" si="32"/>
        <v>100</v>
      </c>
    </row>
    <row r="162" spans="1:19">
      <c r="A162" s="717" t="str">
        <f>抵押物清单!C142</f>
        <v>3-232</v>
      </c>
      <c r="B162" s="717">
        <f>抵押物清单!E142</f>
        <v>26.02</v>
      </c>
      <c r="C162" s="24">
        <f t="shared" si="33"/>
        <v>1.04</v>
      </c>
      <c r="D162" s="719" t="s">
        <v>4049</v>
      </c>
      <c r="E162" s="24">
        <f t="shared" si="34"/>
        <v>0.95</v>
      </c>
      <c r="F162" s="719"/>
      <c r="G162" s="24">
        <f t="shared" si="35"/>
        <v>1</v>
      </c>
      <c r="H162" s="719"/>
      <c r="I162" s="24">
        <f t="shared" si="36"/>
        <v>1</v>
      </c>
      <c r="J162" s="719"/>
      <c r="K162" s="24">
        <f t="shared" si="37"/>
        <v>1</v>
      </c>
      <c r="L162" s="719"/>
      <c r="M162" s="24">
        <f t="shared" si="38"/>
        <v>1</v>
      </c>
      <c r="N162" s="719"/>
      <c r="O162" s="24">
        <f t="shared" si="39"/>
        <v>1</v>
      </c>
      <c r="P162" s="719" t="s">
        <v>4108</v>
      </c>
      <c r="Q162" s="24">
        <f t="shared" si="40"/>
        <v>0.65</v>
      </c>
      <c r="R162" s="715">
        <f t="shared" ca="1" si="41"/>
        <v>16455</v>
      </c>
      <c r="S162" s="361">
        <f t="shared" ca="1" si="32"/>
        <v>43</v>
      </c>
    </row>
    <row r="163" spans="1:19">
      <c r="A163" s="717" t="str">
        <f>抵押物清单!C143</f>
        <v>3-233</v>
      </c>
      <c r="B163" s="717">
        <f>抵押物清单!E143</f>
        <v>26.34</v>
      </c>
      <c r="C163" s="24">
        <f t="shared" si="33"/>
        <v>1.04</v>
      </c>
      <c r="D163" s="719" t="s">
        <v>4049</v>
      </c>
      <c r="E163" s="24">
        <f t="shared" si="34"/>
        <v>0.95</v>
      </c>
      <c r="F163" s="719"/>
      <c r="G163" s="24">
        <f t="shared" si="35"/>
        <v>1</v>
      </c>
      <c r="H163" s="719"/>
      <c r="I163" s="24">
        <f t="shared" si="36"/>
        <v>1</v>
      </c>
      <c r="J163" s="719"/>
      <c r="K163" s="24">
        <f t="shared" si="37"/>
        <v>1</v>
      </c>
      <c r="L163" s="719"/>
      <c r="M163" s="24">
        <f t="shared" si="38"/>
        <v>1</v>
      </c>
      <c r="N163" s="719"/>
      <c r="O163" s="24">
        <f t="shared" si="39"/>
        <v>1</v>
      </c>
      <c r="P163" s="719" t="s">
        <v>4108</v>
      </c>
      <c r="Q163" s="24">
        <f t="shared" si="40"/>
        <v>0.65</v>
      </c>
      <c r="R163" s="715">
        <f t="shared" ca="1" si="41"/>
        <v>16455</v>
      </c>
      <c r="S163" s="361">
        <f t="shared" ca="1" si="32"/>
        <v>43</v>
      </c>
    </row>
    <row r="164" spans="1:19">
      <c r="A164" s="717" t="str">
        <f>抵押物清单!C144</f>
        <v>3-234</v>
      </c>
      <c r="B164" s="717">
        <f>抵押物清单!E144</f>
        <v>44.51</v>
      </c>
      <c r="C164" s="24">
        <f t="shared" si="33"/>
        <v>1.04</v>
      </c>
      <c r="D164" s="719" t="s">
        <v>4049</v>
      </c>
      <c r="E164" s="24">
        <f t="shared" si="34"/>
        <v>0.95</v>
      </c>
      <c r="F164" s="719"/>
      <c r="G164" s="24">
        <f t="shared" si="35"/>
        <v>1</v>
      </c>
      <c r="H164" s="719"/>
      <c r="I164" s="24">
        <f t="shared" si="36"/>
        <v>1</v>
      </c>
      <c r="J164" s="719"/>
      <c r="K164" s="24">
        <f t="shared" si="37"/>
        <v>1</v>
      </c>
      <c r="L164" s="719"/>
      <c r="M164" s="24">
        <f t="shared" si="38"/>
        <v>1</v>
      </c>
      <c r="N164" s="719"/>
      <c r="O164" s="24">
        <f t="shared" si="39"/>
        <v>1</v>
      </c>
      <c r="P164" s="719" t="s">
        <v>4108</v>
      </c>
      <c r="Q164" s="24">
        <f t="shared" si="40"/>
        <v>0.65</v>
      </c>
      <c r="R164" s="715">
        <f t="shared" ca="1" si="41"/>
        <v>16455</v>
      </c>
      <c r="S164" s="361">
        <f t="shared" ca="1" si="32"/>
        <v>73</v>
      </c>
    </row>
    <row r="165" spans="1:19">
      <c r="A165" s="717" t="str">
        <f>抵押物清单!C145</f>
        <v>3-236</v>
      </c>
      <c r="B165" s="717">
        <f>抵押物清单!E145</f>
        <v>28.93</v>
      </c>
      <c r="C165" s="24">
        <f t="shared" si="33"/>
        <v>1.04</v>
      </c>
      <c r="D165" s="719" t="s">
        <v>4049</v>
      </c>
      <c r="E165" s="24">
        <f t="shared" si="34"/>
        <v>0.95</v>
      </c>
      <c r="F165" s="719"/>
      <c r="G165" s="24">
        <f t="shared" si="35"/>
        <v>1</v>
      </c>
      <c r="H165" s="719"/>
      <c r="I165" s="24">
        <f t="shared" si="36"/>
        <v>1</v>
      </c>
      <c r="J165" s="719"/>
      <c r="K165" s="24">
        <f t="shared" si="37"/>
        <v>1</v>
      </c>
      <c r="L165" s="719"/>
      <c r="M165" s="24">
        <f t="shared" si="38"/>
        <v>1</v>
      </c>
      <c r="N165" s="719"/>
      <c r="O165" s="24">
        <f t="shared" si="39"/>
        <v>1</v>
      </c>
      <c r="P165" s="719" t="s">
        <v>4108</v>
      </c>
      <c r="Q165" s="24">
        <f t="shared" si="40"/>
        <v>0.65</v>
      </c>
      <c r="R165" s="715">
        <f t="shared" ca="1" si="41"/>
        <v>16455</v>
      </c>
      <c r="S165" s="361">
        <f t="shared" ca="1" si="32"/>
        <v>48</v>
      </c>
    </row>
    <row r="166" spans="1:19">
      <c r="A166" s="717" t="str">
        <f>抵押物清单!C146</f>
        <v>3-237</v>
      </c>
      <c r="B166" s="717">
        <f>抵押物清单!E146</f>
        <v>38.450000000000003</v>
      </c>
      <c r="C166" s="24">
        <f t="shared" si="33"/>
        <v>1.04</v>
      </c>
      <c r="D166" s="719" t="s">
        <v>4049</v>
      </c>
      <c r="E166" s="24">
        <f t="shared" si="34"/>
        <v>0.95</v>
      </c>
      <c r="F166" s="719"/>
      <c r="G166" s="24">
        <f t="shared" si="35"/>
        <v>1</v>
      </c>
      <c r="H166" s="719"/>
      <c r="I166" s="24">
        <f t="shared" si="36"/>
        <v>1</v>
      </c>
      <c r="J166" s="719"/>
      <c r="K166" s="24">
        <f t="shared" si="37"/>
        <v>1</v>
      </c>
      <c r="L166" s="719"/>
      <c r="M166" s="24">
        <f t="shared" si="38"/>
        <v>1</v>
      </c>
      <c r="N166" s="719"/>
      <c r="O166" s="24">
        <f t="shared" si="39"/>
        <v>1</v>
      </c>
      <c r="P166" s="719" t="s">
        <v>4108</v>
      </c>
      <c r="Q166" s="24">
        <f t="shared" si="40"/>
        <v>0.65</v>
      </c>
      <c r="R166" s="715">
        <f t="shared" ca="1" si="41"/>
        <v>16455</v>
      </c>
      <c r="S166" s="361">
        <f t="shared" ca="1" si="32"/>
        <v>63</v>
      </c>
    </row>
    <row r="167" spans="1:19">
      <c r="A167" s="717" t="str">
        <f>抵押物清单!C147</f>
        <v>3-238</v>
      </c>
      <c r="B167" s="717">
        <f>抵押物清单!E147</f>
        <v>33.76</v>
      </c>
      <c r="C167" s="24">
        <f t="shared" si="33"/>
        <v>1.04</v>
      </c>
      <c r="D167" s="719" t="s">
        <v>4049</v>
      </c>
      <c r="E167" s="24">
        <f t="shared" si="34"/>
        <v>0.95</v>
      </c>
      <c r="F167" s="719"/>
      <c r="G167" s="24">
        <f t="shared" si="35"/>
        <v>1</v>
      </c>
      <c r="H167" s="719"/>
      <c r="I167" s="24">
        <f t="shared" si="36"/>
        <v>1</v>
      </c>
      <c r="J167" s="719"/>
      <c r="K167" s="24">
        <f t="shared" si="37"/>
        <v>1</v>
      </c>
      <c r="L167" s="719"/>
      <c r="M167" s="24">
        <f t="shared" si="38"/>
        <v>1</v>
      </c>
      <c r="N167" s="719"/>
      <c r="O167" s="24">
        <f t="shared" si="39"/>
        <v>1</v>
      </c>
      <c r="P167" s="719" t="s">
        <v>4108</v>
      </c>
      <c r="Q167" s="24">
        <f t="shared" si="40"/>
        <v>0.65</v>
      </c>
      <c r="R167" s="715">
        <f t="shared" ca="1" si="41"/>
        <v>16455</v>
      </c>
      <c r="S167" s="361">
        <f t="shared" ca="1" si="32"/>
        <v>56</v>
      </c>
    </row>
    <row r="168" spans="1:19">
      <c r="A168" s="717" t="str">
        <f>抵押物清单!C148</f>
        <v>3-239</v>
      </c>
      <c r="B168" s="717">
        <f>抵押物清单!E148</f>
        <v>42.13</v>
      </c>
      <c r="C168" s="24">
        <f t="shared" si="33"/>
        <v>1.04</v>
      </c>
      <c r="D168" s="719" t="s">
        <v>4049</v>
      </c>
      <c r="E168" s="24">
        <f t="shared" si="34"/>
        <v>0.95</v>
      </c>
      <c r="F168" s="719"/>
      <c r="G168" s="24">
        <f t="shared" si="35"/>
        <v>1</v>
      </c>
      <c r="H168" s="719"/>
      <c r="I168" s="24">
        <f t="shared" si="36"/>
        <v>1</v>
      </c>
      <c r="J168" s="719"/>
      <c r="K168" s="24">
        <f t="shared" si="37"/>
        <v>1</v>
      </c>
      <c r="L168" s="719"/>
      <c r="M168" s="24">
        <f t="shared" si="38"/>
        <v>1</v>
      </c>
      <c r="N168" s="719"/>
      <c r="O168" s="24">
        <f t="shared" si="39"/>
        <v>1</v>
      </c>
      <c r="P168" s="719" t="s">
        <v>4108</v>
      </c>
      <c r="Q168" s="24">
        <f t="shared" si="40"/>
        <v>0.65</v>
      </c>
      <c r="R168" s="715">
        <f t="shared" ca="1" si="41"/>
        <v>16455</v>
      </c>
      <c r="S168" s="361">
        <f t="shared" ca="1" si="32"/>
        <v>69</v>
      </c>
    </row>
    <row r="169" spans="1:19">
      <c r="A169" s="717" t="str">
        <f>抵押物清单!C149</f>
        <v>3-240</v>
      </c>
      <c r="B169" s="717">
        <f>抵押物清单!E149</f>
        <v>44.41</v>
      </c>
      <c r="C169" s="24">
        <f t="shared" si="33"/>
        <v>1.04</v>
      </c>
      <c r="D169" s="719" t="s">
        <v>4049</v>
      </c>
      <c r="E169" s="24">
        <f t="shared" si="34"/>
        <v>0.95</v>
      </c>
      <c r="F169" s="719"/>
      <c r="G169" s="24">
        <f t="shared" si="35"/>
        <v>1</v>
      </c>
      <c r="H169" s="719"/>
      <c r="I169" s="24">
        <f t="shared" si="36"/>
        <v>1</v>
      </c>
      <c r="J169" s="719"/>
      <c r="K169" s="24">
        <f t="shared" si="37"/>
        <v>1</v>
      </c>
      <c r="L169" s="719"/>
      <c r="M169" s="24">
        <f t="shared" si="38"/>
        <v>1</v>
      </c>
      <c r="N169" s="719"/>
      <c r="O169" s="24">
        <f t="shared" si="39"/>
        <v>1</v>
      </c>
      <c r="P169" s="719" t="s">
        <v>4108</v>
      </c>
      <c r="Q169" s="24">
        <f t="shared" si="40"/>
        <v>0.65</v>
      </c>
      <c r="R169" s="715">
        <f t="shared" ca="1" si="41"/>
        <v>16455</v>
      </c>
      <c r="S169" s="361">
        <f t="shared" ca="1" si="32"/>
        <v>73</v>
      </c>
    </row>
    <row r="170" spans="1:19">
      <c r="A170" s="717" t="str">
        <f>抵押物清单!C150</f>
        <v>3-241</v>
      </c>
      <c r="B170" s="717">
        <f>抵押物清单!E150</f>
        <v>47.27</v>
      </c>
      <c r="C170" s="24">
        <f t="shared" si="33"/>
        <v>1.04</v>
      </c>
      <c r="D170" s="719" t="s">
        <v>4049</v>
      </c>
      <c r="E170" s="24">
        <f t="shared" si="34"/>
        <v>0.95</v>
      </c>
      <c r="F170" s="719"/>
      <c r="G170" s="24">
        <f t="shared" si="35"/>
        <v>1</v>
      </c>
      <c r="H170" s="719"/>
      <c r="I170" s="24">
        <f t="shared" si="36"/>
        <v>1</v>
      </c>
      <c r="J170" s="719"/>
      <c r="K170" s="24">
        <f t="shared" si="37"/>
        <v>1</v>
      </c>
      <c r="L170" s="719"/>
      <c r="M170" s="24">
        <f t="shared" si="38"/>
        <v>1</v>
      </c>
      <c r="N170" s="719"/>
      <c r="O170" s="24">
        <f t="shared" si="39"/>
        <v>1</v>
      </c>
      <c r="P170" s="719" t="s">
        <v>4108</v>
      </c>
      <c r="Q170" s="24">
        <f t="shared" si="40"/>
        <v>0.65</v>
      </c>
      <c r="R170" s="715">
        <f t="shared" ca="1" si="41"/>
        <v>16455</v>
      </c>
      <c r="S170" s="361">
        <f t="shared" ca="1" si="32"/>
        <v>78</v>
      </c>
    </row>
    <row r="171" spans="1:19">
      <c r="A171" s="717" t="str">
        <f>抵押物清单!C151</f>
        <v>3-242</v>
      </c>
      <c r="B171" s="717">
        <f>抵押物清单!E151</f>
        <v>48.69</v>
      </c>
      <c r="C171" s="24">
        <f t="shared" si="33"/>
        <v>1.04</v>
      </c>
      <c r="D171" s="719" t="s">
        <v>4049</v>
      </c>
      <c r="E171" s="24">
        <f t="shared" si="34"/>
        <v>0.95</v>
      </c>
      <c r="F171" s="719"/>
      <c r="G171" s="24">
        <f t="shared" si="35"/>
        <v>1</v>
      </c>
      <c r="H171" s="719"/>
      <c r="I171" s="24">
        <f t="shared" si="36"/>
        <v>1</v>
      </c>
      <c r="J171" s="719"/>
      <c r="K171" s="24">
        <f t="shared" si="37"/>
        <v>1</v>
      </c>
      <c r="L171" s="719"/>
      <c r="M171" s="24">
        <f t="shared" si="38"/>
        <v>1</v>
      </c>
      <c r="N171" s="719"/>
      <c r="O171" s="24">
        <f t="shared" si="39"/>
        <v>1</v>
      </c>
      <c r="P171" s="719" t="s">
        <v>4108</v>
      </c>
      <c r="Q171" s="24">
        <f t="shared" si="40"/>
        <v>0.65</v>
      </c>
      <c r="R171" s="715">
        <f t="shared" ca="1" si="41"/>
        <v>16455</v>
      </c>
      <c r="S171" s="361">
        <f t="shared" ca="1" si="32"/>
        <v>80</v>
      </c>
    </row>
    <row r="172" spans="1:19">
      <c r="A172" s="717" t="str">
        <f>抵押物清单!C152</f>
        <v>3-243</v>
      </c>
      <c r="B172" s="717">
        <f>抵押物清单!E152</f>
        <v>48.69</v>
      </c>
      <c r="C172" s="24">
        <f t="shared" si="33"/>
        <v>1.04</v>
      </c>
      <c r="D172" s="719" t="s">
        <v>4049</v>
      </c>
      <c r="E172" s="24">
        <f t="shared" si="34"/>
        <v>0.95</v>
      </c>
      <c r="F172" s="719"/>
      <c r="G172" s="24">
        <f t="shared" si="35"/>
        <v>1</v>
      </c>
      <c r="H172" s="719"/>
      <c r="I172" s="24">
        <f t="shared" si="36"/>
        <v>1</v>
      </c>
      <c r="J172" s="719"/>
      <c r="K172" s="24">
        <f t="shared" si="37"/>
        <v>1</v>
      </c>
      <c r="L172" s="719"/>
      <c r="M172" s="24">
        <f t="shared" si="38"/>
        <v>1</v>
      </c>
      <c r="N172" s="719"/>
      <c r="O172" s="24">
        <f t="shared" si="39"/>
        <v>1</v>
      </c>
      <c r="P172" s="719" t="s">
        <v>4108</v>
      </c>
      <c r="Q172" s="24">
        <f t="shared" si="40"/>
        <v>0.65</v>
      </c>
      <c r="R172" s="715">
        <f t="shared" ca="1" si="41"/>
        <v>16455</v>
      </c>
      <c r="S172" s="361">
        <f t="shared" ca="1" si="32"/>
        <v>80</v>
      </c>
    </row>
    <row r="173" spans="1:19">
      <c r="A173" s="717" t="str">
        <f>抵押物清单!C153</f>
        <v>3-244</v>
      </c>
      <c r="B173" s="717">
        <f>抵押物清单!E153</f>
        <v>47.27</v>
      </c>
      <c r="C173" s="24">
        <f t="shared" si="33"/>
        <v>1.04</v>
      </c>
      <c r="D173" s="719" t="s">
        <v>4049</v>
      </c>
      <c r="E173" s="24">
        <f t="shared" si="34"/>
        <v>0.95</v>
      </c>
      <c r="F173" s="719"/>
      <c r="G173" s="24">
        <f t="shared" si="35"/>
        <v>1</v>
      </c>
      <c r="H173" s="719"/>
      <c r="I173" s="24">
        <f t="shared" si="36"/>
        <v>1</v>
      </c>
      <c r="J173" s="719"/>
      <c r="K173" s="24">
        <f t="shared" si="37"/>
        <v>1</v>
      </c>
      <c r="L173" s="719"/>
      <c r="M173" s="24">
        <f t="shared" si="38"/>
        <v>1</v>
      </c>
      <c r="N173" s="719"/>
      <c r="O173" s="24">
        <f t="shared" si="39"/>
        <v>1</v>
      </c>
      <c r="P173" s="719" t="s">
        <v>4108</v>
      </c>
      <c r="Q173" s="24">
        <f t="shared" si="40"/>
        <v>0.65</v>
      </c>
      <c r="R173" s="715">
        <f t="shared" ca="1" si="41"/>
        <v>16455</v>
      </c>
      <c r="S173" s="361">
        <f t="shared" ca="1" si="32"/>
        <v>78</v>
      </c>
    </row>
    <row r="174" spans="1:19">
      <c r="A174" s="717" t="str">
        <f>抵押物清单!C154</f>
        <v>3-245</v>
      </c>
      <c r="B174" s="717">
        <f>抵押物清单!E154</f>
        <v>44.41</v>
      </c>
      <c r="C174" s="24">
        <f t="shared" si="33"/>
        <v>1.04</v>
      </c>
      <c r="D174" s="719" t="s">
        <v>4049</v>
      </c>
      <c r="E174" s="24">
        <f t="shared" si="34"/>
        <v>0.95</v>
      </c>
      <c r="F174" s="719"/>
      <c r="G174" s="24">
        <f t="shared" si="35"/>
        <v>1</v>
      </c>
      <c r="H174" s="719"/>
      <c r="I174" s="24">
        <f t="shared" si="36"/>
        <v>1</v>
      </c>
      <c r="J174" s="719"/>
      <c r="K174" s="24">
        <f t="shared" si="37"/>
        <v>1</v>
      </c>
      <c r="L174" s="719"/>
      <c r="M174" s="24">
        <f t="shared" si="38"/>
        <v>1</v>
      </c>
      <c r="N174" s="719"/>
      <c r="O174" s="24">
        <f t="shared" si="39"/>
        <v>1</v>
      </c>
      <c r="P174" s="719" t="s">
        <v>4108</v>
      </c>
      <c r="Q174" s="24">
        <f t="shared" si="40"/>
        <v>0.65</v>
      </c>
      <c r="R174" s="715">
        <f t="shared" ca="1" si="41"/>
        <v>16455</v>
      </c>
      <c r="S174" s="361">
        <f t="shared" ca="1" si="32"/>
        <v>73</v>
      </c>
    </row>
    <row r="175" spans="1:19">
      <c r="A175" s="717" t="str">
        <f>抵押物清单!C155</f>
        <v>3-246</v>
      </c>
      <c r="B175" s="717">
        <f>抵押物清单!E155</f>
        <v>41.88</v>
      </c>
      <c r="C175" s="24">
        <f t="shared" si="33"/>
        <v>1.04</v>
      </c>
      <c r="D175" s="719" t="s">
        <v>4049</v>
      </c>
      <c r="E175" s="24">
        <f t="shared" si="34"/>
        <v>0.95</v>
      </c>
      <c r="F175" s="719"/>
      <c r="G175" s="24">
        <f t="shared" si="35"/>
        <v>1</v>
      </c>
      <c r="H175" s="719"/>
      <c r="I175" s="24">
        <f t="shared" si="36"/>
        <v>1</v>
      </c>
      <c r="J175" s="719"/>
      <c r="K175" s="24">
        <f t="shared" si="37"/>
        <v>1</v>
      </c>
      <c r="L175" s="719"/>
      <c r="M175" s="24">
        <f t="shared" si="38"/>
        <v>1</v>
      </c>
      <c r="N175" s="719"/>
      <c r="O175" s="24">
        <f t="shared" si="39"/>
        <v>1</v>
      </c>
      <c r="P175" s="719" t="s">
        <v>4108</v>
      </c>
      <c r="Q175" s="24">
        <f t="shared" si="40"/>
        <v>0.65</v>
      </c>
      <c r="R175" s="715">
        <f t="shared" ca="1" si="41"/>
        <v>16455</v>
      </c>
      <c r="S175" s="361">
        <f t="shared" ca="1" si="32"/>
        <v>69</v>
      </c>
    </row>
    <row r="176" spans="1:19">
      <c r="A176" s="717" t="str">
        <f>抵押物清单!C156</f>
        <v>3-247</v>
      </c>
      <c r="B176" s="717">
        <f>抵押物清单!E156</f>
        <v>27.87</v>
      </c>
      <c r="C176" s="24">
        <f t="shared" si="33"/>
        <v>1.04</v>
      </c>
      <c r="D176" s="719" t="s">
        <v>4049</v>
      </c>
      <c r="E176" s="24">
        <f t="shared" si="34"/>
        <v>0.95</v>
      </c>
      <c r="F176" s="719"/>
      <c r="G176" s="24">
        <f t="shared" si="35"/>
        <v>1</v>
      </c>
      <c r="H176" s="719"/>
      <c r="I176" s="24">
        <f t="shared" si="36"/>
        <v>1</v>
      </c>
      <c r="J176" s="719"/>
      <c r="K176" s="24">
        <f t="shared" si="37"/>
        <v>1</v>
      </c>
      <c r="L176" s="719"/>
      <c r="M176" s="24">
        <f t="shared" si="38"/>
        <v>1</v>
      </c>
      <c r="N176" s="719"/>
      <c r="O176" s="24">
        <f t="shared" si="39"/>
        <v>1</v>
      </c>
      <c r="P176" s="719" t="s">
        <v>4108</v>
      </c>
      <c r="Q176" s="24">
        <f t="shared" si="40"/>
        <v>0.65</v>
      </c>
      <c r="R176" s="715">
        <f t="shared" ca="1" si="41"/>
        <v>16455</v>
      </c>
      <c r="S176" s="361">
        <f t="shared" ca="1" si="32"/>
        <v>46</v>
      </c>
    </row>
    <row r="177" spans="1:19">
      <c r="A177" s="717" t="str">
        <f>抵押物清单!C157</f>
        <v>3-248</v>
      </c>
      <c r="B177" s="717">
        <f>抵押物清单!E157</f>
        <v>25.38</v>
      </c>
      <c r="C177" s="24">
        <f t="shared" si="33"/>
        <v>1.04</v>
      </c>
      <c r="D177" s="719" t="s">
        <v>4049</v>
      </c>
      <c r="E177" s="24">
        <f t="shared" si="34"/>
        <v>0.95</v>
      </c>
      <c r="F177" s="719"/>
      <c r="G177" s="24">
        <f t="shared" si="35"/>
        <v>1</v>
      </c>
      <c r="H177" s="719"/>
      <c r="I177" s="24">
        <f t="shared" si="36"/>
        <v>1</v>
      </c>
      <c r="J177" s="719"/>
      <c r="K177" s="24">
        <f t="shared" si="37"/>
        <v>1</v>
      </c>
      <c r="L177" s="719"/>
      <c r="M177" s="24">
        <f t="shared" si="38"/>
        <v>1</v>
      </c>
      <c r="N177" s="719"/>
      <c r="O177" s="24">
        <f t="shared" si="39"/>
        <v>1</v>
      </c>
      <c r="P177" s="719" t="s">
        <v>4108</v>
      </c>
      <c r="Q177" s="24">
        <f t="shared" si="40"/>
        <v>0.65</v>
      </c>
      <c r="R177" s="715">
        <f t="shared" ca="1" si="41"/>
        <v>16455</v>
      </c>
      <c r="S177" s="361">
        <f t="shared" ca="1" si="32"/>
        <v>42</v>
      </c>
    </row>
    <row r="178" spans="1:19">
      <c r="A178" s="717" t="str">
        <f>抵押物清单!C158</f>
        <v>3-249</v>
      </c>
      <c r="B178" s="717">
        <f>抵押物清单!E158</f>
        <v>25.38</v>
      </c>
      <c r="C178" s="24">
        <f t="shared" si="33"/>
        <v>1.04</v>
      </c>
      <c r="D178" s="719" t="s">
        <v>4049</v>
      </c>
      <c r="E178" s="24">
        <f t="shared" si="34"/>
        <v>0.95</v>
      </c>
      <c r="F178" s="719"/>
      <c r="G178" s="24">
        <f t="shared" si="35"/>
        <v>1</v>
      </c>
      <c r="H178" s="719"/>
      <c r="I178" s="24">
        <f t="shared" si="36"/>
        <v>1</v>
      </c>
      <c r="J178" s="719"/>
      <c r="K178" s="24">
        <f t="shared" si="37"/>
        <v>1</v>
      </c>
      <c r="L178" s="719"/>
      <c r="M178" s="24">
        <f t="shared" si="38"/>
        <v>1</v>
      </c>
      <c r="N178" s="719"/>
      <c r="O178" s="24">
        <f t="shared" si="39"/>
        <v>1</v>
      </c>
      <c r="P178" s="719" t="s">
        <v>4108</v>
      </c>
      <c r="Q178" s="24">
        <f t="shared" si="40"/>
        <v>0.65</v>
      </c>
      <c r="R178" s="715">
        <f t="shared" ca="1" si="41"/>
        <v>16455</v>
      </c>
      <c r="S178" s="361">
        <f t="shared" ca="1" si="32"/>
        <v>42</v>
      </c>
    </row>
    <row r="179" spans="1:19">
      <c r="A179" s="717" t="str">
        <f>抵押物清单!C159</f>
        <v>3-250</v>
      </c>
      <c r="B179" s="717">
        <f>抵押物清单!E159</f>
        <v>26.56</v>
      </c>
      <c r="C179" s="24">
        <f t="shared" si="33"/>
        <v>1.04</v>
      </c>
      <c r="D179" s="719" t="s">
        <v>4049</v>
      </c>
      <c r="E179" s="24">
        <f t="shared" si="34"/>
        <v>0.95</v>
      </c>
      <c r="F179" s="719"/>
      <c r="G179" s="24">
        <f t="shared" si="35"/>
        <v>1</v>
      </c>
      <c r="H179" s="719"/>
      <c r="I179" s="24">
        <f t="shared" si="36"/>
        <v>1</v>
      </c>
      <c r="J179" s="719"/>
      <c r="K179" s="24">
        <f t="shared" si="37"/>
        <v>1</v>
      </c>
      <c r="L179" s="719"/>
      <c r="M179" s="24">
        <f t="shared" si="38"/>
        <v>1</v>
      </c>
      <c r="N179" s="719"/>
      <c r="O179" s="24">
        <f t="shared" si="39"/>
        <v>1</v>
      </c>
      <c r="P179" s="719" t="s">
        <v>4108</v>
      </c>
      <c r="Q179" s="24">
        <f t="shared" si="40"/>
        <v>0.65</v>
      </c>
      <c r="R179" s="715">
        <f t="shared" ca="1" si="41"/>
        <v>16455</v>
      </c>
      <c r="S179" s="361">
        <f t="shared" ca="1" si="32"/>
        <v>44</v>
      </c>
    </row>
    <row r="180" spans="1:19">
      <c r="A180" s="717" t="str">
        <f>抵押物清单!C160</f>
        <v>3-251</v>
      </c>
      <c r="B180" s="717">
        <f>抵押物清单!E160</f>
        <v>28.93</v>
      </c>
      <c r="C180" s="24">
        <f t="shared" si="33"/>
        <v>1.04</v>
      </c>
      <c r="D180" s="719" t="s">
        <v>4049</v>
      </c>
      <c r="E180" s="24">
        <f t="shared" si="34"/>
        <v>0.95</v>
      </c>
      <c r="F180" s="719"/>
      <c r="G180" s="24">
        <f t="shared" si="35"/>
        <v>1</v>
      </c>
      <c r="H180" s="719"/>
      <c r="I180" s="24">
        <f t="shared" si="36"/>
        <v>1</v>
      </c>
      <c r="J180" s="719"/>
      <c r="K180" s="24">
        <f t="shared" si="37"/>
        <v>1</v>
      </c>
      <c r="L180" s="719"/>
      <c r="M180" s="24">
        <f t="shared" si="38"/>
        <v>1</v>
      </c>
      <c r="N180" s="719"/>
      <c r="O180" s="24">
        <f t="shared" si="39"/>
        <v>1</v>
      </c>
      <c r="P180" s="719" t="s">
        <v>4108</v>
      </c>
      <c r="Q180" s="24">
        <f t="shared" si="40"/>
        <v>0.65</v>
      </c>
      <c r="R180" s="715">
        <f t="shared" ca="1" si="41"/>
        <v>16455</v>
      </c>
      <c r="S180" s="361">
        <f t="shared" ca="1" si="32"/>
        <v>48</v>
      </c>
    </row>
    <row r="181" spans="1:19">
      <c r="A181" s="717" t="str">
        <f>抵押物清单!C161</f>
        <v>3-252</v>
      </c>
      <c r="B181" s="717">
        <f>抵押物清单!E161</f>
        <v>32.49</v>
      </c>
      <c r="C181" s="24">
        <f t="shared" si="33"/>
        <v>1.04</v>
      </c>
      <c r="D181" s="719" t="s">
        <v>4049</v>
      </c>
      <c r="E181" s="24">
        <f t="shared" si="34"/>
        <v>0.95</v>
      </c>
      <c r="F181" s="719"/>
      <c r="G181" s="24">
        <f t="shared" si="35"/>
        <v>1</v>
      </c>
      <c r="H181" s="719"/>
      <c r="I181" s="24">
        <f t="shared" si="36"/>
        <v>1</v>
      </c>
      <c r="J181" s="719"/>
      <c r="K181" s="24">
        <f t="shared" si="37"/>
        <v>1</v>
      </c>
      <c r="L181" s="719"/>
      <c r="M181" s="24">
        <f t="shared" si="38"/>
        <v>1</v>
      </c>
      <c r="N181" s="719"/>
      <c r="O181" s="24">
        <f t="shared" si="39"/>
        <v>1</v>
      </c>
      <c r="P181" s="719" t="s">
        <v>4108</v>
      </c>
      <c r="Q181" s="24">
        <f t="shared" si="40"/>
        <v>0.65</v>
      </c>
      <c r="R181" s="715">
        <f t="shared" ca="1" si="41"/>
        <v>16455</v>
      </c>
      <c r="S181" s="361">
        <f t="shared" ca="1" si="32"/>
        <v>53</v>
      </c>
    </row>
    <row r="182" spans="1:19">
      <c r="A182" s="717" t="str">
        <f>抵押物清单!C162</f>
        <v>3-253</v>
      </c>
      <c r="B182" s="717">
        <f>抵押物清单!E162</f>
        <v>37.26</v>
      </c>
      <c r="C182" s="24">
        <f t="shared" si="33"/>
        <v>1.04</v>
      </c>
      <c r="D182" s="719" t="s">
        <v>4049</v>
      </c>
      <c r="E182" s="24">
        <f t="shared" si="34"/>
        <v>0.95</v>
      </c>
      <c r="F182" s="719"/>
      <c r="G182" s="24">
        <f t="shared" si="35"/>
        <v>1</v>
      </c>
      <c r="H182" s="719"/>
      <c r="I182" s="24">
        <f t="shared" si="36"/>
        <v>1</v>
      </c>
      <c r="J182" s="719"/>
      <c r="K182" s="24">
        <f t="shared" si="37"/>
        <v>1</v>
      </c>
      <c r="L182" s="719"/>
      <c r="M182" s="24">
        <f t="shared" si="38"/>
        <v>1</v>
      </c>
      <c r="N182" s="719"/>
      <c r="O182" s="24">
        <f t="shared" si="39"/>
        <v>1</v>
      </c>
      <c r="P182" s="719" t="s">
        <v>4108</v>
      </c>
      <c r="Q182" s="24">
        <f t="shared" si="40"/>
        <v>0.65</v>
      </c>
      <c r="R182" s="715">
        <f t="shared" ca="1" si="41"/>
        <v>16455</v>
      </c>
      <c r="S182" s="361">
        <f t="shared" ca="1" si="32"/>
        <v>61</v>
      </c>
    </row>
    <row r="183" spans="1:19">
      <c r="A183" s="717" t="str">
        <f>抵押物清单!C163</f>
        <v>3-254</v>
      </c>
      <c r="B183" s="717">
        <f>抵押物清单!E163</f>
        <v>41.61</v>
      </c>
      <c r="C183" s="24">
        <f t="shared" si="33"/>
        <v>1.04</v>
      </c>
      <c r="D183" s="719" t="s">
        <v>4049</v>
      </c>
      <c r="E183" s="24">
        <f t="shared" si="34"/>
        <v>0.95</v>
      </c>
      <c r="F183" s="719"/>
      <c r="G183" s="24">
        <f t="shared" si="35"/>
        <v>1</v>
      </c>
      <c r="H183" s="719"/>
      <c r="I183" s="24">
        <f t="shared" si="36"/>
        <v>1</v>
      </c>
      <c r="J183" s="719"/>
      <c r="K183" s="24">
        <f t="shared" si="37"/>
        <v>1</v>
      </c>
      <c r="L183" s="719"/>
      <c r="M183" s="24">
        <f t="shared" si="38"/>
        <v>1</v>
      </c>
      <c r="N183" s="719"/>
      <c r="O183" s="24">
        <f t="shared" si="39"/>
        <v>1</v>
      </c>
      <c r="P183" s="719" t="s">
        <v>4108</v>
      </c>
      <c r="Q183" s="24">
        <f t="shared" si="40"/>
        <v>0.65</v>
      </c>
      <c r="R183" s="715">
        <f t="shared" ca="1" si="41"/>
        <v>16455</v>
      </c>
      <c r="S183" s="361">
        <f t="shared" ca="1" si="32"/>
        <v>68</v>
      </c>
    </row>
    <row r="184" spans="1:19">
      <c r="A184" s="717" t="str">
        <f>抵押物清单!C164</f>
        <v>3-255</v>
      </c>
      <c r="B184" s="717">
        <f>抵押物清单!E164</f>
        <v>47.25</v>
      </c>
      <c r="C184" s="24">
        <f t="shared" si="33"/>
        <v>1.04</v>
      </c>
      <c r="D184" s="719" t="s">
        <v>4049</v>
      </c>
      <c r="E184" s="24">
        <f t="shared" si="34"/>
        <v>0.95</v>
      </c>
      <c r="F184" s="719"/>
      <c r="G184" s="24">
        <f t="shared" si="35"/>
        <v>1</v>
      </c>
      <c r="H184" s="719"/>
      <c r="I184" s="24">
        <f t="shared" si="36"/>
        <v>1</v>
      </c>
      <c r="J184" s="719"/>
      <c r="K184" s="24">
        <f t="shared" si="37"/>
        <v>1</v>
      </c>
      <c r="L184" s="719"/>
      <c r="M184" s="24">
        <f t="shared" si="38"/>
        <v>1</v>
      </c>
      <c r="N184" s="719"/>
      <c r="O184" s="24">
        <f t="shared" si="39"/>
        <v>1</v>
      </c>
      <c r="P184" s="719" t="s">
        <v>4108</v>
      </c>
      <c r="Q184" s="24">
        <f t="shared" si="40"/>
        <v>0.65</v>
      </c>
      <c r="R184" s="715">
        <f t="shared" ca="1" si="41"/>
        <v>16455</v>
      </c>
      <c r="S184" s="361">
        <f t="shared" ca="1" si="32"/>
        <v>78</v>
      </c>
    </row>
    <row r="185" spans="1:19">
      <c r="A185" s="717" t="str">
        <f>抵押物清单!C165</f>
        <v>3-256</v>
      </c>
      <c r="B185" s="717">
        <f>抵押物清单!E165</f>
        <v>57.18</v>
      </c>
      <c r="C185" s="24">
        <f t="shared" si="33"/>
        <v>1.02</v>
      </c>
      <c r="D185" s="719" t="s">
        <v>4049</v>
      </c>
      <c r="E185" s="24">
        <f t="shared" si="34"/>
        <v>0.95</v>
      </c>
      <c r="F185" s="719"/>
      <c r="G185" s="24">
        <f t="shared" si="35"/>
        <v>1</v>
      </c>
      <c r="H185" s="719"/>
      <c r="I185" s="24">
        <f t="shared" si="36"/>
        <v>1</v>
      </c>
      <c r="J185" s="719"/>
      <c r="K185" s="24">
        <f t="shared" si="37"/>
        <v>1</v>
      </c>
      <c r="L185" s="719"/>
      <c r="M185" s="24">
        <f t="shared" si="38"/>
        <v>1</v>
      </c>
      <c r="N185" s="719"/>
      <c r="O185" s="24">
        <f t="shared" si="39"/>
        <v>1</v>
      </c>
      <c r="P185" s="719" t="s">
        <v>4108</v>
      </c>
      <c r="Q185" s="24">
        <f t="shared" si="40"/>
        <v>0.65</v>
      </c>
      <c r="R185" s="715">
        <f t="shared" ca="1" si="41"/>
        <v>16139</v>
      </c>
      <c r="S185" s="361">
        <f t="shared" ca="1" si="32"/>
        <v>92</v>
      </c>
    </row>
    <row r="186" spans="1:19">
      <c r="A186" s="717" t="str">
        <f>抵押物清单!C166</f>
        <v>3-257</v>
      </c>
      <c r="B186" s="717">
        <f>抵押物清单!E166</f>
        <v>68.510000000000005</v>
      </c>
      <c r="C186" s="24">
        <f t="shared" si="33"/>
        <v>1.02</v>
      </c>
      <c r="D186" s="719" t="s">
        <v>4049</v>
      </c>
      <c r="E186" s="24">
        <f t="shared" si="34"/>
        <v>0.95</v>
      </c>
      <c r="F186" s="719"/>
      <c r="G186" s="24">
        <f t="shared" si="35"/>
        <v>1</v>
      </c>
      <c r="H186" s="719"/>
      <c r="I186" s="24">
        <f t="shared" si="36"/>
        <v>1</v>
      </c>
      <c r="J186" s="719"/>
      <c r="K186" s="24">
        <f t="shared" si="37"/>
        <v>1</v>
      </c>
      <c r="L186" s="719"/>
      <c r="M186" s="24">
        <f t="shared" si="38"/>
        <v>1</v>
      </c>
      <c r="N186" s="719"/>
      <c r="O186" s="24">
        <f t="shared" si="39"/>
        <v>1</v>
      </c>
      <c r="P186" s="719" t="s">
        <v>4108</v>
      </c>
      <c r="Q186" s="24">
        <f t="shared" si="40"/>
        <v>0.65</v>
      </c>
      <c r="R186" s="715">
        <f t="shared" ca="1" si="41"/>
        <v>16139</v>
      </c>
      <c r="S186" s="361">
        <f t="shared" ca="1" si="32"/>
        <v>111</v>
      </c>
    </row>
    <row r="187" spans="1:19">
      <c r="A187" s="717" t="str">
        <f>抵押物清单!C167</f>
        <v>3-258</v>
      </c>
      <c r="B187" s="717">
        <f>抵押物清单!E167</f>
        <v>81.319999999999993</v>
      </c>
      <c r="C187" s="24">
        <f t="shared" si="33"/>
        <v>1.02</v>
      </c>
      <c r="D187" s="719" t="s">
        <v>4049</v>
      </c>
      <c r="E187" s="24">
        <f t="shared" si="34"/>
        <v>0.95</v>
      </c>
      <c r="F187" s="719"/>
      <c r="G187" s="24">
        <f t="shared" si="35"/>
        <v>1</v>
      </c>
      <c r="H187" s="719"/>
      <c r="I187" s="24">
        <f t="shared" si="36"/>
        <v>1</v>
      </c>
      <c r="J187" s="719"/>
      <c r="K187" s="24">
        <f t="shared" si="37"/>
        <v>1</v>
      </c>
      <c r="L187" s="719"/>
      <c r="M187" s="24">
        <f t="shared" si="38"/>
        <v>1</v>
      </c>
      <c r="N187" s="719"/>
      <c r="O187" s="24">
        <f t="shared" si="39"/>
        <v>1</v>
      </c>
      <c r="P187" s="719" t="s">
        <v>4108</v>
      </c>
      <c r="Q187" s="24">
        <f t="shared" si="40"/>
        <v>0.65</v>
      </c>
      <c r="R187" s="715">
        <f t="shared" ca="1" si="41"/>
        <v>16139</v>
      </c>
      <c r="S187" s="361">
        <f t="shared" ref="S187:S222" ca="1" si="42">ROUND(R187*B187/10000,0)</f>
        <v>131</v>
      </c>
    </row>
    <row r="188" spans="1:19">
      <c r="A188" s="717" t="str">
        <f>抵押物清单!C168</f>
        <v>3-259</v>
      </c>
      <c r="B188" s="717">
        <f>抵押物清单!E168</f>
        <v>62.24</v>
      </c>
      <c r="C188" s="24">
        <f t="shared" si="33"/>
        <v>1.02</v>
      </c>
      <c r="D188" s="719" t="s">
        <v>4049</v>
      </c>
      <c r="E188" s="24">
        <f t="shared" si="34"/>
        <v>0.95</v>
      </c>
      <c r="F188" s="719"/>
      <c r="G188" s="24">
        <f t="shared" si="35"/>
        <v>1</v>
      </c>
      <c r="H188" s="719"/>
      <c r="I188" s="24">
        <f t="shared" si="36"/>
        <v>1</v>
      </c>
      <c r="J188" s="719"/>
      <c r="K188" s="24">
        <f t="shared" si="37"/>
        <v>1</v>
      </c>
      <c r="L188" s="719"/>
      <c r="M188" s="24">
        <f t="shared" si="38"/>
        <v>1</v>
      </c>
      <c r="N188" s="719"/>
      <c r="O188" s="24">
        <f t="shared" si="39"/>
        <v>1</v>
      </c>
      <c r="P188" s="719" t="s">
        <v>4108</v>
      </c>
      <c r="Q188" s="24">
        <f t="shared" si="40"/>
        <v>0.65</v>
      </c>
      <c r="R188" s="715">
        <f t="shared" ca="1" si="41"/>
        <v>16139</v>
      </c>
      <c r="S188" s="361">
        <f t="shared" ca="1" si="42"/>
        <v>100</v>
      </c>
    </row>
    <row r="189" spans="1:19">
      <c r="A189" s="717" t="str">
        <f>抵押物清单!C169</f>
        <v>3-260</v>
      </c>
      <c r="B189" s="717">
        <f>抵押物清单!E169</f>
        <v>33.44</v>
      </c>
      <c r="C189" s="24">
        <f t="shared" si="33"/>
        <v>1.04</v>
      </c>
      <c r="D189" s="719" t="s">
        <v>4049</v>
      </c>
      <c r="E189" s="24">
        <f t="shared" si="34"/>
        <v>0.95</v>
      </c>
      <c r="F189" s="719"/>
      <c r="G189" s="24">
        <f t="shared" si="35"/>
        <v>1</v>
      </c>
      <c r="H189" s="719"/>
      <c r="I189" s="24">
        <f t="shared" si="36"/>
        <v>1</v>
      </c>
      <c r="J189" s="719"/>
      <c r="K189" s="24">
        <f t="shared" si="37"/>
        <v>1</v>
      </c>
      <c r="L189" s="719"/>
      <c r="M189" s="24">
        <f t="shared" si="38"/>
        <v>1</v>
      </c>
      <c r="N189" s="719"/>
      <c r="O189" s="24">
        <f t="shared" si="39"/>
        <v>1</v>
      </c>
      <c r="P189" s="719" t="s">
        <v>4108</v>
      </c>
      <c r="Q189" s="24">
        <f t="shared" si="40"/>
        <v>0.65</v>
      </c>
      <c r="R189" s="715">
        <f t="shared" ca="1" si="41"/>
        <v>16455</v>
      </c>
      <c r="S189" s="361">
        <f t="shared" ca="1" si="42"/>
        <v>55</v>
      </c>
    </row>
    <row r="190" spans="1:19">
      <c r="A190" s="717" t="str">
        <f>抵押物清单!C170</f>
        <v>3-261</v>
      </c>
      <c r="B190" s="717">
        <f>抵押物清单!E170</f>
        <v>49.97</v>
      </c>
      <c r="C190" s="24">
        <f t="shared" si="33"/>
        <v>1.04</v>
      </c>
      <c r="D190" s="719" t="s">
        <v>4049</v>
      </c>
      <c r="E190" s="24">
        <f t="shared" si="34"/>
        <v>0.95</v>
      </c>
      <c r="F190" s="719"/>
      <c r="G190" s="24">
        <f t="shared" si="35"/>
        <v>1</v>
      </c>
      <c r="H190" s="719"/>
      <c r="I190" s="24">
        <f t="shared" si="36"/>
        <v>1</v>
      </c>
      <c r="J190" s="719"/>
      <c r="K190" s="24">
        <f t="shared" si="37"/>
        <v>1</v>
      </c>
      <c r="L190" s="719"/>
      <c r="M190" s="24">
        <f t="shared" si="38"/>
        <v>1</v>
      </c>
      <c r="N190" s="719"/>
      <c r="O190" s="24">
        <f t="shared" si="39"/>
        <v>1</v>
      </c>
      <c r="P190" s="719" t="s">
        <v>4108</v>
      </c>
      <c r="Q190" s="24">
        <f t="shared" si="40"/>
        <v>0.65</v>
      </c>
      <c r="R190" s="715">
        <f t="shared" ca="1" si="41"/>
        <v>16455</v>
      </c>
      <c r="S190" s="361">
        <f t="shared" ca="1" si="42"/>
        <v>82</v>
      </c>
    </row>
    <row r="191" spans="1:19">
      <c r="A191" s="717" t="str">
        <f>抵押物清单!C171</f>
        <v>3-262</v>
      </c>
      <c r="B191" s="717">
        <f>抵押物清单!E171</f>
        <v>69.680000000000007</v>
      </c>
      <c r="C191" s="24">
        <f t="shared" si="33"/>
        <v>1.02</v>
      </c>
      <c r="D191" s="719" t="s">
        <v>4049</v>
      </c>
      <c r="E191" s="24">
        <f t="shared" si="34"/>
        <v>0.95</v>
      </c>
      <c r="F191" s="719"/>
      <c r="G191" s="24">
        <f t="shared" si="35"/>
        <v>1</v>
      </c>
      <c r="H191" s="719"/>
      <c r="I191" s="24">
        <f t="shared" si="36"/>
        <v>1</v>
      </c>
      <c r="J191" s="719"/>
      <c r="K191" s="24">
        <f t="shared" si="37"/>
        <v>1</v>
      </c>
      <c r="L191" s="719"/>
      <c r="M191" s="24">
        <f t="shared" si="38"/>
        <v>1</v>
      </c>
      <c r="N191" s="719"/>
      <c r="O191" s="24">
        <f t="shared" si="39"/>
        <v>1</v>
      </c>
      <c r="P191" s="719" t="s">
        <v>4108</v>
      </c>
      <c r="Q191" s="24">
        <f t="shared" si="40"/>
        <v>0.65</v>
      </c>
      <c r="R191" s="715">
        <f t="shared" ca="1" si="41"/>
        <v>16139</v>
      </c>
      <c r="S191" s="361">
        <f t="shared" ca="1" si="42"/>
        <v>112</v>
      </c>
    </row>
    <row r="192" spans="1:19">
      <c r="A192" s="717" t="str">
        <f>抵押物清单!C172</f>
        <v>3-263</v>
      </c>
      <c r="B192" s="717">
        <f>抵押物清单!E172</f>
        <v>91.49</v>
      </c>
      <c r="C192" s="24">
        <f t="shared" si="33"/>
        <v>1.02</v>
      </c>
      <c r="D192" s="719" t="s">
        <v>4049</v>
      </c>
      <c r="E192" s="24">
        <f t="shared" si="34"/>
        <v>0.95</v>
      </c>
      <c r="F192" s="719"/>
      <c r="G192" s="24">
        <f t="shared" si="35"/>
        <v>1</v>
      </c>
      <c r="H192" s="719"/>
      <c r="I192" s="24">
        <f t="shared" si="36"/>
        <v>1</v>
      </c>
      <c r="J192" s="719"/>
      <c r="K192" s="24">
        <f t="shared" si="37"/>
        <v>1</v>
      </c>
      <c r="L192" s="719"/>
      <c r="M192" s="24">
        <f t="shared" si="38"/>
        <v>1</v>
      </c>
      <c r="N192" s="719"/>
      <c r="O192" s="24">
        <f t="shared" si="39"/>
        <v>1</v>
      </c>
      <c r="P192" s="719" t="s">
        <v>4108</v>
      </c>
      <c r="Q192" s="24">
        <f t="shared" si="40"/>
        <v>0.65</v>
      </c>
      <c r="R192" s="715">
        <f t="shared" ca="1" si="41"/>
        <v>16139</v>
      </c>
      <c r="S192" s="361">
        <f t="shared" ca="1" si="42"/>
        <v>148</v>
      </c>
    </row>
    <row r="193" spans="1:19">
      <c r="A193" s="717" t="str">
        <f>抵押物清单!C173</f>
        <v>3-264</v>
      </c>
      <c r="B193" s="717">
        <f>抵押物清单!E173</f>
        <v>98.72</v>
      </c>
      <c r="C193" s="24">
        <f t="shared" si="33"/>
        <v>1.02</v>
      </c>
      <c r="D193" s="719" t="s">
        <v>4049</v>
      </c>
      <c r="E193" s="24">
        <f t="shared" si="34"/>
        <v>0.95</v>
      </c>
      <c r="F193" s="719"/>
      <c r="G193" s="24">
        <f t="shared" si="35"/>
        <v>1</v>
      </c>
      <c r="H193" s="719"/>
      <c r="I193" s="24">
        <f t="shared" si="36"/>
        <v>1</v>
      </c>
      <c r="J193" s="719"/>
      <c r="K193" s="24">
        <f t="shared" si="37"/>
        <v>1</v>
      </c>
      <c r="L193" s="719"/>
      <c r="M193" s="24">
        <f t="shared" si="38"/>
        <v>1</v>
      </c>
      <c r="N193" s="719"/>
      <c r="O193" s="24">
        <f t="shared" si="39"/>
        <v>1</v>
      </c>
      <c r="P193" s="719" t="s">
        <v>4108</v>
      </c>
      <c r="Q193" s="24">
        <f t="shared" si="40"/>
        <v>0.65</v>
      </c>
      <c r="R193" s="715">
        <f t="shared" ca="1" si="41"/>
        <v>16139</v>
      </c>
      <c r="S193" s="361">
        <f t="shared" ca="1" si="42"/>
        <v>159</v>
      </c>
    </row>
    <row r="194" spans="1:19">
      <c r="A194" s="717" t="str">
        <f>抵押物清单!C174</f>
        <v>3-265</v>
      </c>
      <c r="B194" s="717">
        <f>抵押物清单!E174</f>
        <v>39.25</v>
      </c>
      <c r="C194" s="24">
        <f t="shared" si="33"/>
        <v>1.04</v>
      </c>
      <c r="D194" s="719" t="s">
        <v>4049</v>
      </c>
      <c r="E194" s="24">
        <f t="shared" si="34"/>
        <v>0.95</v>
      </c>
      <c r="F194" s="719"/>
      <c r="G194" s="24">
        <f t="shared" si="35"/>
        <v>1</v>
      </c>
      <c r="H194" s="719"/>
      <c r="I194" s="24">
        <f t="shared" si="36"/>
        <v>1</v>
      </c>
      <c r="J194" s="719"/>
      <c r="K194" s="24">
        <f t="shared" si="37"/>
        <v>1</v>
      </c>
      <c r="L194" s="719"/>
      <c r="M194" s="24">
        <f t="shared" si="38"/>
        <v>1</v>
      </c>
      <c r="N194" s="719"/>
      <c r="O194" s="24">
        <f t="shared" si="39"/>
        <v>1</v>
      </c>
      <c r="P194" s="719" t="s">
        <v>4108</v>
      </c>
      <c r="Q194" s="24">
        <f t="shared" si="40"/>
        <v>0.65</v>
      </c>
      <c r="R194" s="715">
        <f t="shared" ca="1" si="41"/>
        <v>16455</v>
      </c>
      <c r="S194" s="361">
        <f t="shared" ca="1" si="42"/>
        <v>65</v>
      </c>
    </row>
    <row r="195" spans="1:19">
      <c r="A195" s="717" t="str">
        <f>抵押物清单!C175</f>
        <v>3-266</v>
      </c>
      <c r="B195" s="717">
        <f>抵押物清单!E175</f>
        <v>53.66</v>
      </c>
      <c r="C195" s="24">
        <f t="shared" si="33"/>
        <v>1.02</v>
      </c>
      <c r="D195" s="719" t="s">
        <v>4049</v>
      </c>
      <c r="E195" s="24">
        <f t="shared" si="34"/>
        <v>0.95</v>
      </c>
      <c r="F195" s="719"/>
      <c r="G195" s="24">
        <f t="shared" si="35"/>
        <v>1</v>
      </c>
      <c r="H195" s="719"/>
      <c r="I195" s="24">
        <f t="shared" si="36"/>
        <v>1</v>
      </c>
      <c r="J195" s="719"/>
      <c r="K195" s="24">
        <f t="shared" si="37"/>
        <v>1</v>
      </c>
      <c r="L195" s="719"/>
      <c r="M195" s="24">
        <f t="shared" si="38"/>
        <v>1</v>
      </c>
      <c r="N195" s="719"/>
      <c r="O195" s="24">
        <f t="shared" si="39"/>
        <v>1</v>
      </c>
      <c r="P195" s="719" t="s">
        <v>4108</v>
      </c>
      <c r="Q195" s="24">
        <f t="shared" si="40"/>
        <v>0.65</v>
      </c>
      <c r="R195" s="715">
        <f t="shared" ca="1" si="41"/>
        <v>16139</v>
      </c>
      <c r="S195" s="361">
        <f t="shared" ca="1" si="42"/>
        <v>87</v>
      </c>
    </row>
    <row r="196" spans="1:19">
      <c r="A196" s="717" t="str">
        <f>抵押物清单!C176</f>
        <v>3-267</v>
      </c>
      <c r="B196" s="717">
        <f>抵押物清单!E176</f>
        <v>41.73</v>
      </c>
      <c r="C196" s="24">
        <f t="shared" si="33"/>
        <v>1.04</v>
      </c>
      <c r="D196" s="719" t="s">
        <v>4049</v>
      </c>
      <c r="E196" s="24">
        <f t="shared" si="34"/>
        <v>0.95</v>
      </c>
      <c r="F196" s="719"/>
      <c r="G196" s="24">
        <f t="shared" si="35"/>
        <v>1</v>
      </c>
      <c r="H196" s="719"/>
      <c r="I196" s="24">
        <f t="shared" si="36"/>
        <v>1</v>
      </c>
      <c r="J196" s="719"/>
      <c r="K196" s="24">
        <f t="shared" si="37"/>
        <v>1</v>
      </c>
      <c r="L196" s="719"/>
      <c r="M196" s="24">
        <f t="shared" si="38"/>
        <v>1</v>
      </c>
      <c r="N196" s="719"/>
      <c r="O196" s="24">
        <f t="shared" si="39"/>
        <v>1</v>
      </c>
      <c r="P196" s="719" t="s">
        <v>4108</v>
      </c>
      <c r="Q196" s="24">
        <f t="shared" si="40"/>
        <v>0.65</v>
      </c>
      <c r="R196" s="715">
        <f t="shared" ca="1" si="41"/>
        <v>16455</v>
      </c>
      <c r="S196" s="361">
        <f t="shared" ca="1" si="42"/>
        <v>69</v>
      </c>
    </row>
    <row r="197" spans="1:19">
      <c r="A197" s="717" t="str">
        <f>抵押物清单!C177</f>
        <v>3-268</v>
      </c>
      <c r="B197" s="717">
        <f>抵押物清单!E177</f>
        <v>77.48</v>
      </c>
      <c r="C197" s="24">
        <f t="shared" si="33"/>
        <v>1.02</v>
      </c>
      <c r="D197" s="719" t="s">
        <v>4049</v>
      </c>
      <c r="E197" s="24">
        <f t="shared" si="34"/>
        <v>0.95</v>
      </c>
      <c r="F197" s="719"/>
      <c r="G197" s="24">
        <f t="shared" si="35"/>
        <v>1</v>
      </c>
      <c r="H197" s="719"/>
      <c r="I197" s="24">
        <f t="shared" si="36"/>
        <v>1</v>
      </c>
      <c r="J197" s="719"/>
      <c r="K197" s="24">
        <f t="shared" si="37"/>
        <v>1</v>
      </c>
      <c r="L197" s="719"/>
      <c r="M197" s="24">
        <f t="shared" si="38"/>
        <v>1</v>
      </c>
      <c r="N197" s="719"/>
      <c r="O197" s="24">
        <f t="shared" si="39"/>
        <v>1</v>
      </c>
      <c r="P197" s="719" t="s">
        <v>4108</v>
      </c>
      <c r="Q197" s="24">
        <f t="shared" si="40"/>
        <v>0.65</v>
      </c>
      <c r="R197" s="715">
        <f t="shared" ca="1" si="41"/>
        <v>16139</v>
      </c>
      <c r="S197" s="361">
        <f t="shared" ca="1" si="42"/>
        <v>125</v>
      </c>
    </row>
    <row r="198" spans="1:19">
      <c r="A198" s="717" t="str">
        <f>抵押物清单!C178</f>
        <v>3-269</v>
      </c>
      <c r="B198" s="717">
        <f>抵押物清单!E178</f>
        <v>77.349999999999994</v>
      </c>
      <c r="C198" s="24">
        <f t="shared" si="33"/>
        <v>1.02</v>
      </c>
      <c r="D198" s="719" t="s">
        <v>4049</v>
      </c>
      <c r="E198" s="24">
        <f t="shared" si="34"/>
        <v>0.95</v>
      </c>
      <c r="F198" s="719"/>
      <c r="G198" s="24">
        <f t="shared" si="35"/>
        <v>1</v>
      </c>
      <c r="H198" s="719"/>
      <c r="I198" s="24">
        <f t="shared" si="36"/>
        <v>1</v>
      </c>
      <c r="J198" s="719"/>
      <c r="K198" s="24">
        <f t="shared" si="37"/>
        <v>1</v>
      </c>
      <c r="L198" s="719"/>
      <c r="M198" s="24">
        <f t="shared" si="38"/>
        <v>1</v>
      </c>
      <c r="N198" s="719"/>
      <c r="O198" s="24">
        <f t="shared" si="39"/>
        <v>1</v>
      </c>
      <c r="P198" s="719" t="s">
        <v>4108</v>
      </c>
      <c r="Q198" s="24">
        <f t="shared" si="40"/>
        <v>0.65</v>
      </c>
      <c r="R198" s="715">
        <f t="shared" ca="1" si="41"/>
        <v>16139</v>
      </c>
      <c r="S198" s="361">
        <f t="shared" ca="1" si="42"/>
        <v>125</v>
      </c>
    </row>
    <row r="199" spans="1:19">
      <c r="A199" s="717" t="str">
        <f>抵押物清单!C179</f>
        <v>3-270</v>
      </c>
      <c r="B199" s="717">
        <f>抵押物清单!E179</f>
        <v>40.65</v>
      </c>
      <c r="C199" s="24">
        <f t="shared" si="33"/>
        <v>1.04</v>
      </c>
      <c r="D199" s="719" t="s">
        <v>4049</v>
      </c>
      <c r="E199" s="24">
        <f t="shared" si="34"/>
        <v>0.95</v>
      </c>
      <c r="F199" s="719"/>
      <c r="G199" s="24">
        <f t="shared" si="35"/>
        <v>1</v>
      </c>
      <c r="H199" s="719"/>
      <c r="I199" s="24">
        <f t="shared" si="36"/>
        <v>1</v>
      </c>
      <c r="J199" s="719"/>
      <c r="K199" s="24">
        <f t="shared" si="37"/>
        <v>1</v>
      </c>
      <c r="L199" s="719"/>
      <c r="M199" s="24">
        <f t="shared" si="38"/>
        <v>1</v>
      </c>
      <c r="N199" s="719"/>
      <c r="O199" s="24">
        <f t="shared" si="39"/>
        <v>1</v>
      </c>
      <c r="P199" s="719" t="s">
        <v>4108</v>
      </c>
      <c r="Q199" s="24">
        <f t="shared" si="40"/>
        <v>0.65</v>
      </c>
      <c r="R199" s="715">
        <f t="shared" ca="1" si="41"/>
        <v>16455</v>
      </c>
      <c r="S199" s="361">
        <f t="shared" ca="1" si="42"/>
        <v>67</v>
      </c>
    </row>
    <row r="200" spans="1:19">
      <c r="A200" s="717" t="str">
        <f>抵押物清单!C180</f>
        <v>3-271</v>
      </c>
      <c r="B200" s="717">
        <f>抵押物清单!E180</f>
        <v>40.65</v>
      </c>
      <c r="C200" s="24">
        <f t="shared" si="33"/>
        <v>1.04</v>
      </c>
      <c r="D200" s="719" t="s">
        <v>4049</v>
      </c>
      <c r="E200" s="24">
        <f t="shared" si="34"/>
        <v>0.95</v>
      </c>
      <c r="F200" s="719"/>
      <c r="G200" s="24">
        <f t="shared" si="35"/>
        <v>1</v>
      </c>
      <c r="H200" s="719"/>
      <c r="I200" s="24">
        <f t="shared" si="36"/>
        <v>1</v>
      </c>
      <c r="J200" s="719"/>
      <c r="K200" s="24">
        <f t="shared" si="37"/>
        <v>1</v>
      </c>
      <c r="L200" s="719"/>
      <c r="M200" s="24">
        <f t="shared" si="38"/>
        <v>1</v>
      </c>
      <c r="N200" s="719"/>
      <c r="O200" s="24">
        <f t="shared" si="39"/>
        <v>1</v>
      </c>
      <c r="P200" s="719" t="s">
        <v>4108</v>
      </c>
      <c r="Q200" s="24">
        <f t="shared" si="40"/>
        <v>0.65</v>
      </c>
      <c r="R200" s="715">
        <f t="shared" ca="1" si="41"/>
        <v>16455</v>
      </c>
      <c r="S200" s="361">
        <f t="shared" ca="1" si="42"/>
        <v>67</v>
      </c>
    </row>
    <row r="201" spans="1:19">
      <c r="A201" s="717" t="str">
        <f>抵押物清单!C181</f>
        <v>3-272</v>
      </c>
      <c r="B201" s="717">
        <f>抵押物清单!E181</f>
        <v>40.65</v>
      </c>
      <c r="C201" s="24">
        <f t="shared" si="33"/>
        <v>1.04</v>
      </c>
      <c r="D201" s="719" t="s">
        <v>4049</v>
      </c>
      <c r="E201" s="24">
        <f t="shared" si="34"/>
        <v>0.95</v>
      </c>
      <c r="F201" s="719"/>
      <c r="G201" s="24">
        <f t="shared" si="35"/>
        <v>1</v>
      </c>
      <c r="H201" s="719"/>
      <c r="I201" s="24">
        <f t="shared" si="36"/>
        <v>1</v>
      </c>
      <c r="J201" s="719"/>
      <c r="K201" s="24">
        <f t="shared" si="37"/>
        <v>1</v>
      </c>
      <c r="L201" s="719"/>
      <c r="M201" s="24">
        <f t="shared" si="38"/>
        <v>1</v>
      </c>
      <c r="N201" s="719"/>
      <c r="O201" s="24">
        <f t="shared" si="39"/>
        <v>1</v>
      </c>
      <c r="P201" s="719" t="s">
        <v>4108</v>
      </c>
      <c r="Q201" s="24">
        <f t="shared" si="40"/>
        <v>0.65</v>
      </c>
      <c r="R201" s="715">
        <f t="shared" ca="1" si="41"/>
        <v>16455</v>
      </c>
      <c r="S201" s="361">
        <f t="shared" ca="1" si="42"/>
        <v>67</v>
      </c>
    </row>
    <row r="202" spans="1:19">
      <c r="A202" s="717" t="str">
        <f>抵押物清单!C182</f>
        <v>3-273</v>
      </c>
      <c r="B202" s="717">
        <f>抵押物清单!E182</f>
        <v>40.65</v>
      </c>
      <c r="C202" s="24">
        <f t="shared" si="33"/>
        <v>1.04</v>
      </c>
      <c r="D202" s="719" t="s">
        <v>4049</v>
      </c>
      <c r="E202" s="24">
        <f t="shared" si="34"/>
        <v>0.95</v>
      </c>
      <c r="F202" s="719"/>
      <c r="G202" s="24">
        <f t="shared" si="35"/>
        <v>1</v>
      </c>
      <c r="H202" s="719"/>
      <c r="I202" s="24">
        <f t="shared" si="36"/>
        <v>1</v>
      </c>
      <c r="J202" s="719"/>
      <c r="K202" s="24">
        <f t="shared" si="37"/>
        <v>1</v>
      </c>
      <c r="L202" s="719"/>
      <c r="M202" s="24">
        <f t="shared" si="38"/>
        <v>1</v>
      </c>
      <c r="N202" s="719"/>
      <c r="O202" s="24">
        <f t="shared" si="39"/>
        <v>1</v>
      </c>
      <c r="P202" s="719" t="s">
        <v>4108</v>
      </c>
      <c r="Q202" s="24">
        <f t="shared" si="40"/>
        <v>0.65</v>
      </c>
      <c r="R202" s="715">
        <f t="shared" ca="1" si="41"/>
        <v>16455</v>
      </c>
      <c r="S202" s="361">
        <f t="shared" ca="1" si="42"/>
        <v>67</v>
      </c>
    </row>
    <row r="203" spans="1:19">
      <c r="A203" s="717" t="str">
        <f>抵押物清单!C183</f>
        <v>3-274</v>
      </c>
      <c r="B203" s="717">
        <f>抵押物清单!E183</f>
        <v>40.65</v>
      </c>
      <c r="C203" s="24">
        <f t="shared" si="33"/>
        <v>1.04</v>
      </c>
      <c r="D203" s="719" t="s">
        <v>4049</v>
      </c>
      <c r="E203" s="24">
        <f t="shared" si="34"/>
        <v>0.95</v>
      </c>
      <c r="F203" s="719"/>
      <c r="G203" s="24">
        <f t="shared" si="35"/>
        <v>1</v>
      </c>
      <c r="H203" s="719"/>
      <c r="I203" s="24">
        <f t="shared" si="36"/>
        <v>1</v>
      </c>
      <c r="J203" s="719"/>
      <c r="K203" s="24">
        <f t="shared" si="37"/>
        <v>1</v>
      </c>
      <c r="L203" s="719"/>
      <c r="M203" s="24">
        <f t="shared" si="38"/>
        <v>1</v>
      </c>
      <c r="N203" s="719"/>
      <c r="O203" s="24">
        <f t="shared" si="39"/>
        <v>1</v>
      </c>
      <c r="P203" s="719" t="s">
        <v>4108</v>
      </c>
      <c r="Q203" s="24">
        <f t="shared" si="40"/>
        <v>0.65</v>
      </c>
      <c r="R203" s="715">
        <f t="shared" ca="1" si="41"/>
        <v>16455</v>
      </c>
      <c r="S203" s="361">
        <f t="shared" ca="1" si="42"/>
        <v>67</v>
      </c>
    </row>
    <row r="204" spans="1:19">
      <c r="A204" s="717" t="str">
        <f>抵押物清单!C184</f>
        <v>3-275</v>
      </c>
      <c r="B204" s="717">
        <f>抵押物清单!E184</f>
        <v>40.65</v>
      </c>
      <c r="C204" s="24">
        <f t="shared" si="33"/>
        <v>1.04</v>
      </c>
      <c r="D204" s="719" t="s">
        <v>4049</v>
      </c>
      <c r="E204" s="24">
        <f t="shared" si="34"/>
        <v>0.95</v>
      </c>
      <c r="F204" s="719"/>
      <c r="G204" s="24">
        <f t="shared" si="35"/>
        <v>1</v>
      </c>
      <c r="H204" s="719"/>
      <c r="I204" s="24">
        <f t="shared" si="36"/>
        <v>1</v>
      </c>
      <c r="J204" s="719"/>
      <c r="K204" s="24">
        <f t="shared" si="37"/>
        <v>1</v>
      </c>
      <c r="L204" s="719"/>
      <c r="M204" s="24">
        <f t="shared" si="38"/>
        <v>1</v>
      </c>
      <c r="N204" s="719"/>
      <c r="O204" s="24">
        <f t="shared" si="39"/>
        <v>1</v>
      </c>
      <c r="P204" s="719" t="s">
        <v>4108</v>
      </c>
      <c r="Q204" s="24">
        <f t="shared" si="40"/>
        <v>0.65</v>
      </c>
      <c r="R204" s="715">
        <f t="shared" ca="1" si="41"/>
        <v>16455</v>
      </c>
      <c r="S204" s="361">
        <f t="shared" ca="1" si="42"/>
        <v>67</v>
      </c>
    </row>
    <row r="205" spans="1:19">
      <c r="A205" s="717" t="str">
        <f>抵押物清单!C185</f>
        <v>3-276</v>
      </c>
      <c r="B205" s="717">
        <f>抵押物清单!E185</f>
        <v>30.18</v>
      </c>
      <c r="C205" s="24">
        <f t="shared" si="33"/>
        <v>1.04</v>
      </c>
      <c r="D205" s="719" t="s">
        <v>4049</v>
      </c>
      <c r="E205" s="24">
        <f t="shared" si="34"/>
        <v>0.95</v>
      </c>
      <c r="F205" s="719"/>
      <c r="G205" s="24">
        <f t="shared" si="35"/>
        <v>1</v>
      </c>
      <c r="H205" s="719"/>
      <c r="I205" s="24">
        <f t="shared" si="36"/>
        <v>1</v>
      </c>
      <c r="J205" s="719"/>
      <c r="K205" s="24">
        <f t="shared" si="37"/>
        <v>1</v>
      </c>
      <c r="L205" s="719"/>
      <c r="M205" s="24">
        <f t="shared" si="38"/>
        <v>1</v>
      </c>
      <c r="N205" s="719"/>
      <c r="O205" s="24">
        <f t="shared" si="39"/>
        <v>1</v>
      </c>
      <c r="P205" s="719" t="s">
        <v>4108</v>
      </c>
      <c r="Q205" s="24">
        <f t="shared" si="40"/>
        <v>0.65</v>
      </c>
      <c r="R205" s="715">
        <f t="shared" ca="1" si="41"/>
        <v>16455</v>
      </c>
      <c r="S205" s="361">
        <f t="shared" ca="1" si="42"/>
        <v>50</v>
      </c>
    </row>
    <row r="206" spans="1:19">
      <c r="A206" s="717" t="str">
        <f>抵押物清单!C186</f>
        <v>3-277</v>
      </c>
      <c r="B206" s="717">
        <f>抵押物清单!E186</f>
        <v>28.1</v>
      </c>
      <c r="C206" s="24">
        <f t="shared" si="33"/>
        <v>1.04</v>
      </c>
      <c r="D206" s="719" t="s">
        <v>4049</v>
      </c>
      <c r="E206" s="24">
        <f t="shared" si="34"/>
        <v>0.95</v>
      </c>
      <c r="F206" s="719"/>
      <c r="G206" s="24">
        <f t="shared" si="35"/>
        <v>1</v>
      </c>
      <c r="H206" s="719"/>
      <c r="I206" s="24">
        <f t="shared" si="36"/>
        <v>1</v>
      </c>
      <c r="J206" s="719"/>
      <c r="K206" s="24">
        <f t="shared" si="37"/>
        <v>1</v>
      </c>
      <c r="L206" s="719"/>
      <c r="M206" s="24">
        <f t="shared" si="38"/>
        <v>1</v>
      </c>
      <c r="N206" s="719"/>
      <c r="O206" s="24">
        <f t="shared" si="39"/>
        <v>1</v>
      </c>
      <c r="P206" s="719" t="s">
        <v>4108</v>
      </c>
      <c r="Q206" s="24">
        <f t="shared" si="40"/>
        <v>0.65</v>
      </c>
      <c r="R206" s="715">
        <f t="shared" ca="1" si="41"/>
        <v>16455</v>
      </c>
      <c r="S206" s="361">
        <f t="shared" ca="1" si="42"/>
        <v>46</v>
      </c>
    </row>
    <row r="207" spans="1:19">
      <c r="A207" s="717" t="str">
        <f>抵押物清单!C187</f>
        <v>3-278</v>
      </c>
      <c r="B207" s="717">
        <f>抵押物清单!E187</f>
        <v>29.14</v>
      </c>
      <c r="C207" s="24">
        <f t="shared" si="33"/>
        <v>1.04</v>
      </c>
      <c r="D207" s="719" t="s">
        <v>4049</v>
      </c>
      <c r="E207" s="24">
        <f t="shared" si="34"/>
        <v>0.95</v>
      </c>
      <c r="F207" s="719"/>
      <c r="G207" s="24">
        <f t="shared" si="35"/>
        <v>1</v>
      </c>
      <c r="H207" s="719"/>
      <c r="I207" s="24">
        <f t="shared" si="36"/>
        <v>1</v>
      </c>
      <c r="J207" s="719"/>
      <c r="K207" s="24">
        <f t="shared" si="37"/>
        <v>1</v>
      </c>
      <c r="L207" s="719"/>
      <c r="M207" s="24">
        <f t="shared" si="38"/>
        <v>1</v>
      </c>
      <c r="N207" s="719"/>
      <c r="O207" s="24">
        <f t="shared" si="39"/>
        <v>1</v>
      </c>
      <c r="P207" s="719" t="s">
        <v>4108</v>
      </c>
      <c r="Q207" s="24">
        <f t="shared" si="40"/>
        <v>0.65</v>
      </c>
      <c r="R207" s="715">
        <f t="shared" ca="1" si="41"/>
        <v>16455</v>
      </c>
      <c r="S207" s="361">
        <f t="shared" ca="1" si="42"/>
        <v>48</v>
      </c>
    </row>
    <row r="208" spans="1:19">
      <c r="A208" s="717" t="str">
        <f>抵押物清单!C188</f>
        <v>3-279</v>
      </c>
      <c r="B208" s="717">
        <f>抵押物清单!E188</f>
        <v>29.14</v>
      </c>
      <c r="C208" s="24">
        <f t="shared" si="33"/>
        <v>1.04</v>
      </c>
      <c r="D208" s="719" t="s">
        <v>4049</v>
      </c>
      <c r="E208" s="24">
        <f t="shared" si="34"/>
        <v>0.95</v>
      </c>
      <c r="F208" s="719"/>
      <c r="G208" s="24">
        <f t="shared" si="35"/>
        <v>1</v>
      </c>
      <c r="H208" s="719"/>
      <c r="I208" s="24">
        <f t="shared" si="36"/>
        <v>1</v>
      </c>
      <c r="J208" s="719"/>
      <c r="K208" s="24">
        <f t="shared" si="37"/>
        <v>1</v>
      </c>
      <c r="L208" s="719"/>
      <c r="M208" s="24">
        <f t="shared" si="38"/>
        <v>1</v>
      </c>
      <c r="N208" s="719"/>
      <c r="O208" s="24">
        <f t="shared" si="39"/>
        <v>1</v>
      </c>
      <c r="P208" s="719" t="s">
        <v>4108</v>
      </c>
      <c r="Q208" s="24">
        <f t="shared" si="40"/>
        <v>0.65</v>
      </c>
      <c r="R208" s="715">
        <f t="shared" ca="1" si="41"/>
        <v>16455</v>
      </c>
      <c r="S208" s="361">
        <f t="shared" ca="1" si="42"/>
        <v>48</v>
      </c>
    </row>
    <row r="209" spans="1:19">
      <c r="A209" s="717" t="str">
        <f>抵押物清单!C189</f>
        <v>3-280</v>
      </c>
      <c r="B209" s="717">
        <f>抵押物清单!E189</f>
        <v>29.14</v>
      </c>
      <c r="C209" s="24">
        <f t="shared" si="33"/>
        <v>1.04</v>
      </c>
      <c r="D209" s="719" t="s">
        <v>4049</v>
      </c>
      <c r="E209" s="24">
        <f t="shared" si="34"/>
        <v>0.95</v>
      </c>
      <c r="F209" s="719"/>
      <c r="G209" s="24">
        <f t="shared" si="35"/>
        <v>1</v>
      </c>
      <c r="H209" s="719"/>
      <c r="I209" s="24">
        <f t="shared" si="36"/>
        <v>1</v>
      </c>
      <c r="J209" s="719"/>
      <c r="K209" s="24">
        <f t="shared" si="37"/>
        <v>1</v>
      </c>
      <c r="L209" s="719"/>
      <c r="M209" s="24">
        <f t="shared" si="38"/>
        <v>1</v>
      </c>
      <c r="N209" s="719"/>
      <c r="O209" s="24">
        <f t="shared" si="39"/>
        <v>1</v>
      </c>
      <c r="P209" s="719" t="s">
        <v>4108</v>
      </c>
      <c r="Q209" s="24">
        <f t="shared" si="40"/>
        <v>0.65</v>
      </c>
      <c r="R209" s="715">
        <f t="shared" ca="1" si="41"/>
        <v>16455</v>
      </c>
      <c r="S209" s="361">
        <f t="shared" ca="1" si="42"/>
        <v>48</v>
      </c>
    </row>
    <row r="210" spans="1:19">
      <c r="A210" s="717" t="str">
        <f>抵押物清单!C190</f>
        <v>3-281</v>
      </c>
      <c r="B210" s="717">
        <f>抵押物清单!E190</f>
        <v>29.14</v>
      </c>
      <c r="C210" s="24">
        <f t="shared" si="33"/>
        <v>1.04</v>
      </c>
      <c r="D210" s="719" t="s">
        <v>4049</v>
      </c>
      <c r="E210" s="24">
        <f t="shared" si="34"/>
        <v>0.95</v>
      </c>
      <c r="F210" s="719"/>
      <c r="G210" s="24">
        <f t="shared" si="35"/>
        <v>1</v>
      </c>
      <c r="H210" s="719"/>
      <c r="I210" s="24">
        <f t="shared" si="36"/>
        <v>1</v>
      </c>
      <c r="J210" s="719"/>
      <c r="K210" s="24">
        <f t="shared" si="37"/>
        <v>1</v>
      </c>
      <c r="L210" s="719"/>
      <c r="M210" s="24">
        <f t="shared" si="38"/>
        <v>1</v>
      </c>
      <c r="N210" s="719"/>
      <c r="O210" s="24">
        <f t="shared" si="39"/>
        <v>1</v>
      </c>
      <c r="P210" s="719" t="s">
        <v>4108</v>
      </c>
      <c r="Q210" s="24">
        <f t="shared" si="40"/>
        <v>0.65</v>
      </c>
      <c r="R210" s="715">
        <f t="shared" ca="1" si="41"/>
        <v>16455</v>
      </c>
      <c r="S210" s="361">
        <f t="shared" ca="1" si="42"/>
        <v>48</v>
      </c>
    </row>
    <row r="211" spans="1:19">
      <c r="A211" s="717" t="str">
        <f>抵押物清单!C191</f>
        <v>3-282</v>
      </c>
      <c r="B211" s="717">
        <f>抵押物清单!E191</f>
        <v>29.14</v>
      </c>
      <c r="C211" s="24">
        <f t="shared" si="33"/>
        <v>1.04</v>
      </c>
      <c r="D211" s="719" t="s">
        <v>4049</v>
      </c>
      <c r="E211" s="24">
        <f t="shared" si="34"/>
        <v>0.95</v>
      </c>
      <c r="F211" s="719"/>
      <c r="G211" s="24">
        <f t="shared" si="35"/>
        <v>1</v>
      </c>
      <c r="H211" s="719"/>
      <c r="I211" s="24">
        <f t="shared" si="36"/>
        <v>1</v>
      </c>
      <c r="J211" s="719"/>
      <c r="K211" s="24">
        <f t="shared" si="37"/>
        <v>1</v>
      </c>
      <c r="L211" s="719"/>
      <c r="M211" s="24">
        <f t="shared" si="38"/>
        <v>1</v>
      </c>
      <c r="N211" s="719"/>
      <c r="O211" s="24">
        <f t="shared" si="39"/>
        <v>1</v>
      </c>
      <c r="P211" s="719" t="s">
        <v>4108</v>
      </c>
      <c r="Q211" s="24">
        <f t="shared" si="40"/>
        <v>0.65</v>
      </c>
      <c r="R211" s="715">
        <f t="shared" ca="1" si="41"/>
        <v>16455</v>
      </c>
      <c r="S211" s="361">
        <f t="shared" ca="1" si="42"/>
        <v>48</v>
      </c>
    </row>
    <row r="212" spans="1:19">
      <c r="A212" s="717" t="str">
        <f>抵押物清单!C192</f>
        <v>3-283</v>
      </c>
      <c r="B212" s="717">
        <f>抵押物清单!E192</f>
        <v>29.14</v>
      </c>
      <c r="C212" s="24">
        <f t="shared" si="33"/>
        <v>1.04</v>
      </c>
      <c r="D212" s="719" t="s">
        <v>4049</v>
      </c>
      <c r="E212" s="24">
        <f t="shared" si="34"/>
        <v>0.95</v>
      </c>
      <c r="F212" s="719"/>
      <c r="G212" s="24">
        <f t="shared" si="35"/>
        <v>1</v>
      </c>
      <c r="H212" s="719"/>
      <c r="I212" s="24">
        <f t="shared" si="36"/>
        <v>1</v>
      </c>
      <c r="J212" s="719"/>
      <c r="K212" s="24">
        <f t="shared" si="37"/>
        <v>1</v>
      </c>
      <c r="L212" s="719"/>
      <c r="M212" s="24">
        <f t="shared" si="38"/>
        <v>1</v>
      </c>
      <c r="N212" s="719"/>
      <c r="O212" s="24">
        <f t="shared" si="39"/>
        <v>1</v>
      </c>
      <c r="P212" s="719" t="s">
        <v>4108</v>
      </c>
      <c r="Q212" s="24">
        <f t="shared" si="40"/>
        <v>0.65</v>
      </c>
      <c r="R212" s="715">
        <f t="shared" ca="1" si="41"/>
        <v>16455</v>
      </c>
      <c r="S212" s="361">
        <f t="shared" ca="1" si="42"/>
        <v>48</v>
      </c>
    </row>
    <row r="213" spans="1:19">
      <c r="A213" s="717" t="str">
        <f>抵押物清单!C193</f>
        <v>3-284</v>
      </c>
      <c r="B213" s="717">
        <f>抵押物清单!E193</f>
        <v>30.53</v>
      </c>
      <c r="C213" s="24">
        <f t="shared" si="33"/>
        <v>1.04</v>
      </c>
      <c r="D213" s="719" t="s">
        <v>4049</v>
      </c>
      <c r="E213" s="24">
        <f t="shared" si="34"/>
        <v>0.95</v>
      </c>
      <c r="F213" s="719"/>
      <c r="G213" s="24">
        <f t="shared" si="35"/>
        <v>1</v>
      </c>
      <c r="H213" s="719"/>
      <c r="I213" s="24">
        <f t="shared" si="36"/>
        <v>1</v>
      </c>
      <c r="J213" s="719"/>
      <c r="K213" s="24">
        <f t="shared" si="37"/>
        <v>1</v>
      </c>
      <c r="L213" s="719"/>
      <c r="M213" s="24">
        <f t="shared" si="38"/>
        <v>1</v>
      </c>
      <c r="N213" s="719"/>
      <c r="O213" s="24">
        <f t="shared" si="39"/>
        <v>1</v>
      </c>
      <c r="P213" s="719" t="s">
        <v>4108</v>
      </c>
      <c r="Q213" s="24">
        <f t="shared" si="40"/>
        <v>0.65</v>
      </c>
      <c r="R213" s="715">
        <f t="shared" ca="1" si="41"/>
        <v>16455</v>
      </c>
      <c r="S213" s="361">
        <f t="shared" ca="1" si="42"/>
        <v>50</v>
      </c>
    </row>
    <row r="214" spans="1:19">
      <c r="A214" s="717" t="str">
        <f>抵押物清单!C194</f>
        <v>3-301</v>
      </c>
      <c r="B214" s="717">
        <f>抵押物清单!E194</f>
        <v>194.79</v>
      </c>
      <c r="C214" s="24">
        <f t="shared" si="33"/>
        <v>1</v>
      </c>
      <c r="D214" s="719" t="s">
        <v>4049</v>
      </c>
      <c r="E214" s="24">
        <f t="shared" si="34"/>
        <v>0.95</v>
      </c>
      <c r="F214" s="719"/>
      <c r="G214" s="24">
        <f t="shared" si="35"/>
        <v>1</v>
      </c>
      <c r="H214" s="719"/>
      <c r="I214" s="24">
        <f t="shared" si="36"/>
        <v>1</v>
      </c>
      <c r="J214" s="719"/>
      <c r="K214" s="24">
        <f t="shared" si="37"/>
        <v>1</v>
      </c>
      <c r="L214" s="719"/>
      <c r="M214" s="24">
        <f t="shared" si="38"/>
        <v>1</v>
      </c>
      <c r="N214" s="719"/>
      <c r="O214" s="24">
        <f t="shared" si="39"/>
        <v>1</v>
      </c>
      <c r="P214" s="719" t="s">
        <v>4109</v>
      </c>
      <c r="Q214" s="24">
        <f t="shared" si="40"/>
        <v>0.55000000000000004</v>
      </c>
      <c r="R214" s="715">
        <f t="shared" ca="1" si="41"/>
        <v>13388</v>
      </c>
      <c r="S214" s="361">
        <f t="shared" ca="1" si="42"/>
        <v>261</v>
      </c>
    </row>
    <row r="215" spans="1:19">
      <c r="A215" s="717" t="str">
        <f>抵押物清单!C195</f>
        <v>3-302</v>
      </c>
      <c r="B215" s="717">
        <f>抵押物清单!E195</f>
        <v>188.12</v>
      </c>
      <c r="C215" s="24">
        <f t="shared" si="33"/>
        <v>1</v>
      </c>
      <c r="D215" s="719" t="s">
        <v>4049</v>
      </c>
      <c r="E215" s="24">
        <f t="shared" si="34"/>
        <v>0.95</v>
      </c>
      <c r="F215" s="719"/>
      <c r="G215" s="24">
        <f t="shared" si="35"/>
        <v>1</v>
      </c>
      <c r="H215" s="719"/>
      <c r="I215" s="24">
        <f t="shared" si="36"/>
        <v>1</v>
      </c>
      <c r="J215" s="719"/>
      <c r="K215" s="24">
        <f t="shared" si="37"/>
        <v>1</v>
      </c>
      <c r="L215" s="719"/>
      <c r="M215" s="24">
        <f t="shared" si="38"/>
        <v>1</v>
      </c>
      <c r="N215" s="719"/>
      <c r="O215" s="24">
        <f t="shared" si="39"/>
        <v>1</v>
      </c>
      <c r="P215" s="719" t="s">
        <v>4109</v>
      </c>
      <c r="Q215" s="24">
        <f t="shared" si="40"/>
        <v>0.55000000000000004</v>
      </c>
      <c r="R215" s="715">
        <f t="shared" ca="1" si="41"/>
        <v>13388</v>
      </c>
      <c r="S215" s="361">
        <f t="shared" ca="1" si="42"/>
        <v>252</v>
      </c>
    </row>
    <row r="216" spans="1:19">
      <c r="A216" s="717" t="str">
        <f>抵押物清单!C196</f>
        <v>3-303</v>
      </c>
      <c r="B216" s="717">
        <f>抵押物清单!E196</f>
        <v>162.9</v>
      </c>
      <c r="C216" s="24">
        <f t="shared" si="33"/>
        <v>1</v>
      </c>
      <c r="D216" s="719" t="s">
        <v>4049</v>
      </c>
      <c r="E216" s="24">
        <f t="shared" si="34"/>
        <v>0.95</v>
      </c>
      <c r="F216" s="719"/>
      <c r="G216" s="24">
        <f t="shared" si="35"/>
        <v>1</v>
      </c>
      <c r="H216" s="719"/>
      <c r="I216" s="24">
        <f t="shared" si="36"/>
        <v>1</v>
      </c>
      <c r="J216" s="719"/>
      <c r="K216" s="24">
        <f t="shared" si="37"/>
        <v>1</v>
      </c>
      <c r="L216" s="719"/>
      <c r="M216" s="24">
        <f t="shared" si="38"/>
        <v>1</v>
      </c>
      <c r="N216" s="719"/>
      <c r="O216" s="24">
        <f t="shared" si="39"/>
        <v>1</v>
      </c>
      <c r="P216" s="719" t="s">
        <v>4109</v>
      </c>
      <c r="Q216" s="24">
        <f t="shared" si="40"/>
        <v>0.55000000000000004</v>
      </c>
      <c r="R216" s="715">
        <f t="shared" ca="1" si="41"/>
        <v>13388</v>
      </c>
      <c r="S216" s="361">
        <f t="shared" ca="1" si="42"/>
        <v>218</v>
      </c>
    </row>
    <row r="217" spans="1:19">
      <c r="A217" s="717" t="str">
        <f>抵押物清单!C197</f>
        <v>3-304</v>
      </c>
      <c r="B217" s="717">
        <f>抵押物清单!E197</f>
        <v>195.78</v>
      </c>
      <c r="C217" s="24">
        <f t="shared" si="33"/>
        <v>1</v>
      </c>
      <c r="D217" s="719" t="s">
        <v>4049</v>
      </c>
      <c r="E217" s="24">
        <f t="shared" si="34"/>
        <v>0.95</v>
      </c>
      <c r="F217" s="719"/>
      <c r="G217" s="24">
        <f t="shared" si="35"/>
        <v>1</v>
      </c>
      <c r="H217" s="719"/>
      <c r="I217" s="24">
        <f t="shared" si="36"/>
        <v>1</v>
      </c>
      <c r="J217" s="719"/>
      <c r="K217" s="24">
        <f t="shared" si="37"/>
        <v>1</v>
      </c>
      <c r="L217" s="719"/>
      <c r="M217" s="24">
        <f t="shared" si="38"/>
        <v>1</v>
      </c>
      <c r="N217" s="719"/>
      <c r="O217" s="24">
        <f t="shared" si="39"/>
        <v>1</v>
      </c>
      <c r="P217" s="719" t="s">
        <v>4109</v>
      </c>
      <c r="Q217" s="24">
        <f t="shared" si="40"/>
        <v>0.55000000000000004</v>
      </c>
      <c r="R217" s="715">
        <f t="shared" ca="1" si="41"/>
        <v>13388</v>
      </c>
      <c r="S217" s="361">
        <f t="shared" ca="1" si="42"/>
        <v>262</v>
      </c>
    </row>
    <row r="218" spans="1:19">
      <c r="A218" s="717" t="str">
        <f>抵押物清单!C198</f>
        <v>3-305</v>
      </c>
      <c r="B218" s="717">
        <f>抵押物清单!E198</f>
        <v>165.67</v>
      </c>
      <c r="C218" s="24">
        <f t="shared" ref="C218:C281" si="43">IF(B218="",1,(LOOKUP(B218,$3:$3,$4:$4)-LOOKUP($B$24,$3:$3,$4:$4)+100)/100)</f>
        <v>1</v>
      </c>
      <c r="D218" s="719" t="s">
        <v>4049</v>
      </c>
      <c r="E218" s="24">
        <f t="shared" ref="E218:E281" si="44">(SUMIF($5:$5,D218,$6:$6)-SUMIF($5:$5,$D$24,$6:$6)+100)/100</f>
        <v>0.95</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4109</v>
      </c>
      <c r="Q218" s="24">
        <f t="shared" ref="Q218:Q281" si="50">(SUMIF($17:$17,P218,$18:$18)-SUMIF($17:$17,$P$24,$18:$18)+100)/100</f>
        <v>0.55000000000000004</v>
      </c>
      <c r="R218" s="715">
        <f t="shared" ref="R218:R281" ca="1" si="51">IF(B218="",0,ROUND($R$24*C218*E218*G218*I218*K218*M218*O218*Q218,0))</f>
        <v>13388</v>
      </c>
      <c r="S218" s="361">
        <f t="shared" ca="1" si="42"/>
        <v>222</v>
      </c>
    </row>
    <row r="219" spans="1:19">
      <c r="A219" s="717" t="str">
        <f>抵押物清单!C199</f>
        <v>3-306</v>
      </c>
      <c r="B219" s="717">
        <f>抵押物清单!E199</f>
        <v>159.47999999999999</v>
      </c>
      <c r="C219" s="24">
        <f t="shared" si="43"/>
        <v>1</v>
      </c>
      <c r="D219" s="719" t="s">
        <v>4049</v>
      </c>
      <c r="E219" s="24">
        <f t="shared" si="44"/>
        <v>0.95</v>
      </c>
      <c r="F219" s="719"/>
      <c r="G219" s="24">
        <f t="shared" si="45"/>
        <v>1</v>
      </c>
      <c r="H219" s="719"/>
      <c r="I219" s="24">
        <f t="shared" si="46"/>
        <v>1</v>
      </c>
      <c r="J219" s="719"/>
      <c r="K219" s="24">
        <f t="shared" si="47"/>
        <v>1</v>
      </c>
      <c r="L219" s="719"/>
      <c r="M219" s="24">
        <f t="shared" si="48"/>
        <v>1</v>
      </c>
      <c r="N219" s="719"/>
      <c r="O219" s="24">
        <f t="shared" si="49"/>
        <v>1</v>
      </c>
      <c r="P219" s="719" t="s">
        <v>4109</v>
      </c>
      <c r="Q219" s="24">
        <f t="shared" si="50"/>
        <v>0.55000000000000004</v>
      </c>
      <c r="R219" s="715">
        <f t="shared" ca="1" si="51"/>
        <v>13388</v>
      </c>
      <c r="S219" s="361">
        <f t="shared" ca="1" si="42"/>
        <v>214</v>
      </c>
    </row>
    <row r="220" spans="1:19">
      <c r="A220" s="717" t="str">
        <f>抵押物清单!C200</f>
        <v>3-307</v>
      </c>
      <c r="B220" s="717">
        <f>抵押物清单!E200</f>
        <v>165.09</v>
      </c>
      <c r="C220" s="24">
        <f t="shared" si="43"/>
        <v>1</v>
      </c>
      <c r="D220" s="719" t="s">
        <v>4049</v>
      </c>
      <c r="E220" s="24">
        <f t="shared" si="44"/>
        <v>0.95</v>
      </c>
      <c r="F220" s="719"/>
      <c r="G220" s="24">
        <f t="shared" si="45"/>
        <v>1</v>
      </c>
      <c r="H220" s="719"/>
      <c r="I220" s="24">
        <f t="shared" si="46"/>
        <v>1</v>
      </c>
      <c r="J220" s="719"/>
      <c r="K220" s="24">
        <f t="shared" si="47"/>
        <v>1</v>
      </c>
      <c r="L220" s="719"/>
      <c r="M220" s="24">
        <f t="shared" si="48"/>
        <v>1</v>
      </c>
      <c r="N220" s="719"/>
      <c r="O220" s="24">
        <f t="shared" si="49"/>
        <v>1</v>
      </c>
      <c r="P220" s="719" t="s">
        <v>4109</v>
      </c>
      <c r="Q220" s="24">
        <f t="shared" si="50"/>
        <v>0.55000000000000004</v>
      </c>
      <c r="R220" s="715">
        <f t="shared" ca="1" si="51"/>
        <v>13388</v>
      </c>
      <c r="S220" s="361">
        <f t="shared" ca="1" si="42"/>
        <v>221</v>
      </c>
    </row>
    <row r="221" spans="1:19">
      <c r="A221" s="717" t="str">
        <f>抵押物清单!C201</f>
        <v>3-308</v>
      </c>
      <c r="B221" s="717">
        <f>抵押物清单!E201</f>
        <v>198.38</v>
      </c>
      <c r="C221" s="24">
        <f t="shared" si="43"/>
        <v>1</v>
      </c>
      <c r="D221" s="719" t="s">
        <v>4049</v>
      </c>
      <c r="E221" s="24">
        <f t="shared" si="44"/>
        <v>0.95</v>
      </c>
      <c r="F221" s="719"/>
      <c r="G221" s="24">
        <f t="shared" si="45"/>
        <v>1</v>
      </c>
      <c r="H221" s="719"/>
      <c r="I221" s="24">
        <f t="shared" si="46"/>
        <v>1</v>
      </c>
      <c r="J221" s="719"/>
      <c r="K221" s="24">
        <f t="shared" si="47"/>
        <v>1</v>
      </c>
      <c r="L221" s="719"/>
      <c r="M221" s="24">
        <f t="shared" si="48"/>
        <v>1</v>
      </c>
      <c r="N221" s="719"/>
      <c r="O221" s="24">
        <f t="shared" si="49"/>
        <v>1</v>
      </c>
      <c r="P221" s="719" t="s">
        <v>4109</v>
      </c>
      <c r="Q221" s="24">
        <f t="shared" si="50"/>
        <v>0.55000000000000004</v>
      </c>
      <c r="R221" s="715">
        <f t="shared" ca="1" si="51"/>
        <v>13388</v>
      </c>
      <c r="S221" s="361">
        <f t="shared" ca="1" si="42"/>
        <v>266</v>
      </c>
    </row>
    <row r="222" spans="1:19">
      <c r="A222" s="717" t="str">
        <f>抵押物清单!C202</f>
        <v>3-313</v>
      </c>
      <c r="B222" s="717">
        <f>抵押物清单!E202</f>
        <v>51.16</v>
      </c>
      <c r="C222" s="24">
        <f t="shared" si="43"/>
        <v>1.02</v>
      </c>
      <c r="D222" s="719" t="s">
        <v>4049</v>
      </c>
      <c r="E222" s="24">
        <f t="shared" si="44"/>
        <v>0.95</v>
      </c>
      <c r="F222" s="719"/>
      <c r="G222" s="24">
        <f t="shared" si="45"/>
        <v>1</v>
      </c>
      <c r="H222" s="719"/>
      <c r="I222" s="24">
        <f t="shared" si="46"/>
        <v>1</v>
      </c>
      <c r="J222" s="719"/>
      <c r="K222" s="24">
        <f t="shared" si="47"/>
        <v>1</v>
      </c>
      <c r="L222" s="719"/>
      <c r="M222" s="24">
        <f t="shared" si="48"/>
        <v>1</v>
      </c>
      <c r="N222" s="719"/>
      <c r="O222" s="24">
        <f t="shared" si="49"/>
        <v>1</v>
      </c>
      <c r="P222" s="719" t="s">
        <v>4109</v>
      </c>
      <c r="Q222" s="24">
        <f t="shared" si="50"/>
        <v>0.55000000000000004</v>
      </c>
      <c r="R222" s="715">
        <f t="shared" ca="1" si="51"/>
        <v>13656</v>
      </c>
      <c r="S222" s="361">
        <f t="shared" ca="1" si="42"/>
        <v>70</v>
      </c>
    </row>
    <row r="223" spans="1:19">
      <c r="A223" s="717" t="str">
        <f>抵押物清单!C203</f>
        <v>3-314</v>
      </c>
      <c r="B223" s="717">
        <f>抵押物清单!E203</f>
        <v>40.590000000000003</v>
      </c>
      <c r="C223" s="24">
        <f t="shared" si="43"/>
        <v>1.04</v>
      </c>
      <c r="D223" s="719" t="s">
        <v>4049</v>
      </c>
      <c r="E223" s="24">
        <f t="shared" si="44"/>
        <v>0.95</v>
      </c>
      <c r="F223" s="719"/>
      <c r="G223" s="24">
        <f t="shared" si="45"/>
        <v>1</v>
      </c>
      <c r="H223" s="719"/>
      <c r="I223" s="24">
        <f t="shared" si="46"/>
        <v>1</v>
      </c>
      <c r="J223" s="719"/>
      <c r="K223" s="24">
        <f t="shared" si="47"/>
        <v>1</v>
      </c>
      <c r="L223" s="719"/>
      <c r="M223" s="24">
        <f t="shared" si="48"/>
        <v>1</v>
      </c>
      <c r="N223" s="719"/>
      <c r="O223" s="24">
        <f t="shared" si="49"/>
        <v>1</v>
      </c>
      <c r="P223" s="719" t="s">
        <v>4109</v>
      </c>
      <c r="Q223" s="24">
        <f t="shared" si="50"/>
        <v>0.55000000000000004</v>
      </c>
      <c r="R223" s="715">
        <f t="shared" ca="1" si="51"/>
        <v>13924</v>
      </c>
      <c r="S223" s="361">
        <f t="shared" ref="S223:S286" ca="1" si="52">ROUND(R223*B223/10000,0)</f>
        <v>57</v>
      </c>
    </row>
    <row r="224" spans="1:19">
      <c r="A224" s="717" t="str">
        <f>抵押物清单!C204</f>
        <v>3-315</v>
      </c>
      <c r="B224" s="717">
        <f>抵押物清单!E204</f>
        <v>40.590000000000003</v>
      </c>
      <c r="C224" s="24">
        <f t="shared" si="43"/>
        <v>1.04</v>
      </c>
      <c r="D224" s="719" t="s">
        <v>4049</v>
      </c>
      <c r="E224" s="24">
        <f t="shared" si="44"/>
        <v>0.95</v>
      </c>
      <c r="F224" s="719"/>
      <c r="G224" s="24">
        <f t="shared" si="45"/>
        <v>1</v>
      </c>
      <c r="H224" s="719"/>
      <c r="I224" s="24">
        <f t="shared" si="46"/>
        <v>1</v>
      </c>
      <c r="J224" s="719"/>
      <c r="K224" s="24">
        <f t="shared" si="47"/>
        <v>1</v>
      </c>
      <c r="L224" s="719"/>
      <c r="M224" s="24">
        <f t="shared" si="48"/>
        <v>1</v>
      </c>
      <c r="N224" s="719"/>
      <c r="O224" s="24">
        <f t="shared" si="49"/>
        <v>1</v>
      </c>
      <c r="P224" s="719" t="s">
        <v>4109</v>
      </c>
      <c r="Q224" s="24">
        <f t="shared" si="50"/>
        <v>0.55000000000000004</v>
      </c>
      <c r="R224" s="715">
        <f t="shared" ca="1" si="51"/>
        <v>13924</v>
      </c>
      <c r="S224" s="361">
        <f t="shared" ca="1" si="52"/>
        <v>57</v>
      </c>
    </row>
    <row r="225" spans="1:19">
      <c r="A225" s="717" t="str">
        <f>抵押物清单!C205</f>
        <v>3-316</v>
      </c>
      <c r="B225" s="717">
        <f>抵押物清单!E205</f>
        <v>40.590000000000003</v>
      </c>
      <c r="C225" s="24">
        <f t="shared" si="43"/>
        <v>1.04</v>
      </c>
      <c r="D225" s="719" t="s">
        <v>4049</v>
      </c>
      <c r="E225" s="24">
        <f t="shared" si="44"/>
        <v>0.95</v>
      </c>
      <c r="F225" s="719"/>
      <c r="G225" s="24">
        <f t="shared" si="45"/>
        <v>1</v>
      </c>
      <c r="H225" s="719"/>
      <c r="I225" s="24">
        <f t="shared" si="46"/>
        <v>1</v>
      </c>
      <c r="J225" s="719"/>
      <c r="K225" s="24">
        <f t="shared" si="47"/>
        <v>1</v>
      </c>
      <c r="L225" s="719"/>
      <c r="M225" s="24">
        <f t="shared" si="48"/>
        <v>1</v>
      </c>
      <c r="N225" s="719"/>
      <c r="O225" s="24">
        <f t="shared" si="49"/>
        <v>1</v>
      </c>
      <c r="P225" s="719" t="s">
        <v>4109</v>
      </c>
      <c r="Q225" s="24">
        <f t="shared" si="50"/>
        <v>0.55000000000000004</v>
      </c>
      <c r="R225" s="715">
        <f t="shared" ca="1" si="51"/>
        <v>13924</v>
      </c>
      <c r="S225" s="361">
        <f t="shared" ca="1" si="52"/>
        <v>57</v>
      </c>
    </row>
    <row r="226" spans="1:19">
      <c r="A226" s="717" t="str">
        <f>抵押物清单!C206</f>
        <v>3-317</v>
      </c>
      <c r="B226" s="717">
        <f>抵押物清单!E206</f>
        <v>40.590000000000003</v>
      </c>
      <c r="C226" s="24">
        <f t="shared" si="43"/>
        <v>1.04</v>
      </c>
      <c r="D226" s="719" t="s">
        <v>4049</v>
      </c>
      <c r="E226" s="24">
        <f t="shared" si="44"/>
        <v>0.95</v>
      </c>
      <c r="F226" s="719"/>
      <c r="G226" s="24">
        <f t="shared" si="45"/>
        <v>1</v>
      </c>
      <c r="H226" s="719"/>
      <c r="I226" s="24">
        <f t="shared" si="46"/>
        <v>1</v>
      </c>
      <c r="J226" s="719"/>
      <c r="K226" s="24">
        <f t="shared" si="47"/>
        <v>1</v>
      </c>
      <c r="L226" s="719"/>
      <c r="M226" s="24">
        <f t="shared" si="48"/>
        <v>1</v>
      </c>
      <c r="N226" s="719"/>
      <c r="O226" s="24">
        <f t="shared" si="49"/>
        <v>1</v>
      </c>
      <c r="P226" s="719" t="s">
        <v>4109</v>
      </c>
      <c r="Q226" s="24">
        <f t="shared" si="50"/>
        <v>0.55000000000000004</v>
      </c>
      <c r="R226" s="715">
        <f t="shared" ca="1" si="51"/>
        <v>13924</v>
      </c>
      <c r="S226" s="361">
        <f t="shared" ca="1" si="52"/>
        <v>57</v>
      </c>
    </row>
    <row r="227" spans="1:19">
      <c r="A227" s="717" t="str">
        <f>抵押物清单!C207</f>
        <v>3-318</v>
      </c>
      <c r="B227" s="717">
        <f>抵押物清单!E207</f>
        <v>40.590000000000003</v>
      </c>
      <c r="C227" s="24">
        <f t="shared" si="43"/>
        <v>1.04</v>
      </c>
      <c r="D227" s="719" t="s">
        <v>4049</v>
      </c>
      <c r="E227" s="24">
        <f t="shared" si="44"/>
        <v>0.95</v>
      </c>
      <c r="F227" s="719"/>
      <c r="G227" s="24">
        <f t="shared" si="45"/>
        <v>1</v>
      </c>
      <c r="H227" s="719"/>
      <c r="I227" s="24">
        <f t="shared" si="46"/>
        <v>1</v>
      </c>
      <c r="J227" s="719"/>
      <c r="K227" s="24">
        <f t="shared" si="47"/>
        <v>1</v>
      </c>
      <c r="L227" s="719"/>
      <c r="M227" s="24">
        <f t="shared" si="48"/>
        <v>1</v>
      </c>
      <c r="N227" s="719"/>
      <c r="O227" s="24">
        <f t="shared" si="49"/>
        <v>1</v>
      </c>
      <c r="P227" s="719" t="s">
        <v>4109</v>
      </c>
      <c r="Q227" s="24">
        <f t="shared" si="50"/>
        <v>0.55000000000000004</v>
      </c>
      <c r="R227" s="715">
        <f t="shared" ca="1" si="51"/>
        <v>13924</v>
      </c>
      <c r="S227" s="361">
        <f t="shared" ca="1" si="52"/>
        <v>57</v>
      </c>
    </row>
    <row r="228" spans="1:19">
      <c r="A228" s="717" t="str">
        <f>抵押物清单!C208</f>
        <v>3-319</v>
      </c>
      <c r="B228" s="717">
        <f>抵押物清单!E208</f>
        <v>40.590000000000003</v>
      </c>
      <c r="C228" s="24">
        <f t="shared" si="43"/>
        <v>1.04</v>
      </c>
      <c r="D228" s="719" t="s">
        <v>4049</v>
      </c>
      <c r="E228" s="24">
        <f t="shared" si="44"/>
        <v>0.95</v>
      </c>
      <c r="F228" s="719"/>
      <c r="G228" s="24">
        <f t="shared" si="45"/>
        <v>1</v>
      </c>
      <c r="H228" s="719"/>
      <c r="I228" s="24">
        <f t="shared" si="46"/>
        <v>1</v>
      </c>
      <c r="J228" s="719"/>
      <c r="K228" s="24">
        <f t="shared" si="47"/>
        <v>1</v>
      </c>
      <c r="L228" s="719"/>
      <c r="M228" s="24">
        <f t="shared" si="48"/>
        <v>1</v>
      </c>
      <c r="N228" s="719"/>
      <c r="O228" s="24">
        <f t="shared" si="49"/>
        <v>1</v>
      </c>
      <c r="P228" s="719" t="s">
        <v>4109</v>
      </c>
      <c r="Q228" s="24">
        <f t="shared" si="50"/>
        <v>0.55000000000000004</v>
      </c>
      <c r="R228" s="715">
        <f t="shared" ca="1" si="51"/>
        <v>13924</v>
      </c>
      <c r="S228" s="361">
        <f t="shared" ca="1" si="52"/>
        <v>57</v>
      </c>
    </row>
    <row r="229" spans="1:19">
      <c r="A229" s="717" t="str">
        <f>抵押物清单!C209</f>
        <v>3-320</v>
      </c>
      <c r="B229" s="717">
        <f>抵押物清单!E209</f>
        <v>42.52</v>
      </c>
      <c r="C229" s="24">
        <f t="shared" si="43"/>
        <v>1.04</v>
      </c>
      <c r="D229" s="719" t="s">
        <v>4049</v>
      </c>
      <c r="E229" s="24">
        <f t="shared" si="44"/>
        <v>0.95</v>
      </c>
      <c r="F229" s="719"/>
      <c r="G229" s="24">
        <f t="shared" si="45"/>
        <v>1</v>
      </c>
      <c r="H229" s="719"/>
      <c r="I229" s="24">
        <f t="shared" si="46"/>
        <v>1</v>
      </c>
      <c r="J229" s="719"/>
      <c r="K229" s="24">
        <f t="shared" si="47"/>
        <v>1</v>
      </c>
      <c r="L229" s="719"/>
      <c r="M229" s="24">
        <f t="shared" si="48"/>
        <v>1</v>
      </c>
      <c r="N229" s="719"/>
      <c r="O229" s="24">
        <f t="shared" si="49"/>
        <v>1</v>
      </c>
      <c r="P229" s="719" t="s">
        <v>4109</v>
      </c>
      <c r="Q229" s="24">
        <f t="shared" si="50"/>
        <v>0.55000000000000004</v>
      </c>
      <c r="R229" s="715">
        <f t="shared" ca="1" si="51"/>
        <v>13924</v>
      </c>
      <c r="S229" s="361">
        <f t="shared" ca="1" si="52"/>
        <v>59</v>
      </c>
    </row>
    <row r="230" spans="1:19">
      <c r="A230" s="717" t="str">
        <f>抵押物清单!C210</f>
        <v>3-323</v>
      </c>
      <c r="B230" s="717">
        <f>抵押物清单!E210</f>
        <v>39.21</v>
      </c>
      <c r="C230" s="24">
        <f t="shared" si="43"/>
        <v>1.04</v>
      </c>
      <c r="D230" s="719" t="s">
        <v>4049</v>
      </c>
      <c r="E230" s="24">
        <f t="shared" si="44"/>
        <v>0.95</v>
      </c>
      <c r="F230" s="719"/>
      <c r="G230" s="24">
        <f t="shared" si="45"/>
        <v>1</v>
      </c>
      <c r="H230" s="719"/>
      <c r="I230" s="24">
        <f t="shared" si="46"/>
        <v>1</v>
      </c>
      <c r="J230" s="719"/>
      <c r="K230" s="24">
        <f t="shared" si="47"/>
        <v>1</v>
      </c>
      <c r="L230" s="719"/>
      <c r="M230" s="24">
        <f t="shared" si="48"/>
        <v>1</v>
      </c>
      <c r="N230" s="719"/>
      <c r="O230" s="24">
        <f t="shared" si="49"/>
        <v>1</v>
      </c>
      <c r="P230" s="719" t="s">
        <v>4109</v>
      </c>
      <c r="Q230" s="24">
        <f t="shared" si="50"/>
        <v>0.55000000000000004</v>
      </c>
      <c r="R230" s="715">
        <f t="shared" ca="1" si="51"/>
        <v>13924</v>
      </c>
      <c r="S230" s="361">
        <f t="shared" ca="1" si="52"/>
        <v>55</v>
      </c>
    </row>
    <row r="231" spans="1:19">
      <c r="A231" s="717" t="str">
        <f>抵押物清单!C211</f>
        <v>3-324</v>
      </c>
      <c r="B231" s="717">
        <f>抵押物清单!E211</f>
        <v>40.39</v>
      </c>
      <c r="C231" s="24">
        <f t="shared" si="43"/>
        <v>1.04</v>
      </c>
      <c r="D231" s="719" t="s">
        <v>4049</v>
      </c>
      <c r="E231" s="24">
        <f t="shared" si="44"/>
        <v>0.95</v>
      </c>
      <c r="F231" s="719"/>
      <c r="G231" s="24">
        <f t="shared" si="45"/>
        <v>1</v>
      </c>
      <c r="H231" s="719"/>
      <c r="I231" s="24">
        <f t="shared" si="46"/>
        <v>1</v>
      </c>
      <c r="J231" s="719"/>
      <c r="K231" s="24">
        <f t="shared" si="47"/>
        <v>1</v>
      </c>
      <c r="L231" s="719"/>
      <c r="M231" s="24">
        <f t="shared" si="48"/>
        <v>1</v>
      </c>
      <c r="N231" s="719"/>
      <c r="O231" s="24">
        <f t="shared" si="49"/>
        <v>1</v>
      </c>
      <c r="P231" s="719" t="s">
        <v>4109</v>
      </c>
      <c r="Q231" s="24">
        <f t="shared" si="50"/>
        <v>0.55000000000000004</v>
      </c>
      <c r="R231" s="715">
        <f t="shared" ca="1" si="51"/>
        <v>13924</v>
      </c>
      <c r="S231" s="361">
        <f t="shared" ca="1" si="52"/>
        <v>56</v>
      </c>
    </row>
    <row r="232" spans="1:19">
      <c r="A232" s="717" t="str">
        <f>抵押物清单!C212</f>
        <v>3-326</v>
      </c>
      <c r="B232" s="717">
        <f>抵押物清单!E212</f>
        <v>39.21</v>
      </c>
      <c r="C232" s="24">
        <f t="shared" si="43"/>
        <v>1.04</v>
      </c>
      <c r="D232" s="719" t="s">
        <v>4049</v>
      </c>
      <c r="E232" s="24">
        <f t="shared" si="44"/>
        <v>0.95</v>
      </c>
      <c r="F232" s="719"/>
      <c r="G232" s="24">
        <f t="shared" si="45"/>
        <v>1</v>
      </c>
      <c r="H232" s="719"/>
      <c r="I232" s="24">
        <f t="shared" si="46"/>
        <v>1</v>
      </c>
      <c r="J232" s="719"/>
      <c r="K232" s="24">
        <f t="shared" si="47"/>
        <v>1</v>
      </c>
      <c r="L232" s="719"/>
      <c r="M232" s="24">
        <f t="shared" si="48"/>
        <v>1</v>
      </c>
      <c r="N232" s="719"/>
      <c r="O232" s="24">
        <f t="shared" si="49"/>
        <v>1</v>
      </c>
      <c r="P232" s="719" t="s">
        <v>4109</v>
      </c>
      <c r="Q232" s="24">
        <f t="shared" si="50"/>
        <v>0.55000000000000004</v>
      </c>
      <c r="R232" s="715">
        <f t="shared" ca="1" si="51"/>
        <v>13924</v>
      </c>
      <c r="S232" s="361">
        <f t="shared" ca="1" si="52"/>
        <v>55</v>
      </c>
    </row>
    <row r="233" spans="1:19">
      <c r="A233" s="717" t="str">
        <f>抵押物清单!C213</f>
        <v>3-328</v>
      </c>
      <c r="B233" s="717">
        <f>抵押物清单!E213</f>
        <v>34.950000000000003</v>
      </c>
      <c r="C233" s="24">
        <f t="shared" si="43"/>
        <v>1.04</v>
      </c>
      <c r="D233" s="719" t="s">
        <v>4049</v>
      </c>
      <c r="E233" s="24">
        <f t="shared" si="44"/>
        <v>0.95</v>
      </c>
      <c r="F233" s="719"/>
      <c r="G233" s="24">
        <f t="shared" si="45"/>
        <v>1</v>
      </c>
      <c r="H233" s="719"/>
      <c r="I233" s="24">
        <f t="shared" si="46"/>
        <v>1</v>
      </c>
      <c r="J233" s="719"/>
      <c r="K233" s="24">
        <f t="shared" si="47"/>
        <v>1</v>
      </c>
      <c r="L233" s="719"/>
      <c r="M233" s="24">
        <f t="shared" si="48"/>
        <v>1</v>
      </c>
      <c r="N233" s="719"/>
      <c r="O233" s="24">
        <f t="shared" si="49"/>
        <v>1</v>
      </c>
      <c r="P233" s="719" t="s">
        <v>4109</v>
      </c>
      <c r="Q233" s="24">
        <f t="shared" si="50"/>
        <v>0.55000000000000004</v>
      </c>
      <c r="R233" s="715">
        <f t="shared" ca="1" si="51"/>
        <v>13924</v>
      </c>
      <c r="S233" s="361">
        <f t="shared" ca="1" si="52"/>
        <v>49</v>
      </c>
    </row>
    <row r="234" spans="1:19">
      <c r="A234" s="717" t="str">
        <f>抵押物清单!C214</f>
        <v>3-331</v>
      </c>
      <c r="B234" s="717">
        <f>抵押物清单!E214</f>
        <v>24</v>
      </c>
      <c r="C234" s="24">
        <f t="shared" si="43"/>
        <v>1.04</v>
      </c>
      <c r="D234" s="719" t="s">
        <v>4049</v>
      </c>
      <c r="E234" s="24">
        <f t="shared" si="44"/>
        <v>0.95</v>
      </c>
      <c r="F234" s="719"/>
      <c r="G234" s="24">
        <f t="shared" si="45"/>
        <v>1</v>
      </c>
      <c r="H234" s="719"/>
      <c r="I234" s="24">
        <f t="shared" si="46"/>
        <v>1</v>
      </c>
      <c r="J234" s="719"/>
      <c r="K234" s="24">
        <f t="shared" si="47"/>
        <v>1</v>
      </c>
      <c r="L234" s="719"/>
      <c r="M234" s="24">
        <f t="shared" si="48"/>
        <v>1</v>
      </c>
      <c r="N234" s="719"/>
      <c r="O234" s="24">
        <f t="shared" si="49"/>
        <v>1</v>
      </c>
      <c r="P234" s="719" t="s">
        <v>4109</v>
      </c>
      <c r="Q234" s="24">
        <f t="shared" si="50"/>
        <v>0.55000000000000004</v>
      </c>
      <c r="R234" s="715">
        <f t="shared" ca="1" si="51"/>
        <v>13924</v>
      </c>
      <c r="S234" s="361">
        <f t="shared" ca="1" si="52"/>
        <v>33</v>
      </c>
    </row>
    <row r="235" spans="1:19">
      <c r="A235" s="717" t="str">
        <f>抵押物清单!C215</f>
        <v>3-332</v>
      </c>
      <c r="B235" s="717">
        <f>抵押物清单!E215</f>
        <v>81.900000000000006</v>
      </c>
      <c r="C235" s="24">
        <f t="shared" si="43"/>
        <v>1.02</v>
      </c>
      <c r="D235" s="719" t="s">
        <v>4049</v>
      </c>
      <c r="E235" s="24">
        <f t="shared" si="44"/>
        <v>0.95</v>
      </c>
      <c r="F235" s="719"/>
      <c r="G235" s="24">
        <f t="shared" si="45"/>
        <v>1</v>
      </c>
      <c r="H235" s="719"/>
      <c r="I235" s="24">
        <f t="shared" si="46"/>
        <v>1</v>
      </c>
      <c r="J235" s="719"/>
      <c r="K235" s="24">
        <f t="shared" si="47"/>
        <v>1</v>
      </c>
      <c r="L235" s="719"/>
      <c r="M235" s="24">
        <f t="shared" si="48"/>
        <v>1</v>
      </c>
      <c r="N235" s="719"/>
      <c r="O235" s="24">
        <f t="shared" si="49"/>
        <v>1</v>
      </c>
      <c r="P235" s="719" t="s">
        <v>4109</v>
      </c>
      <c r="Q235" s="24">
        <f t="shared" si="50"/>
        <v>0.55000000000000004</v>
      </c>
      <c r="R235" s="715">
        <f t="shared" ca="1" si="51"/>
        <v>13656</v>
      </c>
      <c r="S235" s="361">
        <f t="shared" ca="1" si="52"/>
        <v>112</v>
      </c>
    </row>
    <row r="236" spans="1:19">
      <c r="A236" s="717" t="str">
        <f>抵押物清单!C216</f>
        <v>3-333</v>
      </c>
      <c r="B236" s="717">
        <f>抵押物清单!E216</f>
        <v>75.900000000000006</v>
      </c>
      <c r="C236" s="24">
        <f t="shared" si="43"/>
        <v>1.02</v>
      </c>
      <c r="D236" s="719" t="s">
        <v>4049</v>
      </c>
      <c r="E236" s="24">
        <f t="shared" si="44"/>
        <v>0.95</v>
      </c>
      <c r="F236" s="719"/>
      <c r="G236" s="24">
        <f t="shared" si="45"/>
        <v>1</v>
      </c>
      <c r="H236" s="719"/>
      <c r="I236" s="24">
        <f t="shared" si="46"/>
        <v>1</v>
      </c>
      <c r="J236" s="719"/>
      <c r="K236" s="24">
        <f t="shared" si="47"/>
        <v>1</v>
      </c>
      <c r="L236" s="719"/>
      <c r="M236" s="24">
        <f t="shared" si="48"/>
        <v>1</v>
      </c>
      <c r="N236" s="719"/>
      <c r="O236" s="24">
        <f t="shared" si="49"/>
        <v>1</v>
      </c>
      <c r="P236" s="719" t="s">
        <v>4109</v>
      </c>
      <c r="Q236" s="24">
        <f t="shared" si="50"/>
        <v>0.55000000000000004</v>
      </c>
      <c r="R236" s="715">
        <f t="shared" ca="1" si="51"/>
        <v>13656</v>
      </c>
      <c r="S236" s="361">
        <f t="shared" ca="1" si="52"/>
        <v>104</v>
      </c>
    </row>
    <row r="237" spans="1:19">
      <c r="A237" s="717" t="str">
        <f>抵押物清单!C217</f>
        <v>3-336</v>
      </c>
      <c r="B237" s="717">
        <f>抵押物清单!E217</f>
        <v>27.74</v>
      </c>
      <c r="C237" s="24">
        <f t="shared" si="43"/>
        <v>1.04</v>
      </c>
      <c r="D237" s="719" t="s">
        <v>4049</v>
      </c>
      <c r="E237" s="24">
        <f t="shared" si="44"/>
        <v>0.95</v>
      </c>
      <c r="F237" s="719"/>
      <c r="G237" s="24">
        <f t="shared" si="45"/>
        <v>1</v>
      </c>
      <c r="H237" s="719"/>
      <c r="I237" s="24">
        <f t="shared" si="46"/>
        <v>1</v>
      </c>
      <c r="J237" s="719"/>
      <c r="K237" s="24">
        <f t="shared" si="47"/>
        <v>1</v>
      </c>
      <c r="L237" s="719"/>
      <c r="M237" s="24">
        <f t="shared" si="48"/>
        <v>1</v>
      </c>
      <c r="N237" s="719"/>
      <c r="O237" s="24">
        <f t="shared" si="49"/>
        <v>1</v>
      </c>
      <c r="P237" s="719" t="s">
        <v>4109</v>
      </c>
      <c r="Q237" s="24">
        <f t="shared" si="50"/>
        <v>0.55000000000000004</v>
      </c>
      <c r="R237" s="715">
        <f t="shared" ca="1" si="51"/>
        <v>13924</v>
      </c>
      <c r="S237" s="361">
        <f t="shared" ca="1" si="52"/>
        <v>39</v>
      </c>
    </row>
    <row r="238" spans="1:19">
      <c r="A238" s="717" t="str">
        <f>抵押物清单!C218</f>
        <v>3-337</v>
      </c>
      <c r="B238" s="717">
        <f>抵押物清单!E218</f>
        <v>51.63</v>
      </c>
      <c r="C238" s="24">
        <f t="shared" si="43"/>
        <v>1.02</v>
      </c>
      <c r="D238" s="719" t="s">
        <v>4049</v>
      </c>
      <c r="E238" s="24">
        <f t="shared" si="44"/>
        <v>0.95</v>
      </c>
      <c r="F238" s="719"/>
      <c r="G238" s="24">
        <f t="shared" si="45"/>
        <v>1</v>
      </c>
      <c r="H238" s="719"/>
      <c r="I238" s="24">
        <f t="shared" si="46"/>
        <v>1</v>
      </c>
      <c r="J238" s="719"/>
      <c r="K238" s="24">
        <f t="shared" si="47"/>
        <v>1</v>
      </c>
      <c r="L238" s="719"/>
      <c r="M238" s="24">
        <f t="shared" si="48"/>
        <v>1</v>
      </c>
      <c r="N238" s="719"/>
      <c r="O238" s="24">
        <f t="shared" si="49"/>
        <v>1</v>
      </c>
      <c r="P238" s="719" t="s">
        <v>4109</v>
      </c>
      <c r="Q238" s="24">
        <f t="shared" si="50"/>
        <v>0.55000000000000004</v>
      </c>
      <c r="R238" s="715">
        <f t="shared" ca="1" si="51"/>
        <v>13656</v>
      </c>
      <c r="S238" s="361">
        <f t="shared" ca="1" si="52"/>
        <v>71</v>
      </c>
    </row>
    <row r="239" spans="1:19">
      <c r="A239" s="717" t="str">
        <f>抵押物清单!C219</f>
        <v>3-338</v>
      </c>
      <c r="B239" s="717">
        <f>抵押物清单!E219</f>
        <v>67.459999999999994</v>
      </c>
      <c r="C239" s="24">
        <f t="shared" si="43"/>
        <v>1.02</v>
      </c>
      <c r="D239" s="719" t="s">
        <v>4049</v>
      </c>
      <c r="E239" s="24">
        <f t="shared" si="44"/>
        <v>0.95</v>
      </c>
      <c r="F239" s="719"/>
      <c r="G239" s="24">
        <f t="shared" si="45"/>
        <v>1</v>
      </c>
      <c r="H239" s="719"/>
      <c r="I239" s="24">
        <f t="shared" si="46"/>
        <v>1</v>
      </c>
      <c r="J239" s="719"/>
      <c r="K239" s="24">
        <f t="shared" si="47"/>
        <v>1</v>
      </c>
      <c r="L239" s="719"/>
      <c r="M239" s="24">
        <f t="shared" si="48"/>
        <v>1</v>
      </c>
      <c r="N239" s="719"/>
      <c r="O239" s="24">
        <f t="shared" si="49"/>
        <v>1</v>
      </c>
      <c r="P239" s="719" t="s">
        <v>4109</v>
      </c>
      <c r="Q239" s="24">
        <f t="shared" si="50"/>
        <v>0.55000000000000004</v>
      </c>
      <c r="R239" s="715">
        <f t="shared" ca="1" si="51"/>
        <v>13656</v>
      </c>
      <c r="S239" s="361">
        <f t="shared" ca="1" si="52"/>
        <v>92</v>
      </c>
    </row>
    <row r="240" spans="1:19">
      <c r="A240" s="717" t="str">
        <f>抵押物清单!C220</f>
        <v>3-339</v>
      </c>
      <c r="B240" s="717">
        <f>抵押物清单!E220</f>
        <v>56.84</v>
      </c>
      <c r="C240" s="24">
        <f t="shared" si="43"/>
        <v>1.02</v>
      </c>
      <c r="D240" s="719" t="s">
        <v>4049</v>
      </c>
      <c r="E240" s="24">
        <f t="shared" si="44"/>
        <v>0.95</v>
      </c>
      <c r="F240" s="719"/>
      <c r="G240" s="24">
        <f t="shared" si="45"/>
        <v>1</v>
      </c>
      <c r="H240" s="719"/>
      <c r="I240" s="24">
        <f t="shared" si="46"/>
        <v>1</v>
      </c>
      <c r="J240" s="719"/>
      <c r="K240" s="24">
        <f t="shared" si="47"/>
        <v>1</v>
      </c>
      <c r="L240" s="719"/>
      <c r="M240" s="24">
        <f t="shared" si="48"/>
        <v>1</v>
      </c>
      <c r="N240" s="719"/>
      <c r="O240" s="24">
        <f t="shared" si="49"/>
        <v>1</v>
      </c>
      <c r="P240" s="719" t="s">
        <v>4109</v>
      </c>
      <c r="Q240" s="24">
        <f t="shared" si="50"/>
        <v>0.55000000000000004</v>
      </c>
      <c r="R240" s="715">
        <f t="shared" ca="1" si="51"/>
        <v>13656</v>
      </c>
      <c r="S240" s="361">
        <f t="shared" ca="1" si="52"/>
        <v>78</v>
      </c>
    </row>
    <row r="241" spans="1:19">
      <c r="A241" s="717" t="str">
        <f>抵押物清单!C221</f>
        <v>3-340</v>
      </c>
      <c r="B241" s="717">
        <f>抵押物清单!E221</f>
        <v>47.44</v>
      </c>
      <c r="C241" s="24">
        <f t="shared" si="43"/>
        <v>1.04</v>
      </c>
      <c r="D241" s="719" t="s">
        <v>4049</v>
      </c>
      <c r="E241" s="24">
        <f t="shared" si="44"/>
        <v>0.95</v>
      </c>
      <c r="F241" s="719"/>
      <c r="G241" s="24">
        <f t="shared" si="45"/>
        <v>1</v>
      </c>
      <c r="H241" s="719"/>
      <c r="I241" s="24">
        <f t="shared" si="46"/>
        <v>1</v>
      </c>
      <c r="J241" s="719"/>
      <c r="K241" s="24">
        <f t="shared" si="47"/>
        <v>1</v>
      </c>
      <c r="L241" s="719"/>
      <c r="M241" s="24">
        <f t="shared" si="48"/>
        <v>1</v>
      </c>
      <c r="N241" s="719"/>
      <c r="O241" s="24">
        <f t="shared" si="49"/>
        <v>1</v>
      </c>
      <c r="P241" s="719" t="s">
        <v>4109</v>
      </c>
      <c r="Q241" s="24">
        <f t="shared" si="50"/>
        <v>0.55000000000000004</v>
      </c>
      <c r="R241" s="715">
        <f t="shared" ca="1" si="51"/>
        <v>13924</v>
      </c>
      <c r="S241" s="361">
        <f t="shared" ca="1" si="52"/>
        <v>66</v>
      </c>
    </row>
    <row r="242" spans="1:19">
      <c r="A242" s="717" t="str">
        <f>抵押物清单!C222</f>
        <v>3-358</v>
      </c>
      <c r="B242" s="717">
        <f>抵押物清单!E222</f>
        <v>33.72</v>
      </c>
      <c r="C242" s="24">
        <f t="shared" si="43"/>
        <v>1.04</v>
      </c>
      <c r="D242" s="719" t="s">
        <v>4049</v>
      </c>
      <c r="E242" s="24">
        <f t="shared" si="44"/>
        <v>0.95</v>
      </c>
      <c r="F242" s="719"/>
      <c r="G242" s="24">
        <f t="shared" si="45"/>
        <v>1</v>
      </c>
      <c r="H242" s="719"/>
      <c r="I242" s="24">
        <f t="shared" si="46"/>
        <v>1</v>
      </c>
      <c r="J242" s="719"/>
      <c r="K242" s="24">
        <f t="shared" si="47"/>
        <v>1</v>
      </c>
      <c r="L242" s="719"/>
      <c r="M242" s="24">
        <f t="shared" si="48"/>
        <v>1</v>
      </c>
      <c r="N242" s="719"/>
      <c r="O242" s="24">
        <f t="shared" si="49"/>
        <v>1</v>
      </c>
      <c r="P242" s="719" t="s">
        <v>4109</v>
      </c>
      <c r="Q242" s="24">
        <f t="shared" si="50"/>
        <v>0.55000000000000004</v>
      </c>
      <c r="R242" s="715">
        <f t="shared" ca="1" si="51"/>
        <v>13924</v>
      </c>
      <c r="S242" s="361">
        <f t="shared" ca="1" si="52"/>
        <v>47</v>
      </c>
    </row>
    <row r="243" spans="1:19">
      <c r="A243" s="717" t="str">
        <f>抵押物清单!C223</f>
        <v>3-359</v>
      </c>
      <c r="B243" s="717">
        <f>抵押物清单!E223</f>
        <v>33.72</v>
      </c>
      <c r="C243" s="24">
        <f t="shared" si="43"/>
        <v>1.04</v>
      </c>
      <c r="D243" s="719" t="s">
        <v>4049</v>
      </c>
      <c r="E243" s="24">
        <f t="shared" si="44"/>
        <v>0.95</v>
      </c>
      <c r="F243" s="719"/>
      <c r="G243" s="24">
        <f t="shared" si="45"/>
        <v>1</v>
      </c>
      <c r="H243" s="719"/>
      <c r="I243" s="24">
        <f t="shared" si="46"/>
        <v>1</v>
      </c>
      <c r="J243" s="719"/>
      <c r="K243" s="24">
        <f t="shared" si="47"/>
        <v>1</v>
      </c>
      <c r="L243" s="719"/>
      <c r="M243" s="24">
        <f t="shared" si="48"/>
        <v>1</v>
      </c>
      <c r="N243" s="719"/>
      <c r="O243" s="24">
        <f t="shared" si="49"/>
        <v>1</v>
      </c>
      <c r="P243" s="719" t="s">
        <v>4109</v>
      </c>
      <c r="Q243" s="24">
        <f t="shared" si="50"/>
        <v>0.55000000000000004</v>
      </c>
      <c r="R243" s="715">
        <f t="shared" ca="1" si="51"/>
        <v>13924</v>
      </c>
      <c r="S243" s="361">
        <f t="shared" ca="1" si="52"/>
        <v>47</v>
      </c>
    </row>
    <row r="244" spans="1:19">
      <c r="A244" s="717" t="str">
        <f>抵押物清单!C224</f>
        <v>3-360</v>
      </c>
      <c r="B244" s="717">
        <f>抵押物清单!E224</f>
        <v>33.72</v>
      </c>
      <c r="C244" s="24">
        <f t="shared" si="43"/>
        <v>1.04</v>
      </c>
      <c r="D244" s="719" t="s">
        <v>4049</v>
      </c>
      <c r="E244" s="24">
        <f t="shared" si="44"/>
        <v>0.95</v>
      </c>
      <c r="F244" s="719"/>
      <c r="G244" s="24">
        <f t="shared" si="45"/>
        <v>1</v>
      </c>
      <c r="H244" s="719"/>
      <c r="I244" s="24">
        <f t="shared" si="46"/>
        <v>1</v>
      </c>
      <c r="J244" s="719"/>
      <c r="K244" s="24">
        <f t="shared" si="47"/>
        <v>1</v>
      </c>
      <c r="L244" s="719"/>
      <c r="M244" s="24">
        <f t="shared" si="48"/>
        <v>1</v>
      </c>
      <c r="N244" s="719"/>
      <c r="O244" s="24">
        <f t="shared" si="49"/>
        <v>1</v>
      </c>
      <c r="P244" s="719" t="s">
        <v>4109</v>
      </c>
      <c r="Q244" s="24">
        <f t="shared" si="50"/>
        <v>0.55000000000000004</v>
      </c>
      <c r="R244" s="715">
        <f t="shared" ca="1" si="51"/>
        <v>13924</v>
      </c>
      <c r="S244" s="361">
        <f t="shared" ca="1" si="52"/>
        <v>47</v>
      </c>
    </row>
    <row r="245" spans="1:19">
      <c r="A245" s="717" t="str">
        <f>抵押物清单!C225</f>
        <v>3-361</v>
      </c>
      <c r="B245" s="717">
        <f>抵押物清单!E225</f>
        <v>33.72</v>
      </c>
      <c r="C245" s="24">
        <f t="shared" si="43"/>
        <v>1.04</v>
      </c>
      <c r="D245" s="719" t="s">
        <v>4049</v>
      </c>
      <c r="E245" s="24">
        <f t="shared" si="44"/>
        <v>0.95</v>
      </c>
      <c r="F245" s="719"/>
      <c r="G245" s="24">
        <f t="shared" si="45"/>
        <v>1</v>
      </c>
      <c r="H245" s="719"/>
      <c r="I245" s="24">
        <f t="shared" si="46"/>
        <v>1</v>
      </c>
      <c r="J245" s="719"/>
      <c r="K245" s="24">
        <f t="shared" si="47"/>
        <v>1</v>
      </c>
      <c r="L245" s="719"/>
      <c r="M245" s="24">
        <f t="shared" si="48"/>
        <v>1</v>
      </c>
      <c r="N245" s="719"/>
      <c r="O245" s="24">
        <f t="shared" si="49"/>
        <v>1</v>
      </c>
      <c r="P245" s="719" t="s">
        <v>4109</v>
      </c>
      <c r="Q245" s="24">
        <f t="shared" si="50"/>
        <v>0.55000000000000004</v>
      </c>
      <c r="R245" s="715">
        <f t="shared" ca="1" si="51"/>
        <v>13924</v>
      </c>
      <c r="S245" s="361">
        <f t="shared" ca="1" si="52"/>
        <v>47</v>
      </c>
    </row>
    <row r="246" spans="1:19">
      <c r="A246" s="717" t="str">
        <f>抵押物清单!C226</f>
        <v>3-362</v>
      </c>
      <c r="B246" s="717">
        <f>抵押物清单!E226</f>
        <v>33.72</v>
      </c>
      <c r="C246" s="24">
        <f t="shared" si="43"/>
        <v>1.04</v>
      </c>
      <c r="D246" s="719" t="s">
        <v>4049</v>
      </c>
      <c r="E246" s="24">
        <f t="shared" si="44"/>
        <v>0.95</v>
      </c>
      <c r="F246" s="719"/>
      <c r="G246" s="24">
        <f t="shared" si="45"/>
        <v>1</v>
      </c>
      <c r="H246" s="719"/>
      <c r="I246" s="24">
        <f t="shared" si="46"/>
        <v>1</v>
      </c>
      <c r="J246" s="719"/>
      <c r="K246" s="24">
        <f t="shared" si="47"/>
        <v>1</v>
      </c>
      <c r="L246" s="719"/>
      <c r="M246" s="24">
        <f t="shared" si="48"/>
        <v>1</v>
      </c>
      <c r="N246" s="719"/>
      <c r="O246" s="24">
        <f t="shared" si="49"/>
        <v>1</v>
      </c>
      <c r="P246" s="719" t="s">
        <v>4109</v>
      </c>
      <c r="Q246" s="24">
        <f t="shared" si="50"/>
        <v>0.55000000000000004</v>
      </c>
      <c r="R246" s="715">
        <f t="shared" ca="1" si="51"/>
        <v>13924</v>
      </c>
      <c r="S246" s="361">
        <f t="shared" ca="1" si="52"/>
        <v>47</v>
      </c>
    </row>
    <row r="247" spans="1:19">
      <c r="A247" s="717" t="str">
        <f>抵押物清单!C227</f>
        <v>3-363</v>
      </c>
      <c r="B247" s="717">
        <f>抵押物清单!E227</f>
        <v>33.72</v>
      </c>
      <c r="C247" s="24">
        <f t="shared" si="43"/>
        <v>1.04</v>
      </c>
      <c r="D247" s="719" t="s">
        <v>4049</v>
      </c>
      <c r="E247" s="24">
        <f t="shared" si="44"/>
        <v>0.95</v>
      </c>
      <c r="F247" s="719"/>
      <c r="G247" s="24">
        <f t="shared" si="45"/>
        <v>1</v>
      </c>
      <c r="H247" s="719"/>
      <c r="I247" s="24">
        <f t="shared" si="46"/>
        <v>1</v>
      </c>
      <c r="J247" s="719"/>
      <c r="K247" s="24">
        <f t="shared" si="47"/>
        <v>1</v>
      </c>
      <c r="L247" s="719"/>
      <c r="M247" s="24">
        <f t="shared" si="48"/>
        <v>1</v>
      </c>
      <c r="N247" s="719"/>
      <c r="O247" s="24">
        <f t="shared" si="49"/>
        <v>1</v>
      </c>
      <c r="P247" s="719" t="s">
        <v>4109</v>
      </c>
      <c r="Q247" s="24">
        <f t="shared" si="50"/>
        <v>0.55000000000000004</v>
      </c>
      <c r="R247" s="715">
        <f t="shared" ca="1" si="51"/>
        <v>13924</v>
      </c>
      <c r="S247" s="361">
        <f t="shared" ca="1" si="52"/>
        <v>47</v>
      </c>
    </row>
    <row r="248" spans="1:19">
      <c r="A248" s="717" t="str">
        <f>抵押物清单!C228</f>
        <v>3-364</v>
      </c>
      <c r="B248" s="717">
        <f>抵押物清单!E228</f>
        <v>64.17</v>
      </c>
      <c r="C248" s="24">
        <f t="shared" si="43"/>
        <v>1.02</v>
      </c>
      <c r="D248" s="719" t="s">
        <v>4049</v>
      </c>
      <c r="E248" s="24">
        <f t="shared" si="44"/>
        <v>0.95</v>
      </c>
      <c r="F248" s="719"/>
      <c r="G248" s="24">
        <f t="shared" si="45"/>
        <v>1</v>
      </c>
      <c r="H248" s="719"/>
      <c r="I248" s="24">
        <f t="shared" si="46"/>
        <v>1</v>
      </c>
      <c r="J248" s="719"/>
      <c r="K248" s="24">
        <f t="shared" si="47"/>
        <v>1</v>
      </c>
      <c r="L248" s="719"/>
      <c r="M248" s="24">
        <f t="shared" si="48"/>
        <v>1</v>
      </c>
      <c r="N248" s="719"/>
      <c r="O248" s="24">
        <f t="shared" si="49"/>
        <v>1</v>
      </c>
      <c r="P248" s="719" t="s">
        <v>4109</v>
      </c>
      <c r="Q248" s="24">
        <f t="shared" si="50"/>
        <v>0.55000000000000004</v>
      </c>
      <c r="R248" s="715">
        <f t="shared" ca="1" si="51"/>
        <v>13656</v>
      </c>
      <c r="S248" s="361">
        <f t="shared" ca="1" si="52"/>
        <v>88</v>
      </c>
    </row>
    <row r="249" spans="1:19">
      <c r="A249" s="717" t="str">
        <f>抵押物清单!C229</f>
        <v>3-365</v>
      </c>
      <c r="B249" s="717">
        <f>抵押物清单!E229</f>
        <v>64.28</v>
      </c>
      <c r="C249" s="24">
        <f t="shared" si="43"/>
        <v>1.02</v>
      </c>
      <c r="D249" s="719" t="s">
        <v>4049</v>
      </c>
      <c r="E249" s="24">
        <f t="shared" si="44"/>
        <v>0.95</v>
      </c>
      <c r="F249" s="719"/>
      <c r="G249" s="24">
        <f t="shared" si="45"/>
        <v>1</v>
      </c>
      <c r="H249" s="719"/>
      <c r="I249" s="24">
        <f t="shared" si="46"/>
        <v>1</v>
      </c>
      <c r="J249" s="719"/>
      <c r="K249" s="24">
        <f t="shared" si="47"/>
        <v>1</v>
      </c>
      <c r="L249" s="719"/>
      <c r="M249" s="24">
        <f t="shared" si="48"/>
        <v>1</v>
      </c>
      <c r="N249" s="719"/>
      <c r="O249" s="24">
        <f t="shared" si="49"/>
        <v>1</v>
      </c>
      <c r="P249" s="719" t="s">
        <v>4109</v>
      </c>
      <c r="Q249" s="24">
        <f t="shared" si="50"/>
        <v>0.55000000000000004</v>
      </c>
      <c r="R249" s="715">
        <f t="shared" ca="1" si="51"/>
        <v>13656</v>
      </c>
      <c r="S249" s="361">
        <f t="shared" ca="1" si="52"/>
        <v>88</v>
      </c>
    </row>
    <row r="250" spans="1:19">
      <c r="A250" s="717" t="str">
        <f>抵押物清单!C230</f>
        <v>3-366</v>
      </c>
      <c r="B250" s="717">
        <f>抵押物清单!E230</f>
        <v>32.56</v>
      </c>
      <c r="C250" s="24">
        <f t="shared" si="43"/>
        <v>1.04</v>
      </c>
      <c r="D250" s="719" t="s">
        <v>4049</v>
      </c>
      <c r="E250" s="24">
        <f t="shared" si="44"/>
        <v>0.95</v>
      </c>
      <c r="F250" s="719"/>
      <c r="G250" s="24">
        <f t="shared" si="45"/>
        <v>1</v>
      </c>
      <c r="H250" s="719"/>
      <c r="I250" s="24">
        <f t="shared" si="46"/>
        <v>1</v>
      </c>
      <c r="J250" s="719"/>
      <c r="K250" s="24">
        <f t="shared" si="47"/>
        <v>1</v>
      </c>
      <c r="L250" s="719"/>
      <c r="M250" s="24">
        <f t="shared" si="48"/>
        <v>1</v>
      </c>
      <c r="N250" s="719"/>
      <c r="O250" s="24">
        <f t="shared" si="49"/>
        <v>1</v>
      </c>
      <c r="P250" s="719" t="s">
        <v>4109</v>
      </c>
      <c r="Q250" s="24">
        <f t="shared" si="50"/>
        <v>0.55000000000000004</v>
      </c>
      <c r="R250" s="715">
        <f t="shared" ca="1" si="51"/>
        <v>13924</v>
      </c>
      <c r="S250" s="361">
        <f t="shared" ca="1" si="52"/>
        <v>45</v>
      </c>
    </row>
    <row r="251" spans="1:19">
      <c r="A251" s="717" t="str">
        <f>抵押物清单!C231</f>
        <v>3-367</v>
      </c>
      <c r="B251" s="717">
        <f>抵押物清单!E231</f>
        <v>44.51</v>
      </c>
      <c r="C251" s="24">
        <f t="shared" si="43"/>
        <v>1.04</v>
      </c>
      <c r="D251" s="719" t="s">
        <v>4049</v>
      </c>
      <c r="E251" s="24">
        <f t="shared" si="44"/>
        <v>0.95</v>
      </c>
      <c r="F251" s="719"/>
      <c r="G251" s="24">
        <f t="shared" si="45"/>
        <v>1</v>
      </c>
      <c r="H251" s="719"/>
      <c r="I251" s="24">
        <f t="shared" si="46"/>
        <v>1</v>
      </c>
      <c r="J251" s="719"/>
      <c r="K251" s="24">
        <f t="shared" si="47"/>
        <v>1</v>
      </c>
      <c r="L251" s="719"/>
      <c r="M251" s="24">
        <f t="shared" si="48"/>
        <v>1</v>
      </c>
      <c r="N251" s="719"/>
      <c r="O251" s="24">
        <f t="shared" si="49"/>
        <v>1</v>
      </c>
      <c r="P251" s="719" t="s">
        <v>4109</v>
      </c>
      <c r="Q251" s="24">
        <f t="shared" si="50"/>
        <v>0.55000000000000004</v>
      </c>
      <c r="R251" s="715">
        <f t="shared" ca="1" si="51"/>
        <v>13924</v>
      </c>
      <c r="S251" s="361">
        <f t="shared" ca="1" si="52"/>
        <v>62</v>
      </c>
    </row>
    <row r="252" spans="1:19">
      <c r="A252" s="717" t="str">
        <f>抵押物清单!C232</f>
        <v>3-368</v>
      </c>
      <c r="B252" s="717">
        <f>抵押物清单!E232</f>
        <v>34.619999999999997</v>
      </c>
      <c r="C252" s="24">
        <f t="shared" si="43"/>
        <v>1.04</v>
      </c>
      <c r="D252" s="719" t="s">
        <v>4049</v>
      </c>
      <c r="E252" s="24">
        <f t="shared" si="44"/>
        <v>0.95</v>
      </c>
      <c r="F252" s="719"/>
      <c r="G252" s="24">
        <f t="shared" si="45"/>
        <v>1</v>
      </c>
      <c r="H252" s="719"/>
      <c r="I252" s="24">
        <f t="shared" si="46"/>
        <v>1</v>
      </c>
      <c r="J252" s="719"/>
      <c r="K252" s="24">
        <f t="shared" si="47"/>
        <v>1</v>
      </c>
      <c r="L252" s="719"/>
      <c r="M252" s="24">
        <f t="shared" si="48"/>
        <v>1</v>
      </c>
      <c r="N252" s="719"/>
      <c r="O252" s="24">
        <f t="shared" si="49"/>
        <v>1</v>
      </c>
      <c r="P252" s="719" t="s">
        <v>4109</v>
      </c>
      <c r="Q252" s="24">
        <f t="shared" si="50"/>
        <v>0.55000000000000004</v>
      </c>
      <c r="R252" s="715">
        <f t="shared" ca="1" si="51"/>
        <v>13924</v>
      </c>
      <c r="S252" s="361">
        <f t="shared" ca="1" si="52"/>
        <v>48</v>
      </c>
    </row>
    <row r="253" spans="1:19">
      <c r="A253" s="717"/>
      <c r="B253" s="717"/>
      <c r="C253" s="24">
        <f t="shared" si="43"/>
        <v>1</v>
      </c>
      <c r="D253" s="719"/>
      <c r="E253" s="24">
        <f t="shared" si="44"/>
        <v>0.05</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717"/>
      <c r="B254" s="717"/>
      <c r="C254" s="24">
        <f t="shared" si="43"/>
        <v>1</v>
      </c>
      <c r="D254" s="719"/>
      <c r="E254" s="24">
        <f t="shared" si="44"/>
        <v>0.05</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717"/>
      <c r="B255" s="717"/>
      <c r="C255" s="24">
        <f t="shared" si="43"/>
        <v>1</v>
      </c>
      <c r="D255" s="719"/>
      <c r="E255" s="24">
        <f t="shared" si="44"/>
        <v>0.05</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717"/>
      <c r="B256" s="717"/>
      <c r="C256" s="24">
        <f t="shared" si="43"/>
        <v>1</v>
      </c>
      <c r="D256" s="719"/>
      <c r="E256" s="24">
        <f t="shared" si="44"/>
        <v>0.05</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717"/>
      <c r="B257" s="717"/>
      <c r="C257" s="24">
        <f t="shared" si="43"/>
        <v>1</v>
      </c>
      <c r="D257" s="719"/>
      <c r="E257" s="24">
        <f t="shared" si="44"/>
        <v>0.05</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717"/>
      <c r="B258" s="717"/>
      <c r="C258" s="24">
        <f t="shared" si="43"/>
        <v>1</v>
      </c>
      <c r="D258" s="719"/>
      <c r="E258" s="24">
        <f t="shared" si="44"/>
        <v>0.05</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717"/>
      <c r="B259" s="717"/>
      <c r="C259" s="24">
        <f t="shared" si="43"/>
        <v>1</v>
      </c>
      <c r="D259" s="719"/>
      <c r="E259" s="24">
        <f t="shared" si="44"/>
        <v>0.05</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717"/>
      <c r="B260" s="717"/>
      <c r="C260" s="24">
        <f t="shared" si="43"/>
        <v>1</v>
      </c>
      <c r="D260" s="719"/>
      <c r="E260" s="24">
        <f t="shared" si="44"/>
        <v>0.05</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717"/>
      <c r="B261" s="717"/>
      <c r="C261" s="24">
        <f t="shared" si="43"/>
        <v>1</v>
      </c>
      <c r="D261" s="719"/>
      <c r="E261" s="24">
        <f t="shared" si="44"/>
        <v>0.05</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717"/>
      <c r="B262" s="717"/>
      <c r="C262" s="24">
        <f t="shared" si="43"/>
        <v>1</v>
      </c>
      <c r="D262" s="719"/>
      <c r="E262" s="24">
        <f t="shared" si="44"/>
        <v>0.05</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717"/>
      <c r="B263" s="717"/>
      <c r="C263" s="24">
        <f t="shared" si="43"/>
        <v>1</v>
      </c>
      <c r="D263" s="719"/>
      <c r="E263" s="24">
        <f t="shared" si="44"/>
        <v>0.05</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717"/>
      <c r="B264" s="717"/>
      <c r="C264" s="24">
        <f t="shared" si="43"/>
        <v>1</v>
      </c>
      <c r="D264" s="719"/>
      <c r="E264" s="24">
        <f t="shared" si="44"/>
        <v>0.05</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717"/>
      <c r="B265" s="717"/>
      <c r="C265" s="24">
        <f t="shared" si="43"/>
        <v>1</v>
      </c>
      <c r="D265" s="719"/>
      <c r="E265" s="24">
        <f t="shared" si="44"/>
        <v>0.05</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717"/>
      <c r="B266" s="717"/>
      <c r="C266" s="24">
        <f t="shared" si="43"/>
        <v>1</v>
      </c>
      <c r="D266" s="719"/>
      <c r="E266" s="24">
        <f t="shared" si="44"/>
        <v>0.05</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717"/>
      <c r="B267" s="717"/>
      <c r="C267" s="24">
        <f t="shared" si="43"/>
        <v>1</v>
      </c>
      <c r="D267" s="719"/>
      <c r="E267" s="24">
        <f t="shared" si="44"/>
        <v>0.05</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717"/>
      <c r="B268" s="717"/>
      <c r="C268" s="24">
        <f t="shared" si="43"/>
        <v>1</v>
      </c>
      <c r="D268" s="719"/>
      <c r="E268" s="24">
        <f t="shared" si="44"/>
        <v>0.05</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717"/>
      <c r="B269" s="717"/>
      <c r="C269" s="24">
        <f t="shared" si="43"/>
        <v>1</v>
      </c>
      <c r="D269" s="719"/>
      <c r="E269" s="24">
        <f t="shared" si="44"/>
        <v>0.05</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717"/>
      <c r="B270" s="717"/>
      <c r="C270" s="24">
        <f t="shared" si="43"/>
        <v>1</v>
      </c>
      <c r="D270" s="719"/>
      <c r="E270" s="24">
        <f t="shared" si="44"/>
        <v>0.05</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717"/>
      <c r="B271" s="717"/>
      <c r="C271" s="24">
        <f t="shared" si="43"/>
        <v>1</v>
      </c>
      <c r="D271" s="719"/>
      <c r="E271" s="24">
        <f t="shared" si="44"/>
        <v>0.05</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717"/>
      <c r="B272" s="717"/>
      <c r="C272" s="24">
        <f t="shared" si="43"/>
        <v>1</v>
      </c>
      <c r="D272" s="719"/>
      <c r="E272" s="24">
        <f t="shared" si="44"/>
        <v>0.05</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717"/>
      <c r="B273" s="717"/>
      <c r="C273" s="24">
        <f t="shared" si="43"/>
        <v>1</v>
      </c>
      <c r="D273" s="719"/>
      <c r="E273" s="24">
        <f t="shared" si="44"/>
        <v>0.05</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717"/>
      <c r="B274" s="717"/>
      <c r="C274" s="24">
        <f t="shared" si="43"/>
        <v>1</v>
      </c>
      <c r="D274" s="719"/>
      <c r="E274" s="24">
        <f t="shared" si="44"/>
        <v>0.05</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717"/>
      <c r="B275" s="717"/>
      <c r="C275" s="24">
        <f t="shared" si="43"/>
        <v>1</v>
      </c>
      <c r="D275" s="719"/>
      <c r="E275" s="24">
        <f t="shared" si="44"/>
        <v>0.05</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717"/>
      <c r="B276" s="717"/>
      <c r="C276" s="24">
        <f t="shared" si="43"/>
        <v>1</v>
      </c>
      <c r="D276" s="719"/>
      <c r="E276" s="24">
        <f t="shared" si="44"/>
        <v>0.05</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717"/>
      <c r="B277" s="717"/>
      <c r="C277" s="24">
        <f t="shared" si="43"/>
        <v>1</v>
      </c>
      <c r="D277" s="719"/>
      <c r="E277" s="24">
        <f t="shared" si="44"/>
        <v>0.05</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717"/>
      <c r="B278" s="717"/>
      <c r="C278" s="24">
        <f t="shared" si="43"/>
        <v>1</v>
      </c>
      <c r="D278" s="719"/>
      <c r="E278" s="24">
        <f t="shared" si="44"/>
        <v>0.05</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717"/>
      <c r="B279" s="717"/>
      <c r="C279" s="24">
        <f t="shared" si="43"/>
        <v>1</v>
      </c>
      <c r="D279" s="719"/>
      <c r="E279" s="24">
        <f t="shared" si="44"/>
        <v>0.05</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717"/>
      <c r="B280" s="717"/>
      <c r="C280" s="24">
        <f t="shared" si="43"/>
        <v>1</v>
      </c>
      <c r="D280" s="719"/>
      <c r="E280" s="24">
        <f t="shared" si="44"/>
        <v>0.05</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717"/>
      <c r="B281" s="717"/>
      <c r="C281" s="24">
        <f t="shared" si="43"/>
        <v>1</v>
      </c>
      <c r="D281" s="719"/>
      <c r="E281" s="24">
        <f t="shared" si="44"/>
        <v>0.05</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717"/>
      <c r="B282" s="717"/>
      <c r="C282" s="24">
        <f t="shared" ref="C282:C345" si="53">IF(B282="",1,(LOOKUP(B282,$3:$3,$4:$4)-LOOKUP($B$24,$3:$3,$4:$4)+100)/100)</f>
        <v>1</v>
      </c>
      <c r="D282" s="719"/>
      <c r="E282" s="24">
        <f t="shared" ref="E282:E345" si="54">(SUMIF($5:$5,D282,$6:$6)-SUMIF($5:$5,$D$24,$6:$6)+100)/100</f>
        <v>0.05</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717"/>
      <c r="B283" s="717"/>
      <c r="C283" s="24">
        <f t="shared" si="53"/>
        <v>1</v>
      </c>
      <c r="D283" s="719"/>
      <c r="E283" s="24">
        <f t="shared" si="54"/>
        <v>0.05</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717"/>
      <c r="B284" s="717"/>
      <c r="C284" s="24">
        <f t="shared" si="53"/>
        <v>1</v>
      </c>
      <c r="D284" s="719"/>
      <c r="E284" s="24">
        <f t="shared" si="54"/>
        <v>0.05</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717"/>
      <c r="B285" s="717"/>
      <c r="C285" s="24">
        <f t="shared" si="53"/>
        <v>1</v>
      </c>
      <c r="D285" s="719"/>
      <c r="E285" s="24">
        <f t="shared" si="54"/>
        <v>0.05</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717"/>
      <c r="B286" s="717"/>
      <c r="C286" s="24">
        <f t="shared" si="53"/>
        <v>1</v>
      </c>
      <c r="D286" s="719"/>
      <c r="E286" s="24">
        <f t="shared" si="54"/>
        <v>0.05</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717"/>
      <c r="B287" s="717"/>
      <c r="C287" s="24">
        <f t="shared" si="53"/>
        <v>1</v>
      </c>
      <c r="D287" s="719"/>
      <c r="E287" s="24">
        <f t="shared" si="54"/>
        <v>0.05</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717"/>
      <c r="B288" s="717"/>
      <c r="C288" s="24">
        <f t="shared" si="53"/>
        <v>1</v>
      </c>
      <c r="D288" s="719"/>
      <c r="E288" s="24">
        <f t="shared" si="54"/>
        <v>0.05</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717"/>
      <c r="B289" s="717"/>
      <c r="C289" s="24">
        <f t="shared" si="53"/>
        <v>1</v>
      </c>
      <c r="D289" s="719"/>
      <c r="E289" s="24">
        <f t="shared" si="54"/>
        <v>0.05</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717"/>
      <c r="B290" s="717"/>
      <c r="C290" s="24">
        <f t="shared" si="53"/>
        <v>1</v>
      </c>
      <c r="D290" s="719"/>
      <c r="E290" s="24">
        <f t="shared" si="54"/>
        <v>0.05</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717"/>
      <c r="B291" s="717"/>
      <c r="C291" s="24">
        <f t="shared" si="53"/>
        <v>1</v>
      </c>
      <c r="D291" s="719"/>
      <c r="E291" s="24">
        <f t="shared" si="54"/>
        <v>0.05</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717"/>
      <c r="B292" s="717"/>
      <c r="C292" s="24">
        <f t="shared" si="53"/>
        <v>1</v>
      </c>
      <c r="D292" s="719"/>
      <c r="E292" s="24">
        <f t="shared" si="54"/>
        <v>0.05</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717"/>
      <c r="B293" s="717"/>
      <c r="C293" s="24">
        <f t="shared" si="53"/>
        <v>1</v>
      </c>
      <c r="D293" s="719"/>
      <c r="E293" s="24">
        <f t="shared" si="54"/>
        <v>0.05</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717"/>
      <c r="B294" s="717"/>
      <c r="C294" s="24">
        <f t="shared" si="53"/>
        <v>1</v>
      </c>
      <c r="D294" s="719"/>
      <c r="E294" s="24">
        <f t="shared" si="54"/>
        <v>0.05</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717"/>
      <c r="B295" s="717"/>
      <c r="C295" s="24">
        <f t="shared" si="53"/>
        <v>1</v>
      </c>
      <c r="D295" s="719"/>
      <c r="E295" s="24">
        <f t="shared" si="54"/>
        <v>0.05</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717"/>
      <c r="B296" s="717"/>
      <c r="C296" s="24">
        <f t="shared" si="53"/>
        <v>1</v>
      </c>
      <c r="D296" s="719"/>
      <c r="E296" s="24">
        <f t="shared" si="54"/>
        <v>0.05</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717"/>
      <c r="B297" s="717"/>
      <c r="C297" s="24">
        <f t="shared" si="53"/>
        <v>1</v>
      </c>
      <c r="D297" s="719"/>
      <c r="E297" s="24">
        <f t="shared" si="54"/>
        <v>0.05</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717"/>
      <c r="B298" s="717"/>
      <c r="C298" s="24">
        <f t="shared" si="53"/>
        <v>1</v>
      </c>
      <c r="D298" s="719"/>
      <c r="E298" s="24">
        <f t="shared" si="54"/>
        <v>0.05</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717"/>
      <c r="B299" s="717"/>
      <c r="C299" s="24">
        <f t="shared" si="53"/>
        <v>1</v>
      </c>
      <c r="D299" s="719"/>
      <c r="E299" s="24">
        <f t="shared" si="54"/>
        <v>0.05</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717"/>
      <c r="B300" s="717"/>
      <c r="C300" s="24">
        <f t="shared" si="53"/>
        <v>1</v>
      </c>
      <c r="D300" s="719"/>
      <c r="E300" s="24">
        <f t="shared" si="54"/>
        <v>0.05</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717"/>
      <c r="B301" s="717"/>
      <c r="C301" s="24">
        <f t="shared" si="53"/>
        <v>1</v>
      </c>
      <c r="D301" s="719"/>
      <c r="E301" s="24">
        <f t="shared" si="54"/>
        <v>0.05</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717"/>
      <c r="B302" s="717"/>
      <c r="C302" s="24">
        <f t="shared" si="53"/>
        <v>1</v>
      </c>
      <c r="D302" s="719"/>
      <c r="E302" s="24">
        <f t="shared" si="54"/>
        <v>0.05</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717"/>
      <c r="B303" s="717"/>
      <c r="C303" s="24">
        <f t="shared" si="53"/>
        <v>1</v>
      </c>
      <c r="D303" s="719"/>
      <c r="E303" s="24">
        <f t="shared" si="54"/>
        <v>0.05</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717"/>
      <c r="B304" s="717"/>
      <c r="C304" s="24">
        <f t="shared" si="53"/>
        <v>1</v>
      </c>
      <c r="D304" s="719"/>
      <c r="E304" s="24">
        <f t="shared" si="54"/>
        <v>0.05</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717"/>
      <c r="B305" s="717"/>
      <c r="C305" s="24">
        <f t="shared" si="53"/>
        <v>1</v>
      </c>
      <c r="D305" s="719"/>
      <c r="E305" s="24">
        <f t="shared" si="54"/>
        <v>0.05</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717"/>
      <c r="B306" s="717"/>
      <c r="C306" s="24">
        <f t="shared" si="53"/>
        <v>1</v>
      </c>
      <c r="D306" s="719"/>
      <c r="E306" s="24">
        <f t="shared" si="54"/>
        <v>0.05</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717"/>
      <c r="B307" s="717"/>
      <c r="C307" s="24">
        <f t="shared" si="53"/>
        <v>1</v>
      </c>
      <c r="D307" s="719"/>
      <c r="E307" s="24">
        <f t="shared" si="54"/>
        <v>0.05</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717"/>
      <c r="B308" s="717"/>
      <c r="C308" s="24">
        <f t="shared" si="53"/>
        <v>1</v>
      </c>
      <c r="D308" s="719"/>
      <c r="E308" s="24">
        <f t="shared" si="54"/>
        <v>0.05</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717"/>
      <c r="B309" s="717"/>
      <c r="C309" s="24">
        <f t="shared" si="53"/>
        <v>1</v>
      </c>
      <c r="D309" s="719"/>
      <c r="E309" s="24">
        <f t="shared" si="54"/>
        <v>0.05</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717"/>
      <c r="B310" s="717"/>
      <c r="C310" s="24">
        <f t="shared" si="53"/>
        <v>1</v>
      </c>
      <c r="D310" s="719"/>
      <c r="E310" s="24">
        <f t="shared" si="54"/>
        <v>0.05</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717"/>
      <c r="B311" s="717"/>
      <c r="C311" s="24">
        <f t="shared" si="53"/>
        <v>1</v>
      </c>
      <c r="D311" s="719"/>
      <c r="E311" s="24">
        <f t="shared" si="54"/>
        <v>0.05</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717"/>
      <c r="B312" s="717"/>
      <c r="C312" s="24">
        <f t="shared" si="53"/>
        <v>1</v>
      </c>
      <c r="D312" s="719"/>
      <c r="E312" s="24">
        <f t="shared" si="54"/>
        <v>0.05</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717"/>
      <c r="B313" s="717"/>
      <c r="C313" s="24">
        <f t="shared" si="53"/>
        <v>1</v>
      </c>
      <c r="D313" s="719"/>
      <c r="E313" s="24">
        <f t="shared" si="54"/>
        <v>0.05</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717"/>
      <c r="B314" s="717"/>
      <c r="C314" s="24">
        <f t="shared" si="53"/>
        <v>1</v>
      </c>
      <c r="D314" s="719"/>
      <c r="E314" s="24">
        <f t="shared" si="54"/>
        <v>0.05</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717"/>
      <c r="B315" s="717"/>
      <c r="C315" s="24">
        <f t="shared" si="53"/>
        <v>1</v>
      </c>
      <c r="D315" s="719"/>
      <c r="E315" s="24">
        <f t="shared" si="54"/>
        <v>0.05</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717"/>
      <c r="B316" s="717"/>
      <c r="C316" s="24">
        <f t="shared" si="53"/>
        <v>1</v>
      </c>
      <c r="D316" s="719"/>
      <c r="E316" s="24">
        <f t="shared" si="54"/>
        <v>0.05</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717"/>
      <c r="B317" s="717"/>
      <c r="C317" s="24">
        <f t="shared" si="53"/>
        <v>1</v>
      </c>
      <c r="D317" s="719"/>
      <c r="E317" s="24">
        <f t="shared" si="54"/>
        <v>0.05</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717"/>
      <c r="B318" s="717"/>
      <c r="C318" s="24">
        <f t="shared" si="53"/>
        <v>1</v>
      </c>
      <c r="D318" s="719"/>
      <c r="E318" s="24">
        <f t="shared" si="54"/>
        <v>0.05</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717"/>
      <c r="B319" s="717"/>
      <c r="C319" s="24">
        <f t="shared" si="53"/>
        <v>1</v>
      </c>
      <c r="D319" s="719"/>
      <c r="E319" s="24">
        <f t="shared" si="54"/>
        <v>0.05</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717"/>
      <c r="B320" s="717"/>
      <c r="C320" s="24">
        <f t="shared" si="53"/>
        <v>1</v>
      </c>
      <c r="D320" s="719"/>
      <c r="E320" s="24">
        <f t="shared" si="54"/>
        <v>0.05</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717"/>
      <c r="B321" s="717"/>
      <c r="C321" s="24">
        <f t="shared" si="53"/>
        <v>1</v>
      </c>
      <c r="D321" s="719"/>
      <c r="E321" s="24">
        <f t="shared" si="54"/>
        <v>0.05</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717"/>
      <c r="B322" s="717"/>
      <c r="C322" s="24">
        <f t="shared" si="53"/>
        <v>1</v>
      </c>
      <c r="D322" s="719"/>
      <c r="E322" s="24">
        <f t="shared" si="54"/>
        <v>0.05</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717"/>
      <c r="B323" s="717"/>
      <c r="C323" s="24">
        <f t="shared" si="53"/>
        <v>1</v>
      </c>
      <c r="D323" s="719"/>
      <c r="E323" s="24">
        <f t="shared" si="54"/>
        <v>0.05</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717"/>
      <c r="B324" s="717"/>
      <c r="C324" s="24">
        <f t="shared" si="53"/>
        <v>1</v>
      </c>
      <c r="D324" s="719"/>
      <c r="E324" s="24">
        <f t="shared" si="54"/>
        <v>0.05</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717"/>
      <c r="B325" s="717"/>
      <c r="C325" s="24">
        <f t="shared" si="53"/>
        <v>1</v>
      </c>
      <c r="D325" s="719"/>
      <c r="E325" s="24">
        <f t="shared" si="54"/>
        <v>0.05</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717"/>
      <c r="B326" s="717"/>
      <c r="C326" s="24">
        <f t="shared" si="53"/>
        <v>1</v>
      </c>
      <c r="D326" s="719"/>
      <c r="E326" s="24">
        <f t="shared" si="54"/>
        <v>0.05</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717"/>
      <c r="B327" s="717"/>
      <c r="C327" s="24">
        <f t="shared" si="53"/>
        <v>1</v>
      </c>
      <c r="D327" s="719"/>
      <c r="E327" s="24">
        <f t="shared" si="54"/>
        <v>0.05</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717"/>
      <c r="B328" s="717"/>
      <c r="C328" s="24">
        <f t="shared" si="53"/>
        <v>1</v>
      </c>
      <c r="D328" s="719"/>
      <c r="E328" s="24">
        <f t="shared" si="54"/>
        <v>0.05</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717"/>
      <c r="B329" s="717"/>
      <c r="C329" s="24">
        <f t="shared" si="53"/>
        <v>1</v>
      </c>
      <c r="D329" s="719"/>
      <c r="E329" s="24">
        <f t="shared" si="54"/>
        <v>0.05</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717"/>
      <c r="B330" s="717"/>
      <c r="C330" s="24">
        <f t="shared" si="53"/>
        <v>1</v>
      </c>
      <c r="D330" s="719"/>
      <c r="E330" s="24">
        <f t="shared" si="54"/>
        <v>0.05</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717"/>
      <c r="B331" s="717"/>
      <c r="C331" s="24">
        <f t="shared" si="53"/>
        <v>1</v>
      </c>
      <c r="D331" s="719"/>
      <c r="E331" s="24">
        <f t="shared" si="54"/>
        <v>0.05</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717"/>
      <c r="B332" s="717"/>
      <c r="C332" s="24">
        <f t="shared" si="53"/>
        <v>1</v>
      </c>
      <c r="D332" s="719"/>
      <c r="E332" s="24">
        <f t="shared" si="54"/>
        <v>0.05</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717"/>
      <c r="B333" s="717"/>
      <c r="C333" s="24">
        <f t="shared" si="53"/>
        <v>1</v>
      </c>
      <c r="D333" s="719"/>
      <c r="E333" s="24">
        <f t="shared" si="54"/>
        <v>0.05</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717"/>
      <c r="B334" s="717"/>
      <c r="C334" s="24">
        <f t="shared" si="53"/>
        <v>1</v>
      </c>
      <c r="D334" s="719"/>
      <c r="E334" s="24">
        <f t="shared" si="54"/>
        <v>0.05</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717"/>
      <c r="B335" s="717"/>
      <c r="C335" s="24">
        <f t="shared" si="53"/>
        <v>1</v>
      </c>
      <c r="D335" s="719"/>
      <c r="E335" s="24">
        <f t="shared" si="54"/>
        <v>0.05</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717"/>
      <c r="B336" s="717"/>
      <c r="C336" s="24">
        <f t="shared" si="53"/>
        <v>1</v>
      </c>
      <c r="D336" s="719"/>
      <c r="E336" s="24">
        <f t="shared" si="54"/>
        <v>0.05</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717"/>
      <c r="B337" s="717"/>
      <c r="C337" s="24">
        <f t="shared" si="53"/>
        <v>1</v>
      </c>
      <c r="D337" s="719"/>
      <c r="E337" s="24">
        <f t="shared" si="54"/>
        <v>0.05</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717"/>
      <c r="B338" s="717"/>
      <c r="C338" s="24">
        <f t="shared" si="53"/>
        <v>1</v>
      </c>
      <c r="D338" s="719"/>
      <c r="E338" s="24">
        <f t="shared" si="54"/>
        <v>0.05</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717"/>
      <c r="B339" s="717"/>
      <c r="C339" s="24">
        <f t="shared" si="53"/>
        <v>1</v>
      </c>
      <c r="D339" s="719"/>
      <c r="E339" s="24">
        <f t="shared" si="54"/>
        <v>0.05</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717"/>
      <c r="B340" s="717"/>
      <c r="C340" s="24">
        <f t="shared" si="53"/>
        <v>1</v>
      </c>
      <c r="D340" s="719"/>
      <c r="E340" s="24">
        <f t="shared" si="54"/>
        <v>0.05</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717"/>
      <c r="B341" s="717"/>
      <c r="C341" s="24">
        <f t="shared" si="53"/>
        <v>1</v>
      </c>
      <c r="D341" s="719"/>
      <c r="E341" s="24">
        <f t="shared" si="54"/>
        <v>0.05</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717"/>
      <c r="B342" s="717"/>
      <c r="C342" s="24">
        <f t="shared" si="53"/>
        <v>1</v>
      </c>
      <c r="D342" s="719"/>
      <c r="E342" s="24">
        <f t="shared" si="54"/>
        <v>0.05</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717"/>
      <c r="B343" s="717"/>
      <c r="C343" s="24">
        <f t="shared" si="53"/>
        <v>1</v>
      </c>
      <c r="D343" s="719"/>
      <c r="E343" s="24">
        <f t="shared" si="54"/>
        <v>0.05</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717"/>
      <c r="B344" s="717"/>
      <c r="C344" s="24">
        <f t="shared" si="53"/>
        <v>1</v>
      </c>
      <c r="D344" s="719"/>
      <c r="E344" s="24">
        <f t="shared" si="54"/>
        <v>0.05</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717"/>
      <c r="B345" s="717"/>
      <c r="C345" s="24">
        <f t="shared" si="53"/>
        <v>1</v>
      </c>
      <c r="D345" s="719"/>
      <c r="E345" s="24">
        <f t="shared" si="54"/>
        <v>0.05</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717"/>
      <c r="B346" s="717"/>
      <c r="C346" s="24">
        <f t="shared" ref="C346:C409" si="64">IF(B346="",1,(LOOKUP(B346,$3:$3,$4:$4)-LOOKUP($B$24,$3:$3,$4:$4)+100)/100)</f>
        <v>1</v>
      </c>
      <c r="D346" s="719"/>
      <c r="E346" s="24">
        <f t="shared" ref="E346:E409" si="65">(SUMIF($5:$5,D346,$6:$6)-SUMIF($5:$5,$D$24,$6:$6)+100)/100</f>
        <v>0.05</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717"/>
      <c r="B347" s="717"/>
      <c r="C347" s="24">
        <f t="shared" si="64"/>
        <v>1</v>
      </c>
      <c r="D347" s="719"/>
      <c r="E347" s="24">
        <f t="shared" si="65"/>
        <v>0.05</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717"/>
      <c r="B348" s="717"/>
      <c r="C348" s="24">
        <f t="shared" si="64"/>
        <v>1</v>
      </c>
      <c r="D348" s="719"/>
      <c r="E348" s="24">
        <f t="shared" si="65"/>
        <v>0.05</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717"/>
      <c r="B349" s="717"/>
      <c r="C349" s="24">
        <f t="shared" si="64"/>
        <v>1</v>
      </c>
      <c r="D349" s="719"/>
      <c r="E349" s="24">
        <f t="shared" si="65"/>
        <v>0.05</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717"/>
      <c r="B350" s="717"/>
      <c r="C350" s="24">
        <f t="shared" si="64"/>
        <v>1</v>
      </c>
      <c r="D350" s="719"/>
      <c r="E350" s="24">
        <f t="shared" si="65"/>
        <v>0.05</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717"/>
      <c r="B351" s="717"/>
      <c r="C351" s="24">
        <f t="shared" si="64"/>
        <v>1</v>
      </c>
      <c r="D351" s="719"/>
      <c r="E351" s="24">
        <f t="shared" si="65"/>
        <v>0.05</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717"/>
      <c r="B352" s="717"/>
      <c r="C352" s="24">
        <f t="shared" si="64"/>
        <v>1</v>
      </c>
      <c r="D352" s="719"/>
      <c r="E352" s="24">
        <f t="shared" si="65"/>
        <v>0.05</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717"/>
      <c r="B353" s="717"/>
      <c r="C353" s="24">
        <f t="shared" si="64"/>
        <v>1</v>
      </c>
      <c r="D353" s="719"/>
      <c r="E353" s="24">
        <f t="shared" si="65"/>
        <v>0.05</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717"/>
      <c r="B354" s="717"/>
      <c r="C354" s="24">
        <f t="shared" si="64"/>
        <v>1</v>
      </c>
      <c r="D354" s="719"/>
      <c r="E354" s="24">
        <f t="shared" si="65"/>
        <v>0.05</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717"/>
      <c r="B355" s="717"/>
      <c r="C355" s="24">
        <f t="shared" si="64"/>
        <v>1</v>
      </c>
      <c r="D355" s="719"/>
      <c r="E355" s="24">
        <f t="shared" si="65"/>
        <v>0.05</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717"/>
      <c r="B356" s="717"/>
      <c r="C356" s="24">
        <f t="shared" si="64"/>
        <v>1</v>
      </c>
      <c r="D356" s="719"/>
      <c r="E356" s="24">
        <f t="shared" si="65"/>
        <v>0.05</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717"/>
      <c r="B357" s="717"/>
      <c r="C357" s="24">
        <f t="shared" si="64"/>
        <v>1</v>
      </c>
      <c r="D357" s="719"/>
      <c r="E357" s="24">
        <f t="shared" si="65"/>
        <v>0.05</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717"/>
      <c r="B358" s="717"/>
      <c r="C358" s="24">
        <f t="shared" si="64"/>
        <v>1</v>
      </c>
      <c r="D358" s="719"/>
      <c r="E358" s="24">
        <f t="shared" si="65"/>
        <v>0.05</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717"/>
      <c r="B359" s="717"/>
      <c r="C359" s="24">
        <f t="shared" si="64"/>
        <v>1</v>
      </c>
      <c r="D359" s="719"/>
      <c r="E359" s="24">
        <f t="shared" si="65"/>
        <v>0.05</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717"/>
      <c r="B360" s="717"/>
      <c r="C360" s="24">
        <f t="shared" si="64"/>
        <v>1</v>
      </c>
      <c r="D360" s="719"/>
      <c r="E360" s="24">
        <f t="shared" si="65"/>
        <v>0.05</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717"/>
      <c r="B361" s="717"/>
      <c r="C361" s="24">
        <f t="shared" si="64"/>
        <v>1</v>
      </c>
      <c r="D361" s="719"/>
      <c r="E361" s="24">
        <f t="shared" si="65"/>
        <v>0.05</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717"/>
      <c r="B362" s="717"/>
      <c r="C362" s="24">
        <f t="shared" si="64"/>
        <v>1</v>
      </c>
      <c r="D362" s="719"/>
      <c r="E362" s="24">
        <f t="shared" si="65"/>
        <v>0.05</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717"/>
      <c r="B363" s="717"/>
      <c r="C363" s="24">
        <f t="shared" si="64"/>
        <v>1</v>
      </c>
      <c r="D363" s="719"/>
      <c r="E363" s="24">
        <f t="shared" si="65"/>
        <v>0.05</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717"/>
      <c r="B364" s="717"/>
      <c r="C364" s="24">
        <f t="shared" si="64"/>
        <v>1</v>
      </c>
      <c r="D364" s="719"/>
      <c r="E364" s="24">
        <f t="shared" si="65"/>
        <v>0.05</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717"/>
      <c r="B365" s="717"/>
      <c r="C365" s="24">
        <f t="shared" si="64"/>
        <v>1</v>
      </c>
      <c r="D365" s="719"/>
      <c r="E365" s="24">
        <f t="shared" si="65"/>
        <v>0.05</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717"/>
      <c r="B366" s="717"/>
      <c r="C366" s="24">
        <f t="shared" si="64"/>
        <v>1</v>
      </c>
      <c r="D366" s="719"/>
      <c r="E366" s="24">
        <f t="shared" si="65"/>
        <v>0.05</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717"/>
      <c r="B367" s="717"/>
      <c r="C367" s="24">
        <f t="shared" si="64"/>
        <v>1</v>
      </c>
      <c r="D367" s="719"/>
      <c r="E367" s="24">
        <f t="shared" si="65"/>
        <v>0.05</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717"/>
      <c r="B368" s="717"/>
      <c r="C368" s="24">
        <f t="shared" si="64"/>
        <v>1</v>
      </c>
      <c r="D368" s="719"/>
      <c r="E368" s="24">
        <f t="shared" si="65"/>
        <v>0.05</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717"/>
      <c r="B369" s="717"/>
      <c r="C369" s="24">
        <f t="shared" si="64"/>
        <v>1</v>
      </c>
      <c r="D369" s="719"/>
      <c r="E369" s="24">
        <f t="shared" si="65"/>
        <v>0.05</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717"/>
      <c r="B370" s="717"/>
      <c r="C370" s="24">
        <f t="shared" si="64"/>
        <v>1</v>
      </c>
      <c r="D370" s="719"/>
      <c r="E370" s="24">
        <f t="shared" si="65"/>
        <v>0.05</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717"/>
      <c r="B371" s="717"/>
      <c r="C371" s="24">
        <f t="shared" si="64"/>
        <v>1</v>
      </c>
      <c r="D371" s="719"/>
      <c r="E371" s="24">
        <f t="shared" si="65"/>
        <v>0.05</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717"/>
      <c r="B372" s="717"/>
      <c r="C372" s="24">
        <f t="shared" si="64"/>
        <v>1</v>
      </c>
      <c r="D372" s="719"/>
      <c r="E372" s="24">
        <f t="shared" si="65"/>
        <v>0.05</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717"/>
      <c r="B373" s="717"/>
      <c r="C373" s="24">
        <f t="shared" si="64"/>
        <v>1</v>
      </c>
      <c r="D373" s="719"/>
      <c r="E373" s="24">
        <f t="shared" si="65"/>
        <v>0.05</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717"/>
      <c r="B374" s="717"/>
      <c r="C374" s="24">
        <f t="shared" si="64"/>
        <v>1</v>
      </c>
      <c r="D374" s="719"/>
      <c r="E374" s="24">
        <f t="shared" si="65"/>
        <v>0.05</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717"/>
      <c r="B375" s="717"/>
      <c r="C375" s="24">
        <f t="shared" si="64"/>
        <v>1</v>
      </c>
      <c r="D375" s="719"/>
      <c r="E375" s="24">
        <f t="shared" si="65"/>
        <v>0.05</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717"/>
      <c r="B376" s="717"/>
      <c r="C376" s="24">
        <f t="shared" si="64"/>
        <v>1</v>
      </c>
      <c r="D376" s="719"/>
      <c r="E376" s="24">
        <f t="shared" si="65"/>
        <v>0.05</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717"/>
      <c r="B377" s="717"/>
      <c r="C377" s="24">
        <f t="shared" si="64"/>
        <v>1</v>
      </c>
      <c r="D377" s="719"/>
      <c r="E377" s="24">
        <f t="shared" si="65"/>
        <v>0.05</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717"/>
      <c r="B378" s="717"/>
      <c r="C378" s="24">
        <f t="shared" si="64"/>
        <v>1</v>
      </c>
      <c r="D378" s="719"/>
      <c r="E378" s="24">
        <f t="shared" si="65"/>
        <v>0.05</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717"/>
      <c r="B379" s="717"/>
      <c r="C379" s="24">
        <f t="shared" si="64"/>
        <v>1</v>
      </c>
      <c r="D379" s="719"/>
      <c r="E379" s="24">
        <f t="shared" si="65"/>
        <v>0.05</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717"/>
      <c r="B380" s="717"/>
      <c r="C380" s="24">
        <f t="shared" si="64"/>
        <v>1</v>
      </c>
      <c r="D380" s="719"/>
      <c r="E380" s="24">
        <f t="shared" si="65"/>
        <v>0.05</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717"/>
      <c r="B381" s="717"/>
      <c r="C381" s="24">
        <f t="shared" si="64"/>
        <v>1</v>
      </c>
      <c r="D381" s="719"/>
      <c r="E381" s="24">
        <f t="shared" si="65"/>
        <v>0.05</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717"/>
      <c r="B382" s="717"/>
      <c r="C382" s="24">
        <f t="shared" si="64"/>
        <v>1</v>
      </c>
      <c r="D382" s="719"/>
      <c r="E382" s="24">
        <f t="shared" si="65"/>
        <v>0.05</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717"/>
      <c r="B383" s="717"/>
      <c r="C383" s="24">
        <f t="shared" si="64"/>
        <v>1</v>
      </c>
      <c r="D383" s="719"/>
      <c r="E383" s="24">
        <f t="shared" si="65"/>
        <v>0.05</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717"/>
      <c r="B384" s="717"/>
      <c r="C384" s="24">
        <f t="shared" si="64"/>
        <v>1</v>
      </c>
      <c r="D384" s="719"/>
      <c r="E384" s="24">
        <f t="shared" si="65"/>
        <v>0.05</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717"/>
      <c r="B385" s="717"/>
      <c r="C385" s="24">
        <f t="shared" si="64"/>
        <v>1</v>
      </c>
      <c r="D385" s="719"/>
      <c r="E385" s="24">
        <f t="shared" si="65"/>
        <v>0.05</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717"/>
      <c r="B386" s="717"/>
      <c r="C386" s="24">
        <f t="shared" si="64"/>
        <v>1</v>
      </c>
      <c r="D386" s="719"/>
      <c r="E386" s="24">
        <f t="shared" si="65"/>
        <v>0.05</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717"/>
      <c r="B387" s="717"/>
      <c r="C387" s="24">
        <f t="shared" si="64"/>
        <v>1</v>
      </c>
      <c r="D387" s="719"/>
      <c r="E387" s="24">
        <f t="shared" si="65"/>
        <v>0.05</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717"/>
      <c r="B388" s="717"/>
      <c r="C388" s="24">
        <f t="shared" si="64"/>
        <v>1</v>
      </c>
      <c r="D388" s="719"/>
      <c r="E388" s="24">
        <f t="shared" si="65"/>
        <v>0.05</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717"/>
      <c r="B389" s="717"/>
      <c r="C389" s="24">
        <f t="shared" si="64"/>
        <v>1</v>
      </c>
      <c r="D389" s="719"/>
      <c r="E389" s="24">
        <f t="shared" si="65"/>
        <v>0.05</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717"/>
      <c r="B390" s="717"/>
      <c r="C390" s="24">
        <f t="shared" si="64"/>
        <v>1</v>
      </c>
      <c r="D390" s="719"/>
      <c r="E390" s="24">
        <f t="shared" si="65"/>
        <v>0.05</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717"/>
      <c r="B391" s="717"/>
      <c r="C391" s="24">
        <f t="shared" si="64"/>
        <v>1</v>
      </c>
      <c r="D391" s="719"/>
      <c r="E391" s="24">
        <f t="shared" si="65"/>
        <v>0.05</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717"/>
      <c r="B392" s="717"/>
      <c r="C392" s="24">
        <f t="shared" si="64"/>
        <v>1</v>
      </c>
      <c r="D392" s="719"/>
      <c r="E392" s="24">
        <f t="shared" si="65"/>
        <v>0.05</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717"/>
      <c r="B393" s="717"/>
      <c r="C393" s="24">
        <f t="shared" si="64"/>
        <v>1</v>
      </c>
      <c r="D393" s="719"/>
      <c r="E393" s="24">
        <f t="shared" si="65"/>
        <v>0.05</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717"/>
      <c r="B394" s="717"/>
      <c r="C394" s="24">
        <f t="shared" si="64"/>
        <v>1</v>
      </c>
      <c r="D394" s="719"/>
      <c r="E394" s="24">
        <f t="shared" si="65"/>
        <v>0.05</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717"/>
      <c r="B395" s="717"/>
      <c r="C395" s="24">
        <f t="shared" si="64"/>
        <v>1</v>
      </c>
      <c r="D395" s="719"/>
      <c r="E395" s="24">
        <f t="shared" si="65"/>
        <v>0.05</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717"/>
      <c r="B396" s="717"/>
      <c r="C396" s="24">
        <f t="shared" si="64"/>
        <v>1</v>
      </c>
      <c r="D396" s="719"/>
      <c r="E396" s="24">
        <f t="shared" si="65"/>
        <v>0.05</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717"/>
      <c r="B397" s="717"/>
      <c r="C397" s="24">
        <f t="shared" si="64"/>
        <v>1</v>
      </c>
      <c r="D397" s="719"/>
      <c r="E397" s="24">
        <f t="shared" si="65"/>
        <v>0.05</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717"/>
      <c r="B398" s="717"/>
      <c r="C398" s="24">
        <f t="shared" si="64"/>
        <v>1</v>
      </c>
      <c r="D398" s="719"/>
      <c r="E398" s="24">
        <f t="shared" si="65"/>
        <v>0.05</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717"/>
      <c r="B399" s="717"/>
      <c r="C399" s="24">
        <f t="shared" si="64"/>
        <v>1</v>
      </c>
      <c r="D399" s="719"/>
      <c r="E399" s="24">
        <f t="shared" si="65"/>
        <v>0.05</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717"/>
      <c r="B400" s="717"/>
      <c r="C400" s="24">
        <f t="shared" si="64"/>
        <v>1</v>
      </c>
      <c r="D400" s="719"/>
      <c r="E400" s="24">
        <f t="shared" si="65"/>
        <v>0.05</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717"/>
      <c r="B401" s="717"/>
      <c r="C401" s="24">
        <f t="shared" si="64"/>
        <v>1</v>
      </c>
      <c r="D401" s="719"/>
      <c r="E401" s="24">
        <f t="shared" si="65"/>
        <v>0.05</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717"/>
      <c r="B402" s="717"/>
      <c r="C402" s="24">
        <f t="shared" si="64"/>
        <v>1</v>
      </c>
      <c r="D402" s="719"/>
      <c r="E402" s="24">
        <f t="shared" si="65"/>
        <v>0.05</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717"/>
      <c r="B403" s="717"/>
      <c r="C403" s="24">
        <f t="shared" si="64"/>
        <v>1</v>
      </c>
      <c r="D403" s="719"/>
      <c r="E403" s="24">
        <f t="shared" si="65"/>
        <v>0.05</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717"/>
      <c r="B404" s="717"/>
      <c r="C404" s="24">
        <f t="shared" si="64"/>
        <v>1</v>
      </c>
      <c r="D404" s="719"/>
      <c r="E404" s="24">
        <f t="shared" si="65"/>
        <v>0.05</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717"/>
      <c r="B405" s="717"/>
      <c r="C405" s="24">
        <f t="shared" si="64"/>
        <v>1</v>
      </c>
      <c r="D405" s="719"/>
      <c r="E405" s="24">
        <f t="shared" si="65"/>
        <v>0.05</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717"/>
      <c r="B406" s="717"/>
      <c r="C406" s="24">
        <f t="shared" si="64"/>
        <v>1</v>
      </c>
      <c r="D406" s="719"/>
      <c r="E406" s="24">
        <f t="shared" si="65"/>
        <v>0.05</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717"/>
      <c r="B407" s="717"/>
      <c r="C407" s="24">
        <f t="shared" si="64"/>
        <v>1</v>
      </c>
      <c r="D407" s="719"/>
      <c r="E407" s="24">
        <f t="shared" si="65"/>
        <v>0.05</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717"/>
      <c r="B408" s="717"/>
      <c r="C408" s="24">
        <f t="shared" si="64"/>
        <v>1</v>
      </c>
      <c r="D408" s="719"/>
      <c r="E408" s="24">
        <f t="shared" si="65"/>
        <v>0.05</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717"/>
      <c r="B409" s="717"/>
      <c r="C409" s="24">
        <f t="shared" si="64"/>
        <v>1</v>
      </c>
      <c r="D409" s="719"/>
      <c r="E409" s="24">
        <f t="shared" si="65"/>
        <v>0.05</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717"/>
      <c r="B410" s="717"/>
      <c r="C410" s="24">
        <f t="shared" ref="C410:C473" si="74">IF(B410="",1,(LOOKUP(B410,$3:$3,$4:$4)-LOOKUP($B$24,$3:$3,$4:$4)+100)/100)</f>
        <v>1</v>
      </c>
      <c r="D410" s="719"/>
      <c r="E410" s="24">
        <f t="shared" ref="E410:E473" si="75">(SUMIF($5:$5,D410,$6:$6)-SUMIF($5:$5,$D$24,$6:$6)+100)/100</f>
        <v>0.05</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717"/>
      <c r="B411" s="717"/>
      <c r="C411" s="24">
        <f t="shared" si="74"/>
        <v>1</v>
      </c>
      <c r="D411" s="719"/>
      <c r="E411" s="24">
        <f t="shared" si="75"/>
        <v>0.05</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717"/>
      <c r="B412" s="717"/>
      <c r="C412" s="24">
        <f t="shared" si="74"/>
        <v>1</v>
      </c>
      <c r="D412" s="719"/>
      <c r="E412" s="24">
        <f t="shared" si="75"/>
        <v>0.05</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717"/>
      <c r="B413" s="717"/>
      <c r="C413" s="24">
        <f t="shared" si="74"/>
        <v>1</v>
      </c>
      <c r="D413" s="719"/>
      <c r="E413" s="24">
        <f t="shared" si="75"/>
        <v>0.05</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717"/>
      <c r="B414" s="717"/>
      <c r="C414" s="24">
        <f t="shared" si="74"/>
        <v>1</v>
      </c>
      <c r="D414" s="719"/>
      <c r="E414" s="24">
        <f t="shared" si="75"/>
        <v>0.05</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717"/>
      <c r="B415" s="717"/>
      <c r="C415" s="24">
        <f t="shared" si="74"/>
        <v>1</v>
      </c>
      <c r="D415" s="719"/>
      <c r="E415" s="24">
        <f t="shared" si="75"/>
        <v>0.05</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717"/>
      <c r="B416" s="717"/>
      <c r="C416" s="24">
        <f t="shared" si="74"/>
        <v>1</v>
      </c>
      <c r="D416" s="719"/>
      <c r="E416" s="24">
        <f t="shared" si="75"/>
        <v>0.05</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717"/>
      <c r="B417" s="717"/>
      <c r="C417" s="24">
        <f t="shared" si="74"/>
        <v>1</v>
      </c>
      <c r="D417" s="719"/>
      <c r="E417" s="24">
        <f t="shared" si="75"/>
        <v>0.05</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717"/>
      <c r="B418" s="717"/>
      <c r="C418" s="24">
        <f t="shared" si="74"/>
        <v>1</v>
      </c>
      <c r="D418" s="719"/>
      <c r="E418" s="24">
        <f t="shared" si="75"/>
        <v>0.05</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717"/>
      <c r="B419" s="717"/>
      <c r="C419" s="24">
        <f t="shared" si="74"/>
        <v>1</v>
      </c>
      <c r="D419" s="719"/>
      <c r="E419" s="24">
        <f t="shared" si="75"/>
        <v>0.05</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717"/>
      <c r="B420" s="717"/>
      <c r="C420" s="24">
        <f t="shared" si="74"/>
        <v>1</v>
      </c>
      <c r="D420" s="719"/>
      <c r="E420" s="24">
        <f t="shared" si="75"/>
        <v>0.05</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717"/>
      <c r="B421" s="717"/>
      <c r="C421" s="24">
        <f t="shared" si="74"/>
        <v>1</v>
      </c>
      <c r="D421" s="719"/>
      <c r="E421" s="24">
        <f t="shared" si="75"/>
        <v>0.05</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717"/>
      <c r="B422" s="717"/>
      <c r="C422" s="24">
        <f t="shared" si="74"/>
        <v>1</v>
      </c>
      <c r="D422" s="719"/>
      <c r="E422" s="24">
        <f t="shared" si="75"/>
        <v>0.05</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717"/>
      <c r="B423" s="717"/>
      <c r="C423" s="24">
        <f t="shared" si="74"/>
        <v>1</v>
      </c>
      <c r="D423" s="719"/>
      <c r="E423" s="24">
        <f t="shared" si="75"/>
        <v>0.05</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717"/>
      <c r="B424" s="717"/>
      <c r="C424" s="24">
        <f t="shared" si="74"/>
        <v>1</v>
      </c>
      <c r="D424" s="719"/>
      <c r="E424" s="24">
        <f t="shared" si="75"/>
        <v>0.05</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717"/>
      <c r="B425" s="717"/>
      <c r="C425" s="24">
        <f t="shared" si="74"/>
        <v>1</v>
      </c>
      <c r="D425" s="719"/>
      <c r="E425" s="24">
        <f t="shared" si="75"/>
        <v>0.05</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717"/>
      <c r="B426" s="717"/>
      <c r="C426" s="24">
        <f t="shared" si="74"/>
        <v>1</v>
      </c>
      <c r="D426" s="719"/>
      <c r="E426" s="24">
        <f t="shared" si="75"/>
        <v>0.05</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717"/>
      <c r="B427" s="717"/>
      <c r="C427" s="24">
        <f t="shared" si="74"/>
        <v>1</v>
      </c>
      <c r="D427" s="719"/>
      <c r="E427" s="24">
        <f t="shared" si="75"/>
        <v>0.05</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717"/>
      <c r="B428" s="717"/>
      <c r="C428" s="24">
        <f t="shared" si="74"/>
        <v>1</v>
      </c>
      <c r="D428" s="719"/>
      <c r="E428" s="24">
        <f t="shared" si="75"/>
        <v>0.05</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717"/>
      <c r="B429" s="717"/>
      <c r="C429" s="24">
        <f t="shared" si="74"/>
        <v>1</v>
      </c>
      <c r="D429" s="719"/>
      <c r="E429" s="24">
        <f t="shared" si="75"/>
        <v>0.05</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717"/>
      <c r="B430" s="717"/>
      <c r="C430" s="24">
        <f t="shared" si="74"/>
        <v>1</v>
      </c>
      <c r="D430" s="719"/>
      <c r="E430" s="24">
        <f t="shared" si="75"/>
        <v>0.05</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717"/>
      <c r="B431" s="717"/>
      <c r="C431" s="24">
        <f t="shared" si="74"/>
        <v>1</v>
      </c>
      <c r="D431" s="719"/>
      <c r="E431" s="24">
        <f t="shared" si="75"/>
        <v>0.05</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717"/>
      <c r="B432" s="717"/>
      <c r="C432" s="24">
        <f t="shared" si="74"/>
        <v>1</v>
      </c>
      <c r="D432" s="719"/>
      <c r="E432" s="24">
        <f t="shared" si="75"/>
        <v>0.05</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717"/>
      <c r="B433" s="717"/>
      <c r="C433" s="24">
        <f t="shared" si="74"/>
        <v>1</v>
      </c>
      <c r="D433" s="719"/>
      <c r="E433" s="24">
        <f t="shared" si="75"/>
        <v>0.05</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717"/>
      <c r="B434" s="717"/>
      <c r="C434" s="24">
        <f t="shared" si="74"/>
        <v>1</v>
      </c>
      <c r="D434" s="719"/>
      <c r="E434" s="24">
        <f t="shared" si="75"/>
        <v>0.05</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717"/>
      <c r="B435" s="717"/>
      <c r="C435" s="24">
        <f t="shared" si="74"/>
        <v>1</v>
      </c>
      <c r="D435" s="719"/>
      <c r="E435" s="24">
        <f t="shared" si="75"/>
        <v>0.05</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717"/>
      <c r="B436" s="717"/>
      <c r="C436" s="24">
        <f t="shared" si="74"/>
        <v>1</v>
      </c>
      <c r="D436" s="719"/>
      <c r="E436" s="24">
        <f t="shared" si="75"/>
        <v>0.05</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717"/>
      <c r="B437" s="717"/>
      <c r="C437" s="24">
        <f t="shared" si="74"/>
        <v>1</v>
      </c>
      <c r="D437" s="719"/>
      <c r="E437" s="24">
        <f t="shared" si="75"/>
        <v>0.05</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717"/>
      <c r="B438" s="717"/>
      <c r="C438" s="24">
        <f t="shared" si="74"/>
        <v>1</v>
      </c>
      <c r="D438" s="719"/>
      <c r="E438" s="24">
        <f t="shared" si="75"/>
        <v>0.05</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717"/>
      <c r="B439" s="717"/>
      <c r="C439" s="24">
        <f t="shared" si="74"/>
        <v>1</v>
      </c>
      <c r="D439" s="719"/>
      <c r="E439" s="24">
        <f t="shared" si="75"/>
        <v>0.05</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717"/>
      <c r="B440" s="717"/>
      <c r="C440" s="24">
        <f t="shared" si="74"/>
        <v>1</v>
      </c>
      <c r="D440" s="719"/>
      <c r="E440" s="24">
        <f t="shared" si="75"/>
        <v>0.05</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717"/>
      <c r="B441" s="717"/>
      <c r="C441" s="24">
        <f t="shared" si="74"/>
        <v>1</v>
      </c>
      <c r="D441" s="719"/>
      <c r="E441" s="24">
        <f t="shared" si="75"/>
        <v>0.05</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717"/>
      <c r="B442" s="717"/>
      <c r="C442" s="24">
        <f t="shared" si="74"/>
        <v>1</v>
      </c>
      <c r="D442" s="719"/>
      <c r="E442" s="24">
        <f t="shared" si="75"/>
        <v>0.05</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717"/>
      <c r="B443" s="717"/>
      <c r="C443" s="24">
        <f t="shared" si="74"/>
        <v>1</v>
      </c>
      <c r="D443" s="719"/>
      <c r="E443" s="24">
        <f t="shared" si="75"/>
        <v>0.05</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717"/>
      <c r="B444" s="717"/>
      <c r="C444" s="24">
        <f t="shared" si="74"/>
        <v>1</v>
      </c>
      <c r="D444" s="719"/>
      <c r="E444" s="24">
        <f t="shared" si="75"/>
        <v>0.05</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717"/>
      <c r="B445" s="717"/>
      <c r="C445" s="24">
        <f t="shared" si="74"/>
        <v>1</v>
      </c>
      <c r="D445" s="719"/>
      <c r="E445" s="24">
        <f t="shared" si="75"/>
        <v>0.05</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717"/>
      <c r="B446" s="717"/>
      <c r="C446" s="24">
        <f t="shared" si="74"/>
        <v>1</v>
      </c>
      <c r="D446" s="719"/>
      <c r="E446" s="24">
        <f t="shared" si="75"/>
        <v>0.05</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717"/>
      <c r="B447" s="717"/>
      <c r="C447" s="24">
        <f t="shared" si="74"/>
        <v>1</v>
      </c>
      <c r="D447" s="719"/>
      <c r="E447" s="24">
        <f t="shared" si="75"/>
        <v>0.05</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717"/>
      <c r="B448" s="717"/>
      <c r="C448" s="24">
        <f t="shared" si="74"/>
        <v>1</v>
      </c>
      <c r="D448" s="719"/>
      <c r="E448" s="24">
        <f t="shared" si="75"/>
        <v>0.05</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717"/>
      <c r="B449" s="717"/>
      <c r="C449" s="24">
        <f t="shared" si="74"/>
        <v>1</v>
      </c>
      <c r="D449" s="719"/>
      <c r="E449" s="24">
        <f t="shared" si="75"/>
        <v>0.05</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717"/>
      <c r="B450" s="717"/>
      <c r="C450" s="24">
        <f t="shared" si="74"/>
        <v>1</v>
      </c>
      <c r="D450" s="719"/>
      <c r="E450" s="24">
        <f t="shared" si="75"/>
        <v>0.05</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717"/>
      <c r="B451" s="717"/>
      <c r="C451" s="24">
        <f t="shared" si="74"/>
        <v>1</v>
      </c>
      <c r="D451" s="719"/>
      <c r="E451" s="24">
        <f t="shared" si="75"/>
        <v>0.05</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717"/>
      <c r="B452" s="717"/>
      <c r="C452" s="24">
        <f t="shared" si="74"/>
        <v>1</v>
      </c>
      <c r="D452" s="719"/>
      <c r="E452" s="24">
        <f t="shared" si="75"/>
        <v>0.05</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717"/>
      <c r="B453" s="717"/>
      <c r="C453" s="24">
        <f t="shared" si="74"/>
        <v>1</v>
      </c>
      <c r="D453" s="719"/>
      <c r="E453" s="24">
        <f t="shared" si="75"/>
        <v>0.05</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717"/>
      <c r="B454" s="717"/>
      <c r="C454" s="24">
        <f t="shared" si="74"/>
        <v>1</v>
      </c>
      <c r="D454" s="719"/>
      <c r="E454" s="24">
        <f t="shared" si="75"/>
        <v>0.05</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717"/>
      <c r="B455" s="717"/>
      <c r="C455" s="24">
        <f t="shared" si="74"/>
        <v>1</v>
      </c>
      <c r="D455" s="719"/>
      <c r="E455" s="24">
        <f t="shared" si="75"/>
        <v>0.05</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717"/>
      <c r="B456" s="717"/>
      <c r="C456" s="24">
        <f t="shared" si="74"/>
        <v>1</v>
      </c>
      <c r="D456" s="719"/>
      <c r="E456" s="24">
        <f t="shared" si="75"/>
        <v>0.05</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717"/>
      <c r="B457" s="717"/>
      <c r="C457" s="24">
        <f t="shared" si="74"/>
        <v>1</v>
      </c>
      <c r="D457" s="719"/>
      <c r="E457" s="24">
        <f t="shared" si="75"/>
        <v>0.05</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717"/>
      <c r="B458" s="717"/>
      <c r="C458" s="24">
        <f t="shared" si="74"/>
        <v>1</v>
      </c>
      <c r="D458" s="719"/>
      <c r="E458" s="24">
        <f t="shared" si="75"/>
        <v>0.05</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717"/>
      <c r="B459" s="717"/>
      <c r="C459" s="24">
        <f t="shared" si="74"/>
        <v>1</v>
      </c>
      <c r="D459" s="719"/>
      <c r="E459" s="24">
        <f t="shared" si="75"/>
        <v>0.05</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717"/>
      <c r="B460" s="717"/>
      <c r="C460" s="24">
        <f t="shared" si="74"/>
        <v>1</v>
      </c>
      <c r="D460" s="719"/>
      <c r="E460" s="24">
        <f t="shared" si="75"/>
        <v>0.05</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717"/>
      <c r="B461" s="717"/>
      <c r="C461" s="24">
        <f t="shared" si="74"/>
        <v>1</v>
      </c>
      <c r="D461" s="719"/>
      <c r="E461" s="24">
        <f t="shared" si="75"/>
        <v>0.05</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717"/>
      <c r="B462" s="717"/>
      <c r="C462" s="24">
        <f t="shared" si="74"/>
        <v>1</v>
      </c>
      <c r="D462" s="719"/>
      <c r="E462" s="24">
        <f t="shared" si="75"/>
        <v>0.05</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717"/>
      <c r="B463" s="717"/>
      <c r="C463" s="24">
        <f t="shared" si="74"/>
        <v>1</v>
      </c>
      <c r="D463" s="719"/>
      <c r="E463" s="24">
        <f t="shared" si="75"/>
        <v>0.05</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717"/>
      <c r="B464" s="717"/>
      <c r="C464" s="24">
        <f t="shared" si="74"/>
        <v>1</v>
      </c>
      <c r="D464" s="719"/>
      <c r="E464" s="24">
        <f t="shared" si="75"/>
        <v>0.05</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717"/>
      <c r="B465" s="717"/>
      <c r="C465" s="24">
        <f t="shared" si="74"/>
        <v>1</v>
      </c>
      <c r="D465" s="719"/>
      <c r="E465" s="24">
        <f t="shared" si="75"/>
        <v>0.05</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717"/>
      <c r="B466" s="717"/>
      <c r="C466" s="24">
        <f t="shared" si="74"/>
        <v>1</v>
      </c>
      <c r="D466" s="719"/>
      <c r="E466" s="24">
        <f t="shared" si="75"/>
        <v>0.05</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717"/>
      <c r="B467" s="717"/>
      <c r="C467" s="24">
        <f t="shared" si="74"/>
        <v>1</v>
      </c>
      <c r="D467" s="719"/>
      <c r="E467" s="24">
        <f t="shared" si="75"/>
        <v>0.05</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717"/>
      <c r="B468" s="717"/>
      <c r="C468" s="24">
        <f t="shared" si="74"/>
        <v>1</v>
      </c>
      <c r="D468" s="719"/>
      <c r="E468" s="24">
        <f t="shared" si="75"/>
        <v>0.05</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717"/>
      <c r="B469" s="717"/>
      <c r="C469" s="24">
        <f t="shared" si="74"/>
        <v>1</v>
      </c>
      <c r="D469" s="719"/>
      <c r="E469" s="24">
        <f t="shared" si="75"/>
        <v>0.05</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717"/>
      <c r="B470" s="717"/>
      <c r="C470" s="24">
        <f t="shared" si="74"/>
        <v>1</v>
      </c>
      <c r="D470" s="719"/>
      <c r="E470" s="24">
        <f t="shared" si="75"/>
        <v>0.05</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717"/>
      <c r="B471" s="717"/>
      <c r="C471" s="24">
        <f t="shared" si="74"/>
        <v>1</v>
      </c>
      <c r="D471" s="719"/>
      <c r="E471" s="24">
        <f t="shared" si="75"/>
        <v>0.05</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717"/>
      <c r="B472" s="717"/>
      <c r="C472" s="24">
        <f t="shared" si="74"/>
        <v>1</v>
      </c>
      <c r="D472" s="719"/>
      <c r="E472" s="24">
        <f t="shared" si="75"/>
        <v>0.05</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717"/>
      <c r="B473" s="717"/>
      <c r="C473" s="24">
        <f t="shared" si="74"/>
        <v>1</v>
      </c>
      <c r="D473" s="719"/>
      <c r="E473" s="24">
        <f t="shared" si="75"/>
        <v>0.05</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717"/>
      <c r="B474" s="717"/>
      <c r="C474" s="24">
        <f t="shared" ref="C474:C524" si="85">IF(B474="",1,(LOOKUP(B474,$3:$3,$4:$4)-LOOKUP($B$24,$3:$3,$4:$4)+100)/100)</f>
        <v>1</v>
      </c>
      <c r="D474" s="719"/>
      <c r="E474" s="24">
        <f t="shared" ref="E474:E524" si="86">(SUMIF($5:$5,D474,$6:$6)-SUMIF($5:$5,$D$24,$6:$6)+100)/100</f>
        <v>0.05</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717"/>
      <c r="B475" s="717"/>
      <c r="C475" s="24">
        <f t="shared" si="85"/>
        <v>1</v>
      </c>
      <c r="D475" s="719"/>
      <c r="E475" s="24">
        <f t="shared" si="86"/>
        <v>0.05</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717"/>
      <c r="B476" s="717"/>
      <c r="C476" s="24">
        <f t="shared" si="85"/>
        <v>1</v>
      </c>
      <c r="D476" s="719"/>
      <c r="E476" s="24">
        <f t="shared" si="86"/>
        <v>0.05</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717"/>
      <c r="B477" s="717"/>
      <c r="C477" s="24">
        <f t="shared" si="85"/>
        <v>1</v>
      </c>
      <c r="D477" s="719"/>
      <c r="E477" s="24">
        <f t="shared" si="86"/>
        <v>0.05</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717"/>
      <c r="B478" s="717"/>
      <c r="C478" s="24">
        <f t="shared" si="85"/>
        <v>1</v>
      </c>
      <c r="D478" s="719"/>
      <c r="E478" s="24">
        <f t="shared" si="86"/>
        <v>0.05</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717"/>
      <c r="B479" s="717"/>
      <c r="C479" s="24">
        <f t="shared" si="85"/>
        <v>1</v>
      </c>
      <c r="D479" s="719"/>
      <c r="E479" s="24">
        <f t="shared" si="86"/>
        <v>0.05</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717"/>
      <c r="B480" s="717"/>
      <c r="C480" s="24">
        <f t="shared" si="85"/>
        <v>1</v>
      </c>
      <c r="D480" s="719"/>
      <c r="E480" s="24">
        <f t="shared" si="86"/>
        <v>0.05</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717"/>
      <c r="B481" s="717"/>
      <c r="C481" s="24">
        <f t="shared" si="85"/>
        <v>1</v>
      </c>
      <c r="D481" s="719"/>
      <c r="E481" s="24">
        <f t="shared" si="86"/>
        <v>0.05</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717"/>
      <c r="B482" s="59"/>
      <c r="C482" s="24">
        <f t="shared" si="85"/>
        <v>1</v>
      </c>
      <c r="D482" s="719"/>
      <c r="E482" s="24">
        <f t="shared" si="86"/>
        <v>0.05</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717"/>
      <c r="B483" s="59"/>
      <c r="C483" s="24">
        <f t="shared" si="85"/>
        <v>1</v>
      </c>
      <c r="D483" s="719"/>
      <c r="E483" s="24">
        <f t="shared" si="86"/>
        <v>0.05</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717"/>
      <c r="B484" s="59"/>
      <c r="C484" s="24">
        <f t="shared" si="85"/>
        <v>1</v>
      </c>
      <c r="D484" s="719"/>
      <c r="E484" s="24">
        <f t="shared" si="86"/>
        <v>0.05</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717"/>
      <c r="B485" s="59"/>
      <c r="C485" s="24">
        <f t="shared" si="85"/>
        <v>1</v>
      </c>
      <c r="D485" s="719"/>
      <c r="E485" s="24">
        <f t="shared" si="86"/>
        <v>0.05</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717"/>
      <c r="B486" s="59"/>
      <c r="C486" s="24">
        <f t="shared" si="85"/>
        <v>1</v>
      </c>
      <c r="D486" s="719"/>
      <c r="E486" s="24">
        <f t="shared" si="86"/>
        <v>0.05</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717"/>
      <c r="B487" s="59"/>
      <c r="C487" s="24">
        <f t="shared" si="85"/>
        <v>1</v>
      </c>
      <c r="D487" s="719"/>
      <c r="E487" s="24">
        <f t="shared" si="86"/>
        <v>0.05</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717"/>
      <c r="B488" s="59"/>
      <c r="C488" s="24">
        <f t="shared" si="85"/>
        <v>1</v>
      </c>
      <c r="D488" s="719"/>
      <c r="E488" s="24">
        <f t="shared" si="86"/>
        <v>0.05</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717"/>
      <c r="B489" s="59"/>
      <c r="C489" s="24">
        <f t="shared" si="85"/>
        <v>1</v>
      </c>
      <c r="D489" s="719"/>
      <c r="E489" s="24">
        <f t="shared" si="86"/>
        <v>0.05</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717"/>
      <c r="B490" s="59"/>
      <c r="C490" s="24">
        <f t="shared" si="85"/>
        <v>1</v>
      </c>
      <c r="D490" s="719"/>
      <c r="E490" s="24">
        <f t="shared" si="86"/>
        <v>0.05</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717"/>
      <c r="B491" s="59"/>
      <c r="C491" s="24">
        <f t="shared" si="85"/>
        <v>1</v>
      </c>
      <c r="D491" s="719"/>
      <c r="E491" s="24">
        <f t="shared" si="86"/>
        <v>0.05</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717"/>
      <c r="B492" s="59"/>
      <c r="C492" s="24">
        <f t="shared" si="85"/>
        <v>1</v>
      </c>
      <c r="D492" s="719"/>
      <c r="E492" s="24">
        <f t="shared" si="86"/>
        <v>0.05</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717"/>
      <c r="B493" s="59"/>
      <c r="C493" s="24">
        <f t="shared" si="85"/>
        <v>1</v>
      </c>
      <c r="D493" s="719"/>
      <c r="E493" s="24">
        <f t="shared" si="86"/>
        <v>0.05</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717"/>
      <c r="B494" s="59"/>
      <c r="C494" s="24">
        <f t="shared" si="85"/>
        <v>1</v>
      </c>
      <c r="D494" s="719"/>
      <c r="E494" s="24">
        <f t="shared" si="86"/>
        <v>0.05</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717"/>
      <c r="B495" s="59"/>
      <c r="C495" s="24">
        <f t="shared" si="85"/>
        <v>1</v>
      </c>
      <c r="D495" s="719"/>
      <c r="E495" s="24">
        <f t="shared" si="86"/>
        <v>0.05</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717"/>
      <c r="B496" s="59"/>
      <c r="C496" s="24">
        <f t="shared" si="85"/>
        <v>1</v>
      </c>
      <c r="D496" s="719"/>
      <c r="E496" s="24">
        <f t="shared" si="86"/>
        <v>0.05</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717"/>
      <c r="B497" s="59"/>
      <c r="C497" s="24">
        <f t="shared" si="85"/>
        <v>1</v>
      </c>
      <c r="D497" s="719"/>
      <c r="E497" s="24">
        <f t="shared" si="86"/>
        <v>0.05</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717"/>
      <c r="B498" s="59"/>
      <c r="C498" s="24">
        <f t="shared" si="85"/>
        <v>1</v>
      </c>
      <c r="D498" s="719"/>
      <c r="E498" s="24">
        <f t="shared" si="86"/>
        <v>0.05</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717"/>
      <c r="B499" s="59"/>
      <c r="C499" s="24">
        <f t="shared" si="85"/>
        <v>1</v>
      </c>
      <c r="D499" s="719"/>
      <c r="E499" s="24">
        <f t="shared" si="86"/>
        <v>0.05</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717"/>
      <c r="B500" s="59"/>
      <c r="C500" s="24">
        <f t="shared" si="85"/>
        <v>1</v>
      </c>
      <c r="D500" s="719"/>
      <c r="E500" s="24">
        <f t="shared" si="86"/>
        <v>0.05</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717"/>
      <c r="B501" s="59"/>
      <c r="C501" s="24">
        <f t="shared" si="85"/>
        <v>1</v>
      </c>
      <c r="D501" s="719"/>
      <c r="E501" s="24">
        <f t="shared" si="86"/>
        <v>0.05</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717"/>
      <c r="B502" s="59"/>
      <c r="C502" s="24">
        <f t="shared" si="85"/>
        <v>1</v>
      </c>
      <c r="D502" s="719"/>
      <c r="E502" s="24">
        <f t="shared" si="86"/>
        <v>0.05</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717"/>
      <c r="B503" s="59"/>
      <c r="C503" s="24">
        <f t="shared" si="85"/>
        <v>1</v>
      </c>
      <c r="D503" s="719"/>
      <c r="E503" s="24">
        <f t="shared" si="86"/>
        <v>0.05</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717"/>
      <c r="B504" s="59"/>
      <c r="C504" s="24">
        <f t="shared" si="85"/>
        <v>1</v>
      </c>
      <c r="D504" s="719"/>
      <c r="E504" s="24">
        <f t="shared" si="86"/>
        <v>0.05</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717"/>
      <c r="B505" s="59"/>
      <c r="C505" s="24">
        <f t="shared" si="85"/>
        <v>1</v>
      </c>
      <c r="D505" s="719"/>
      <c r="E505" s="24">
        <f t="shared" si="86"/>
        <v>0.05</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717"/>
      <c r="B506" s="59"/>
      <c r="C506" s="24">
        <f t="shared" si="85"/>
        <v>1</v>
      </c>
      <c r="D506" s="719"/>
      <c r="E506" s="24">
        <f t="shared" si="86"/>
        <v>0.05</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717"/>
      <c r="B507" s="59"/>
      <c r="C507" s="24">
        <f t="shared" si="85"/>
        <v>1</v>
      </c>
      <c r="D507" s="719"/>
      <c r="E507" s="24">
        <f t="shared" si="86"/>
        <v>0.05</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717"/>
      <c r="B508" s="59"/>
      <c r="C508" s="24">
        <f t="shared" si="85"/>
        <v>1</v>
      </c>
      <c r="D508" s="719"/>
      <c r="E508" s="24">
        <f t="shared" si="86"/>
        <v>0.05</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717"/>
      <c r="B509" s="59"/>
      <c r="C509" s="24">
        <f t="shared" si="85"/>
        <v>1</v>
      </c>
      <c r="D509" s="719"/>
      <c r="E509" s="24">
        <f t="shared" si="86"/>
        <v>0.05</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717"/>
      <c r="B510" s="59"/>
      <c r="C510" s="24">
        <f t="shared" si="85"/>
        <v>1</v>
      </c>
      <c r="D510" s="719"/>
      <c r="E510" s="24">
        <f t="shared" si="86"/>
        <v>0.05</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717"/>
      <c r="B511" s="59"/>
      <c r="C511" s="24">
        <f t="shared" si="85"/>
        <v>1</v>
      </c>
      <c r="D511" s="719"/>
      <c r="E511" s="24">
        <f t="shared" si="86"/>
        <v>0.05</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717"/>
      <c r="B512" s="59"/>
      <c r="C512" s="24">
        <f t="shared" si="85"/>
        <v>1</v>
      </c>
      <c r="D512" s="719"/>
      <c r="E512" s="24">
        <f t="shared" si="86"/>
        <v>0.05</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717"/>
      <c r="B513" s="59"/>
      <c r="C513" s="24">
        <f t="shared" si="85"/>
        <v>1</v>
      </c>
      <c r="D513" s="719"/>
      <c r="E513" s="24">
        <f t="shared" si="86"/>
        <v>0.05</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717"/>
      <c r="B514" s="59"/>
      <c r="C514" s="24">
        <f t="shared" si="85"/>
        <v>1</v>
      </c>
      <c r="D514" s="719"/>
      <c r="E514" s="24">
        <f t="shared" si="86"/>
        <v>0.05</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717"/>
      <c r="B515" s="59"/>
      <c r="C515" s="24">
        <f t="shared" si="85"/>
        <v>1</v>
      </c>
      <c r="D515" s="719"/>
      <c r="E515" s="24">
        <f t="shared" si="86"/>
        <v>0.05</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717"/>
      <c r="B516" s="59"/>
      <c r="C516" s="24">
        <f t="shared" si="85"/>
        <v>1</v>
      </c>
      <c r="D516" s="719"/>
      <c r="E516" s="24">
        <f t="shared" si="86"/>
        <v>0.05</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0.05</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0.05</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0.05</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0.05</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0.05</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0.05</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0.05</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0.05</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2"/>
      <c r="B4" s="2987" t="s">
        <v>1630</v>
      </c>
      <c r="C4" s="2987"/>
      <c r="D4" s="2987"/>
      <c r="E4" s="1962"/>
    </row>
    <row r="5" spans="1:5" ht="16.5" thickTop="1">
      <c r="A5" s="1960"/>
      <c r="B5" s="2985" t="s">
        <v>1622</v>
      </c>
      <c r="C5" s="1963" t="s">
        <v>1623</v>
      </c>
      <c r="D5" s="1042">
        <f ca="1">结果表!H101</f>
        <v>261</v>
      </c>
      <c r="E5" s="1960"/>
    </row>
    <row r="6" spans="1:5" ht="15.75">
      <c r="A6" s="1960"/>
      <c r="B6" s="2985"/>
      <c r="C6" s="1963" t="s">
        <v>1624</v>
      </c>
      <c r="D6" s="1042" t="str">
        <f ca="1">NUMBERSTRING(INT(D5*10000),2)&amp;"元整"</f>
        <v>贰佰陆拾壹万元整</v>
      </c>
      <c r="E6" s="1960"/>
    </row>
    <row r="7" spans="1:5" ht="15.75">
      <c r="A7" s="1960"/>
      <c r="B7" s="2990"/>
      <c r="C7" s="1964" t="s">
        <v>1625</v>
      </c>
      <c r="D7" s="1043">
        <f ca="1">结果表!H102</f>
        <v>25623</v>
      </c>
      <c r="E7" s="1960"/>
    </row>
    <row r="8" spans="1:5" ht="15.75">
      <c r="A8" s="1960"/>
      <c r="B8" s="2991" t="str">
        <f>结果表!E103</f>
        <v>2.估价师知悉的法定优先受偿款</v>
      </c>
      <c r="C8" s="1965" t="s">
        <v>1626</v>
      </c>
      <c r="D8" s="1043">
        <f>结果表!H103</f>
        <v>0</v>
      </c>
      <c r="E8" s="1960"/>
    </row>
    <row r="9" spans="1:5" ht="15.75">
      <c r="A9" s="1960"/>
      <c r="B9" s="299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84" t="str">
        <f>结果表!E107</f>
        <v>3.房地产抵押价值</v>
      </c>
      <c r="C13" s="1968" t="s">
        <v>1623</v>
      </c>
      <c r="D13" s="1045">
        <f ca="1">结果表!H107</f>
        <v>261</v>
      </c>
      <c r="E13" s="1960"/>
    </row>
    <row r="14" spans="1:5" ht="15.75">
      <c r="A14" s="1960"/>
      <c r="B14" s="2985"/>
      <c r="C14" s="1963" t="s">
        <v>1624</v>
      </c>
      <c r="D14" s="1042" t="str">
        <f ca="1">NUMBERSTRING(INT(D13*10000),2)&amp;"元整"</f>
        <v>贰佰陆拾壹万元整</v>
      </c>
      <c r="E14" s="1960"/>
    </row>
    <row r="15" spans="1:5" ht="15">
      <c r="A15" s="1960"/>
      <c r="B15" s="2990"/>
      <c r="C15" s="1964" t="s">
        <v>1634</v>
      </c>
      <c r="D15" s="1054">
        <f ca="1">结果表!H108</f>
        <v>77</v>
      </c>
      <c r="E15" s="1960"/>
    </row>
    <row r="16" spans="1:5" ht="15">
      <c r="A16" s="1960"/>
      <c r="B16" s="2991" t="str">
        <f>结果表!E109</f>
        <v>——</v>
      </c>
      <c r="C16" s="1968" t="s">
        <v>1635</v>
      </c>
      <c r="D16" s="1969" t="str">
        <f>结果表!H109</f>
        <v>——</v>
      </c>
      <c r="E16" s="1960"/>
    </row>
    <row r="17" spans="1:5" ht="15.75">
      <c r="A17" s="1960"/>
      <c r="B17" s="2992"/>
      <c r="C17" s="1963" t="s">
        <v>1636</v>
      </c>
      <c r="D17" s="1042" t="e">
        <f>NUMBERSTRING(INT(D16*10000),2)&amp;"元整"</f>
        <v>#VALUE!</v>
      </c>
      <c r="E17" s="1960"/>
    </row>
    <row r="18" spans="1:5" ht="15">
      <c r="A18" s="1960"/>
      <c r="B18" s="2993"/>
      <c r="C18" s="1964" t="s">
        <v>1625</v>
      </c>
      <c r="D18" s="1054" t="str">
        <f>结果表!H110</f>
        <v>——</v>
      </c>
      <c r="E18" s="1960"/>
    </row>
    <row r="19" spans="1:5" ht="15.75">
      <c r="A19" s="1960"/>
      <c r="B19" s="2984" t="str">
        <f>结果表!E111</f>
        <v>——</v>
      </c>
      <c r="C19" s="1968" t="s">
        <v>1623</v>
      </c>
      <c r="D19" s="1043" t="str">
        <f>结果表!H111</f>
        <v>——</v>
      </c>
      <c r="E19" s="1960"/>
    </row>
    <row r="20" spans="1:5" ht="15.75">
      <c r="A20" s="1960"/>
      <c r="B20" s="2985"/>
      <c r="C20" s="1963" t="s">
        <v>1636</v>
      </c>
      <c r="D20" s="1042" t="e">
        <f>NUMBERSTRING(INT(D19*10000),2)&amp;"元整"</f>
        <v>#VALUE!</v>
      </c>
      <c r="E20" s="1960"/>
    </row>
    <row r="21" spans="1:5" ht="15.75" thickBot="1">
      <c r="A21" s="1960"/>
      <c r="B21" s="298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45406</v>
      </c>
      <c r="C2" s="2" t="s">
        <v>133</v>
      </c>
      <c r="D2" s="243"/>
      <c r="E2" s="243"/>
      <c r="F2" s="243"/>
      <c r="G2" s="243"/>
    </row>
    <row r="3" spans="1:7" s="244" customFormat="1" ht="18" customHeight="1" thickBot="1">
      <c r="A3" s="247" t="s">
        <v>85</v>
      </c>
      <c r="B3" s="248">
        <f ca="1">ROUND(B2*10000/'数据-汇总表'!E3,0)</f>
        <v>13337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681</v>
      </c>
      <c r="D10" s="1034">
        <f>'数据-汇总表'!E6</f>
        <v>34044.230000000003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681</v>
      </c>
      <c r="D19" s="1038">
        <f>'数据-汇总表'!E3</f>
        <v>34044.230000000003</v>
      </c>
      <c r="E19" s="255">
        <f>'数据-取费表'!B31</f>
        <v>200</v>
      </c>
      <c r="F19" s="275"/>
      <c r="G19" s="1" t="s">
        <v>1074</v>
      </c>
    </row>
    <row r="20" spans="1:7" s="258" customFormat="1" ht="13.5" customHeight="1">
      <c r="A20" s="950" t="s">
        <v>1057</v>
      </c>
      <c r="B20" s="254" t="s">
        <v>104</v>
      </c>
      <c r="C20" s="276">
        <f>ROUND((C5+C19)*F20,0)</f>
        <v>430</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2110</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2024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5480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5480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9575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8511</v>
      </c>
      <c r="D34" s="261"/>
      <c r="E34" s="264"/>
      <c r="F34" s="301">
        <f>IF('数据-取费表'!B24=0,1,'数据-取费表'!N16)</f>
        <v>1</v>
      </c>
      <c r="G34" s="263" t="s">
        <v>116</v>
      </c>
    </row>
    <row r="35" spans="1:7" ht="13.5" customHeight="1">
      <c r="A35" s="953" t="s">
        <v>796</v>
      </c>
      <c r="B35" s="259" t="s">
        <v>60</v>
      </c>
      <c r="C35" s="264">
        <f>ROUND(C34*F35,0)</f>
        <v>255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681</v>
      </c>
      <c r="D37" s="261">
        <f>'数据-汇总表'!E3</f>
        <v>34044.230000000003</v>
      </c>
      <c r="E37" s="293">
        <f>'数据-取费表'!B35</f>
        <v>200</v>
      </c>
      <c r="F37" s="303"/>
      <c r="G37" s="305" t="s">
        <v>119</v>
      </c>
    </row>
    <row r="38" spans="1:7" ht="13.5" customHeight="1">
      <c r="A38" s="953" t="s">
        <v>799</v>
      </c>
      <c r="B38" s="259" t="s">
        <v>63</v>
      </c>
      <c r="C38" s="264">
        <f>ROUND(C34*F38,0)</f>
        <v>128</v>
      </c>
      <c r="D38" s="264"/>
      <c r="E38" s="264"/>
      <c r="F38" s="303">
        <f>'数据-取费表'!B36</f>
        <v>1.4999999999999999E-2</v>
      </c>
      <c r="G38" s="263" t="s">
        <v>117</v>
      </c>
    </row>
    <row r="39" spans="1:7" s="258" customFormat="1" ht="13.5" customHeight="1">
      <c r="A39" s="950" t="s">
        <v>783</v>
      </c>
      <c r="B39" s="254" t="s">
        <v>104</v>
      </c>
      <c r="C39" s="276">
        <f>ROUND(C33*F20,0)</f>
        <v>192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464</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455</v>
      </c>
      <c r="D42" s="282"/>
      <c r="E42" s="282"/>
      <c r="F42" s="283"/>
      <c r="G42" s="3169" t="s">
        <v>121</v>
      </c>
    </row>
    <row r="43" spans="1:7" ht="13.5" customHeight="1">
      <c r="A43" s="953" t="s">
        <v>792</v>
      </c>
      <c r="B43" s="259" t="s">
        <v>1064</v>
      </c>
      <c r="C43" s="282">
        <f ca="1">ROUND(IF('数据-取费表'!B22&lt;=1,C39*F22*'数据-取费表'!B21/2,C39*(POWER((1+F22),'数据-取费表'!B21/2)-1)),0)</f>
        <v>9</v>
      </c>
      <c r="D43" s="282"/>
      <c r="E43" s="282"/>
      <c r="F43" s="283"/>
      <c r="G43" s="3170"/>
    </row>
    <row r="44" spans="1:7" ht="13.5" customHeight="1">
      <c r="A44" s="953" t="s">
        <v>793</v>
      </c>
      <c r="B44" s="259" t="s">
        <v>1066</v>
      </c>
      <c r="C44" s="282">
        <f ca="1">ROUND(IF('数据-取费表'!B22&lt;=1,C40*F22*'数据-取费表'!B21/2,C40*(POWER((1+F22),'数据-取费表'!B21/2)-1)),4)</f>
        <v>1E-3</v>
      </c>
      <c r="D44" s="282"/>
      <c r="E44" s="282"/>
      <c r="F44" s="283"/>
      <c r="G44" s="3171"/>
    </row>
    <row r="45" spans="1:7" s="258" customFormat="1" ht="13.5" customHeight="1">
      <c r="A45" s="950" t="s">
        <v>786</v>
      </c>
      <c r="B45" s="288" t="s">
        <v>112</v>
      </c>
      <c r="C45" s="289">
        <f>C46</f>
        <v>2442</v>
      </c>
      <c r="D45" s="279">
        <f>C47</f>
        <v>5.0000000000000001E-3</v>
      </c>
      <c r="E45" s="280" t="s">
        <v>129</v>
      </c>
      <c r="F45" s="290"/>
      <c r="G45" s="291" t="s">
        <v>1072</v>
      </c>
    </row>
    <row r="46" spans="1:7" s="258" customFormat="1" ht="13.5" customHeight="1">
      <c r="A46" s="953" t="s">
        <v>794</v>
      </c>
      <c r="B46" s="292" t="s">
        <v>1065</v>
      </c>
      <c r="C46" s="293">
        <f>ROUND((C33+C39)*F27,0)</f>
        <v>2442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13765</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13352</v>
      </c>
      <c r="D51" s="276"/>
      <c r="E51" s="276"/>
      <c r="F51" s="308"/>
      <c r="G51" s="278" t="s">
        <v>64</v>
      </c>
    </row>
    <row r="52" spans="1:7" s="252" customFormat="1" ht="16.5" thickBot="1">
      <c r="A52" s="309" t="s">
        <v>65</v>
      </c>
      <c r="B52" s="310"/>
      <c r="C52" s="311">
        <f ca="1">C31+C51</f>
        <v>45406</v>
      </c>
      <c r="D52" s="310"/>
      <c r="E52" s="310"/>
      <c r="F52" s="310"/>
      <c r="G52" s="312"/>
    </row>
    <row r="55" spans="1:7" ht="15">
      <c r="B55" s="314" t="s">
        <v>66</v>
      </c>
      <c r="C55" s="315"/>
    </row>
    <row r="56" spans="1:7">
      <c r="B56" s="317" t="s">
        <v>67</v>
      </c>
      <c r="C56" s="318">
        <f ca="1">ROUND(C51/C52,3)</f>
        <v>0.29399999999999998</v>
      </c>
    </row>
    <row r="57" spans="1:7">
      <c r="B57" s="317" t="s">
        <v>68</v>
      </c>
      <c r="C57" s="319">
        <f ca="1">1-C56</f>
        <v>0.70599999999999996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8" t="s">
        <v>156</v>
      </c>
      <c r="B1" s="3308"/>
      <c r="C1" s="3308"/>
      <c r="D1" s="3308"/>
      <c r="E1" s="3308"/>
      <c r="F1" s="330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9" t="s">
        <v>169</v>
      </c>
      <c r="B2" s="3309"/>
      <c r="C2" s="3309"/>
      <c r="D2" s="3309"/>
      <c r="E2" s="3309"/>
      <c r="F2" s="330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8" t="s">
        <v>871</v>
      </c>
      <c r="B1" s="330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43307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5" sqref="F5"/>
    </sheetView>
  </sheetViews>
  <sheetFormatPr defaultRowHeight="13.5"/>
  <cols>
    <col min="2" max="2" width="14" customWidth="1"/>
    <col min="6" max="6" width="11.875" customWidth="1"/>
  </cols>
  <sheetData>
    <row r="1" spans="1:13">
      <c r="C1" s="2947" t="s">
        <v>4029</v>
      </c>
    </row>
    <row r="2" spans="1:13">
      <c r="A2" s="2948" t="s">
        <v>4020</v>
      </c>
      <c r="B2" s="2948" t="s">
        <v>4021</v>
      </c>
      <c r="C2" s="2948" t="s">
        <v>4022</v>
      </c>
      <c r="D2" s="2948" t="s">
        <v>4027</v>
      </c>
      <c r="E2" s="2948" t="s">
        <v>4028</v>
      </c>
      <c r="F2" s="2948" t="s">
        <v>4030</v>
      </c>
      <c r="G2" s="2948" t="s">
        <v>4111</v>
      </c>
    </row>
    <row r="3" spans="1:13">
      <c r="A3" s="2949">
        <v>1</v>
      </c>
      <c r="B3" s="2948" t="s">
        <v>4024</v>
      </c>
      <c r="C3" s="2948">
        <f>SUM(抵押物清单!E2:E26)</f>
        <v>6499.7300000000005</v>
      </c>
      <c r="D3" s="2948">
        <f>SUM(抵押物清单!E37:E51)</f>
        <v>778.12999999999988</v>
      </c>
      <c r="E3" s="2948">
        <f>SUM(抵押物清单!E118:E131)</f>
        <v>859.34</v>
      </c>
      <c r="F3" s="2949">
        <f>SUM(C3:E3)</f>
        <v>8137.2000000000007</v>
      </c>
      <c r="G3" s="2949">
        <v>54</v>
      </c>
      <c r="H3">
        <f ca="1">SUM(典型户型修正!S24:S48)</f>
        <v>14638</v>
      </c>
      <c r="I3">
        <f ca="1">SUM(典型户型修正!S58:S72)</f>
        <v>1957</v>
      </c>
      <c r="J3">
        <f ca="1">SUM(典型户型修正!S138:S151)</f>
        <v>2139</v>
      </c>
      <c r="K3">
        <f ca="1">SUM(H3:J3)</f>
        <v>18734</v>
      </c>
      <c r="L3">
        <f ca="1">K3/F3</f>
        <v>2.3022661357715184</v>
      </c>
    </row>
    <row r="4" spans="1:13">
      <c r="A4" s="2949">
        <v>2</v>
      </c>
      <c r="B4" s="2948" t="s">
        <v>4025</v>
      </c>
      <c r="C4" s="2948">
        <f>SUM(抵押物清单!E27:E32)</f>
        <v>6723.8</v>
      </c>
      <c r="D4" s="2948">
        <f>SUM(抵押物清单!E52:E95)</f>
        <v>2379.3200000000002</v>
      </c>
      <c r="E4" s="2948">
        <f>SUM(抵押物清单!E132:E193)</f>
        <v>3284.0299999999988</v>
      </c>
      <c r="F4" s="2949">
        <f>SUM(C4:E4)</f>
        <v>12387.15</v>
      </c>
      <c r="G4" s="2949">
        <v>112</v>
      </c>
      <c r="H4">
        <f ca="1">SUM(典型户型修正!S49:S54)</f>
        <v>9120</v>
      </c>
      <c r="I4">
        <f ca="1">SUM(典型户型修正!S73:S116)</f>
        <v>3858</v>
      </c>
      <c r="J4">
        <f ca="1">SUM(典型户型修正!S152:S213)</f>
        <v>5324</v>
      </c>
      <c r="K4">
        <f ca="1">SUM(H4:J4)</f>
        <v>18302</v>
      </c>
      <c r="L4">
        <f ca="1">K4/F4</f>
        <v>1.4774988597054206</v>
      </c>
      <c r="M4">
        <f ca="1">L4/L3</f>
        <v>0.64175849904958626</v>
      </c>
    </row>
    <row r="5" spans="1:13">
      <c r="A5" s="2949">
        <v>3</v>
      </c>
      <c r="B5" s="2948" t="s">
        <v>4026</v>
      </c>
      <c r="C5" s="2948">
        <f>SUM(抵押物清单!E33:E35)</f>
        <v>7652.42</v>
      </c>
      <c r="D5" s="2948">
        <f>SUM(抵押物清单!E96:E116)</f>
        <v>3070.9</v>
      </c>
      <c r="E5" s="2948">
        <f>SUM(抵押物清单!E194:E232)</f>
        <v>2796.5599999999986</v>
      </c>
      <c r="F5" s="2949">
        <f>SUM(C5:E5)</f>
        <v>13519.879999999997</v>
      </c>
      <c r="G5" s="2949">
        <v>63</v>
      </c>
      <c r="H5">
        <f ca="1">SUM(典型户型修正!S55:S57)</f>
        <v>9120</v>
      </c>
      <c r="I5">
        <f ca="1">SUM(典型户型修正!S117:S137)</f>
        <v>4104</v>
      </c>
      <c r="J5">
        <f ca="1">SUM(典型户型修正!S214:S252)</f>
        <v>3810</v>
      </c>
      <c r="K5">
        <f ca="1">SUM(H5:J5)</f>
        <v>17034</v>
      </c>
      <c r="L5">
        <f ca="1">K5/F5</f>
        <v>1.2599224253469707</v>
      </c>
      <c r="M5">
        <f ca="1">L5/L3</f>
        <v>0.547253163207717</v>
      </c>
    </row>
    <row r="6" spans="1:13">
      <c r="A6" s="2948" t="s">
        <v>4031</v>
      </c>
      <c r="B6" s="2948" t="s">
        <v>4032</v>
      </c>
      <c r="C6" s="2949">
        <f>SUM(C3:C5)</f>
        <v>20875.95</v>
      </c>
      <c r="D6" s="2949">
        <f>SUM(D3:D5)</f>
        <v>6228.35</v>
      </c>
      <c r="E6" s="2949">
        <f>SUM(E3:E5)</f>
        <v>6939.9299999999976</v>
      </c>
      <c r="F6" s="2949">
        <f>SUM(F3:F5)</f>
        <v>34044.229999999996</v>
      </c>
      <c r="G6" s="2949">
        <f>SUM(G3:G5)</f>
        <v>229</v>
      </c>
      <c r="K6">
        <f ca="1">SUM(K3:K5)</f>
        <v>54070</v>
      </c>
    </row>
    <row r="7" spans="1:13">
      <c r="C7" s="2949">
        <f>抵押物清单!A35</f>
        <v>34</v>
      </c>
      <c r="D7" s="2949">
        <f>抵押物清单!A116</f>
        <v>80</v>
      </c>
      <c r="E7" s="2949">
        <f>抵押物清单!A232</f>
        <v>115</v>
      </c>
      <c r="F7" s="2949">
        <f>SUM(C7:E7)</f>
        <v>229</v>
      </c>
      <c r="G7" s="2949"/>
    </row>
    <row r="10" spans="1:13">
      <c r="C10" s="2947"/>
      <c r="D10" s="2947"/>
      <c r="E10" s="2947"/>
      <c r="F10" s="2947"/>
    </row>
    <row r="11" spans="1:13">
      <c r="B11" s="2947"/>
      <c r="G11" s="2982"/>
    </row>
    <row r="12" spans="1:13">
      <c r="B12" s="2947"/>
      <c r="D12" s="2947"/>
    </row>
    <row r="13" spans="1:13">
      <c r="B13" s="2947"/>
    </row>
    <row r="14" spans="1:13">
      <c r="B14" s="2947"/>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pane xSplit="1" ySplit="1" topLeftCell="B218" activePane="bottomRight" state="frozen"/>
      <selection pane="topRight" activeCell="B1" sqref="B1"/>
      <selection pane="bottomLeft" activeCell="A2" sqref="A2"/>
      <selection pane="bottomRight" activeCell="F233" sqref="F233"/>
    </sheetView>
  </sheetViews>
  <sheetFormatPr defaultRowHeight="13.5"/>
  <cols>
    <col min="2" max="2" width="39.875" customWidth="1"/>
    <col min="4" max="4" width="6.625" customWidth="1"/>
    <col min="5" max="5" width="9.875" customWidth="1"/>
    <col min="6" max="6" width="35" customWidth="1"/>
    <col min="8" max="8" width="10.375" customWidth="1"/>
  </cols>
  <sheetData>
    <row r="1" spans="1:10">
      <c r="A1" s="2948" t="s">
        <v>3064</v>
      </c>
      <c r="B1" s="2948" t="s">
        <v>3069</v>
      </c>
      <c r="C1" s="2948" t="s">
        <v>3065</v>
      </c>
      <c r="D1" s="2948" t="s">
        <v>3066</v>
      </c>
      <c r="E1" s="2948" t="s">
        <v>3067</v>
      </c>
      <c r="F1" s="2948" t="s">
        <v>3068</v>
      </c>
    </row>
    <row r="2" spans="1:10" ht="32.25" customHeight="1">
      <c r="A2" s="2949">
        <v>1</v>
      </c>
      <c r="B2" s="2950" t="s">
        <v>3070</v>
      </c>
      <c r="C2" s="2948" t="s">
        <v>3071</v>
      </c>
      <c r="D2" s="2949">
        <v>1</v>
      </c>
      <c r="E2" s="2949">
        <v>101.86</v>
      </c>
      <c r="F2" s="2948" t="s">
        <v>3072</v>
      </c>
      <c r="G2">
        <v>25.49</v>
      </c>
      <c r="H2" s="2948">
        <v>193413.57</v>
      </c>
      <c r="J2" s="2948"/>
    </row>
    <row r="3" spans="1:10" ht="32.25" customHeight="1">
      <c r="A3" s="2949">
        <v>2</v>
      </c>
      <c r="B3" s="2950" t="s">
        <v>3073</v>
      </c>
      <c r="C3" s="2948" t="s">
        <v>3074</v>
      </c>
      <c r="D3" s="2949">
        <v>1</v>
      </c>
      <c r="E3" s="2949">
        <v>71.48</v>
      </c>
      <c r="F3" s="2948" t="s">
        <v>3075</v>
      </c>
    </row>
    <row r="4" spans="1:10" ht="27">
      <c r="A4" s="2949">
        <v>3</v>
      </c>
      <c r="B4" s="2950" t="s">
        <v>3076</v>
      </c>
      <c r="C4" s="2948" t="s">
        <v>3077</v>
      </c>
      <c r="D4" s="2949">
        <v>1</v>
      </c>
      <c r="E4" s="2949">
        <v>59.73</v>
      </c>
      <c r="F4" s="2948" t="s">
        <v>3078</v>
      </c>
    </row>
    <row r="5" spans="1:10" ht="27">
      <c r="A5" s="2949">
        <v>4</v>
      </c>
      <c r="B5" s="2950" t="s">
        <v>3079</v>
      </c>
      <c r="C5" s="2948" t="s">
        <v>3081</v>
      </c>
      <c r="D5" s="2949">
        <v>1</v>
      </c>
      <c r="E5" s="2949">
        <v>43.03</v>
      </c>
      <c r="F5" s="2948" t="s">
        <v>3082</v>
      </c>
    </row>
    <row r="6" spans="1:10" ht="27">
      <c r="A6" s="2949">
        <v>5</v>
      </c>
      <c r="B6" s="2950" t="s">
        <v>3080</v>
      </c>
      <c r="C6" s="2948" t="s">
        <v>3083</v>
      </c>
      <c r="D6" s="2949">
        <v>1</v>
      </c>
      <c r="E6" s="2949">
        <v>44.8</v>
      </c>
      <c r="F6" s="2948" t="s">
        <v>3084</v>
      </c>
    </row>
    <row r="7" spans="1:10" ht="27">
      <c r="A7" s="2949">
        <v>6</v>
      </c>
      <c r="B7" s="2950" t="s">
        <v>3085</v>
      </c>
      <c r="C7" s="2948" t="s">
        <v>3086</v>
      </c>
      <c r="D7" s="2949">
        <v>1</v>
      </c>
      <c r="E7" s="2949">
        <v>44.8</v>
      </c>
      <c r="F7" s="2948" t="s">
        <v>3087</v>
      </c>
    </row>
    <row r="8" spans="1:10" ht="27">
      <c r="A8" s="2949">
        <v>7</v>
      </c>
      <c r="B8" s="2950" t="s">
        <v>3088</v>
      </c>
      <c r="C8" s="2948" t="s">
        <v>3089</v>
      </c>
      <c r="D8" s="2949">
        <v>1</v>
      </c>
      <c r="E8" s="2949">
        <v>44.8</v>
      </c>
      <c r="F8" s="2948" t="s">
        <v>3090</v>
      </c>
    </row>
    <row r="9" spans="1:10" ht="27">
      <c r="A9" s="2949">
        <v>8</v>
      </c>
      <c r="B9" s="2950" t="s">
        <v>3091</v>
      </c>
      <c r="C9" s="2948" t="s">
        <v>3092</v>
      </c>
      <c r="D9" s="2949">
        <v>1</v>
      </c>
      <c r="E9" s="2949">
        <v>89.59</v>
      </c>
      <c r="F9" s="2948" t="s">
        <v>3093</v>
      </c>
    </row>
    <row r="10" spans="1:10" ht="27">
      <c r="A10" s="2949">
        <v>9</v>
      </c>
      <c r="B10" s="2950" t="s">
        <v>3094</v>
      </c>
      <c r="C10" s="2948" t="s">
        <v>3095</v>
      </c>
      <c r="D10" s="2949">
        <v>1</v>
      </c>
      <c r="E10" s="2949">
        <v>44.8</v>
      </c>
      <c r="F10" s="2948" t="s">
        <v>3096</v>
      </c>
    </row>
    <row r="11" spans="1:10" ht="27">
      <c r="A11" s="2949">
        <v>10</v>
      </c>
      <c r="B11" s="2950" t="s">
        <v>3097</v>
      </c>
      <c r="C11" s="2948" t="s">
        <v>3098</v>
      </c>
      <c r="D11" s="2949">
        <v>1</v>
      </c>
      <c r="E11" s="2949">
        <v>43.19</v>
      </c>
      <c r="F11" s="2948" t="s">
        <v>3099</v>
      </c>
    </row>
    <row r="12" spans="1:10" ht="27">
      <c r="A12" s="2949">
        <v>11</v>
      </c>
      <c r="B12" s="2950" t="s">
        <v>3100</v>
      </c>
      <c r="C12" s="2948" t="s">
        <v>3101</v>
      </c>
      <c r="D12" s="2949">
        <v>1</v>
      </c>
      <c r="E12" s="2949">
        <v>48.59</v>
      </c>
      <c r="F12" s="2948" t="s">
        <v>3102</v>
      </c>
    </row>
    <row r="13" spans="1:10" ht="27">
      <c r="A13" s="2949">
        <v>12</v>
      </c>
      <c r="B13" s="2950" t="s">
        <v>3103</v>
      </c>
      <c r="C13" s="2948" t="s">
        <v>3104</v>
      </c>
      <c r="D13" s="2949">
        <v>1</v>
      </c>
      <c r="E13" s="2949">
        <v>48.59</v>
      </c>
      <c r="F13" s="2948" t="s">
        <v>3105</v>
      </c>
    </row>
    <row r="14" spans="1:10" ht="27">
      <c r="A14" s="2949">
        <v>13</v>
      </c>
      <c r="B14" s="2950" t="s">
        <v>3106</v>
      </c>
      <c r="C14" s="2948" t="s">
        <v>3107</v>
      </c>
      <c r="D14" s="2949">
        <v>1</v>
      </c>
      <c r="E14" s="2949">
        <v>48.59</v>
      </c>
      <c r="F14" s="2948" t="s">
        <v>3108</v>
      </c>
    </row>
    <row r="15" spans="1:10" ht="27">
      <c r="A15" s="2949">
        <v>14</v>
      </c>
      <c r="B15" s="2950" t="s">
        <v>3109</v>
      </c>
      <c r="C15" s="2948" t="s">
        <v>3110</v>
      </c>
      <c r="D15" s="2949">
        <v>1</v>
      </c>
      <c r="E15" s="2949">
        <v>60.74</v>
      </c>
      <c r="F15" s="2948" t="s">
        <v>3111</v>
      </c>
    </row>
    <row r="16" spans="1:10" ht="27">
      <c r="A16" s="2949">
        <v>15</v>
      </c>
      <c r="B16" s="2950" t="s">
        <v>3112</v>
      </c>
      <c r="C16" s="2948" t="s">
        <v>3114</v>
      </c>
      <c r="D16" s="2949">
        <v>1</v>
      </c>
      <c r="E16" s="2949">
        <v>28.81</v>
      </c>
      <c r="F16" s="2948" t="s">
        <v>3115</v>
      </c>
    </row>
    <row r="17" spans="1:6" ht="27">
      <c r="A17" s="2949">
        <v>16</v>
      </c>
      <c r="B17" s="2950" t="s">
        <v>3113</v>
      </c>
      <c r="C17" s="2948" t="s">
        <v>3116</v>
      </c>
      <c r="D17" s="2949">
        <v>1</v>
      </c>
      <c r="E17" s="2949">
        <v>18.53</v>
      </c>
      <c r="F17" s="2948" t="s">
        <v>3117</v>
      </c>
    </row>
    <row r="18" spans="1:6" ht="27">
      <c r="A18" s="2949">
        <v>17</v>
      </c>
      <c r="B18" s="2950" t="s">
        <v>3118</v>
      </c>
      <c r="C18" s="2948" t="s">
        <v>3119</v>
      </c>
      <c r="D18" s="2949">
        <v>1</v>
      </c>
      <c r="E18" s="2949">
        <v>22.2</v>
      </c>
      <c r="F18" s="2948" t="s">
        <v>3120</v>
      </c>
    </row>
    <row r="19" spans="1:6" ht="27">
      <c r="A19" s="2949">
        <v>18</v>
      </c>
      <c r="B19" s="2950" t="s">
        <v>3121</v>
      </c>
      <c r="C19" s="2948" t="s">
        <v>3122</v>
      </c>
      <c r="D19" s="2949">
        <v>1</v>
      </c>
      <c r="E19" s="2949">
        <v>46.58</v>
      </c>
      <c r="F19" s="2948" t="s">
        <v>3123</v>
      </c>
    </row>
    <row r="20" spans="1:6" ht="27">
      <c r="A20" s="2949">
        <v>19</v>
      </c>
      <c r="B20" s="2950" t="s">
        <v>3124</v>
      </c>
      <c r="C20" s="2948" t="s">
        <v>3125</v>
      </c>
      <c r="D20" s="2949">
        <v>1</v>
      </c>
      <c r="E20" s="2949">
        <v>27.58</v>
      </c>
      <c r="F20" s="2948" t="s">
        <v>3126</v>
      </c>
    </row>
    <row r="21" spans="1:6" ht="27">
      <c r="A21" s="2949">
        <v>20</v>
      </c>
      <c r="B21" s="2950" t="s">
        <v>3128</v>
      </c>
      <c r="C21" s="2948" t="s">
        <v>3129</v>
      </c>
      <c r="D21" s="2949">
        <v>1</v>
      </c>
      <c r="E21" s="2949">
        <v>27.58</v>
      </c>
      <c r="F21" s="2948" t="s">
        <v>3127</v>
      </c>
    </row>
    <row r="22" spans="1:6" ht="27">
      <c r="A22" s="2949">
        <v>21</v>
      </c>
      <c r="B22" s="2950" t="s">
        <v>3130</v>
      </c>
      <c r="C22" s="2948" t="s">
        <v>3131</v>
      </c>
      <c r="D22" s="2949">
        <v>1</v>
      </c>
      <c r="E22" s="2949">
        <v>56.82</v>
      </c>
      <c r="F22" s="2948" t="s">
        <v>3132</v>
      </c>
    </row>
    <row r="23" spans="1:6" ht="27">
      <c r="A23" s="2949">
        <v>22</v>
      </c>
      <c r="B23" s="2950" t="s">
        <v>3133</v>
      </c>
      <c r="C23" s="2948" t="s">
        <v>3134</v>
      </c>
      <c r="D23" s="2949">
        <v>1</v>
      </c>
      <c r="E23" s="2949">
        <v>52.77</v>
      </c>
      <c r="F23" s="2948" t="s">
        <v>3135</v>
      </c>
    </row>
    <row r="24" spans="1:6" ht="27">
      <c r="A24" s="2949">
        <v>23</v>
      </c>
      <c r="B24" s="2950" t="s">
        <v>3136</v>
      </c>
      <c r="C24" s="2948" t="s">
        <v>3137</v>
      </c>
      <c r="D24" s="2949">
        <v>1</v>
      </c>
      <c r="E24" s="2949">
        <v>50.98</v>
      </c>
      <c r="F24" s="2948" t="s">
        <v>3138</v>
      </c>
    </row>
    <row r="25" spans="1:6" ht="27">
      <c r="A25" s="2949">
        <v>24</v>
      </c>
      <c r="B25" s="2950" t="s">
        <v>3139</v>
      </c>
      <c r="C25" s="2948" t="s">
        <v>3140</v>
      </c>
      <c r="D25" s="2949">
        <v>1</v>
      </c>
      <c r="E25" s="2949">
        <v>4865.12</v>
      </c>
      <c r="F25" s="2948" t="s">
        <v>3141</v>
      </c>
    </row>
    <row r="26" spans="1:6" ht="27">
      <c r="A26" s="2949">
        <v>25</v>
      </c>
      <c r="B26" s="2950" t="s">
        <v>3142</v>
      </c>
      <c r="C26" s="2948" t="s">
        <v>3143</v>
      </c>
      <c r="D26" s="2949">
        <v>1</v>
      </c>
      <c r="E26" s="2949">
        <v>508.17</v>
      </c>
      <c r="F26" s="2948" t="s">
        <v>3144</v>
      </c>
    </row>
    <row r="27" spans="1:6" ht="27">
      <c r="A27" s="2949">
        <v>26</v>
      </c>
      <c r="B27" s="2950" t="s">
        <v>3145</v>
      </c>
      <c r="C27" s="2948" t="s">
        <v>3146</v>
      </c>
      <c r="D27" s="2949">
        <v>2</v>
      </c>
      <c r="E27" s="2949">
        <v>186.58</v>
      </c>
      <c r="F27" s="2948" t="s">
        <v>3147</v>
      </c>
    </row>
    <row r="28" spans="1:6" ht="27">
      <c r="A28" s="2949">
        <v>27</v>
      </c>
      <c r="B28" s="2950" t="s">
        <v>3148</v>
      </c>
      <c r="C28" s="2948" t="s">
        <v>3149</v>
      </c>
      <c r="D28" s="2949">
        <v>2</v>
      </c>
      <c r="E28" s="2949">
        <v>170.74</v>
      </c>
      <c r="F28" s="2948" t="s">
        <v>3150</v>
      </c>
    </row>
    <row r="29" spans="1:6" ht="27">
      <c r="A29" s="2949">
        <v>28</v>
      </c>
      <c r="B29" s="2950" t="s">
        <v>3151</v>
      </c>
      <c r="C29" s="2948" t="s">
        <v>3152</v>
      </c>
      <c r="D29" s="2949">
        <v>2</v>
      </c>
      <c r="E29" s="2949">
        <v>156.16999999999999</v>
      </c>
      <c r="F29" s="2948" t="s">
        <v>3153</v>
      </c>
    </row>
    <row r="30" spans="1:6" ht="27">
      <c r="A30" s="2949">
        <v>29</v>
      </c>
      <c r="B30" s="2950" t="s">
        <v>3154</v>
      </c>
      <c r="C30" s="2948" t="s">
        <v>3155</v>
      </c>
      <c r="D30" s="2949">
        <v>2</v>
      </c>
      <c r="E30" s="2949">
        <v>97.61</v>
      </c>
      <c r="F30" s="2948" t="s">
        <v>3156</v>
      </c>
    </row>
    <row r="31" spans="1:6" ht="27">
      <c r="A31" s="2949">
        <v>30</v>
      </c>
      <c r="B31" s="2950" t="s">
        <v>3157</v>
      </c>
      <c r="C31" s="2948" t="s">
        <v>3158</v>
      </c>
      <c r="D31" s="2949">
        <v>2</v>
      </c>
      <c r="E31" s="2949">
        <v>90.77</v>
      </c>
      <c r="F31" s="2948" t="s">
        <v>3159</v>
      </c>
    </row>
    <row r="32" spans="1:6" ht="27">
      <c r="A32" s="2949">
        <v>31</v>
      </c>
      <c r="B32" s="2950" t="s">
        <v>3160</v>
      </c>
      <c r="C32" s="2948" t="s">
        <v>3161</v>
      </c>
      <c r="D32" s="2949">
        <v>2</v>
      </c>
      <c r="E32" s="2949">
        <v>6021.93</v>
      </c>
      <c r="F32" s="2948" t="s">
        <v>3162</v>
      </c>
    </row>
    <row r="33" spans="1:6" ht="27">
      <c r="A33" s="2949">
        <v>32</v>
      </c>
      <c r="B33" s="2950" t="s">
        <v>3163</v>
      </c>
      <c r="C33" s="2948" t="s">
        <v>3164</v>
      </c>
      <c r="D33" s="2949">
        <v>3</v>
      </c>
      <c r="E33" s="2949">
        <v>4175.41</v>
      </c>
      <c r="F33" s="2948" t="s">
        <v>3165</v>
      </c>
    </row>
    <row r="34" spans="1:6" ht="27">
      <c r="A34" s="2949">
        <v>33</v>
      </c>
      <c r="B34" s="2950" t="s">
        <v>3166</v>
      </c>
      <c r="C34" s="2948" t="s">
        <v>3167</v>
      </c>
      <c r="D34" s="2949">
        <v>3</v>
      </c>
      <c r="E34" s="2949">
        <v>3403.92</v>
      </c>
      <c r="F34" s="2948" t="s">
        <v>3168</v>
      </c>
    </row>
    <row r="35" spans="1:6" ht="27">
      <c r="A35" s="2949">
        <v>34</v>
      </c>
      <c r="B35" s="2950" t="s">
        <v>3169</v>
      </c>
      <c r="C35" s="2948" t="s">
        <v>3170</v>
      </c>
      <c r="D35" s="2949">
        <v>3</v>
      </c>
      <c r="E35" s="2949">
        <v>73.09</v>
      </c>
      <c r="F35" s="2948" t="s">
        <v>3171</v>
      </c>
    </row>
    <row r="36" spans="1:6">
      <c r="E36">
        <f>SUM(E2:E35)</f>
        <v>20875.95</v>
      </c>
    </row>
    <row r="37" spans="1:6" ht="27">
      <c r="A37" s="2949">
        <v>1</v>
      </c>
      <c r="B37" s="2950" t="s">
        <v>3176</v>
      </c>
      <c r="C37" s="2948" t="s">
        <v>3265</v>
      </c>
      <c r="D37" s="2949">
        <v>1</v>
      </c>
      <c r="E37" s="2949">
        <v>56.96</v>
      </c>
    </row>
    <row r="38" spans="1:6" ht="27">
      <c r="A38" s="2949">
        <v>2</v>
      </c>
      <c r="B38" s="2950" t="s">
        <v>3207</v>
      </c>
      <c r="C38" s="2948" t="s">
        <v>3296</v>
      </c>
      <c r="D38" s="2949">
        <v>1</v>
      </c>
      <c r="E38" s="2949">
        <v>49.98</v>
      </c>
    </row>
    <row r="39" spans="1:6" ht="27">
      <c r="A39" s="2949">
        <v>3</v>
      </c>
      <c r="B39" s="2950" t="s">
        <v>3230</v>
      </c>
      <c r="C39" s="2948" t="s">
        <v>3319</v>
      </c>
      <c r="D39" s="2949">
        <v>1</v>
      </c>
      <c r="E39" s="2949">
        <v>40.61</v>
      </c>
    </row>
    <row r="40" spans="1:6" ht="27">
      <c r="A40" s="2949">
        <v>4</v>
      </c>
      <c r="B40" s="2950" t="s">
        <v>3232</v>
      </c>
      <c r="C40" s="2948" t="s">
        <v>3321</v>
      </c>
      <c r="D40" s="2949">
        <v>1</v>
      </c>
      <c r="E40" s="2949">
        <v>43.02</v>
      </c>
    </row>
    <row r="41" spans="1:6" ht="27">
      <c r="A41" s="2949">
        <v>5</v>
      </c>
      <c r="B41" s="2950" t="s">
        <v>3234</v>
      </c>
      <c r="C41" s="2948" t="s">
        <v>3323</v>
      </c>
      <c r="D41" s="2949">
        <v>1</v>
      </c>
      <c r="E41" s="2949">
        <v>38.56</v>
      </c>
    </row>
    <row r="42" spans="1:6" ht="27">
      <c r="A42" s="2949">
        <v>6</v>
      </c>
      <c r="B42" s="2950" t="s">
        <v>3236</v>
      </c>
      <c r="C42" s="2948" t="s">
        <v>3325</v>
      </c>
      <c r="D42" s="2949">
        <v>1</v>
      </c>
      <c r="E42" s="2949">
        <v>46.32</v>
      </c>
    </row>
    <row r="43" spans="1:6" ht="27">
      <c r="A43" s="2949">
        <v>7</v>
      </c>
      <c r="B43" s="2950" t="s">
        <v>3247</v>
      </c>
      <c r="C43" s="2948" t="s">
        <v>3336</v>
      </c>
      <c r="D43" s="2949">
        <v>1</v>
      </c>
      <c r="E43" s="2949">
        <v>65.459999999999994</v>
      </c>
    </row>
    <row r="44" spans="1:6" ht="27">
      <c r="A44" s="2949">
        <v>8</v>
      </c>
      <c r="B44" s="2950" t="s">
        <v>3248</v>
      </c>
      <c r="C44" s="2948" t="s">
        <v>3337</v>
      </c>
      <c r="D44" s="2949">
        <v>1</v>
      </c>
      <c r="E44" s="2949">
        <v>51.28</v>
      </c>
    </row>
    <row r="45" spans="1:6" ht="27">
      <c r="A45" s="2949">
        <v>9</v>
      </c>
      <c r="B45" s="2950" t="s">
        <v>3249</v>
      </c>
      <c r="C45" s="2948" t="s">
        <v>3338</v>
      </c>
      <c r="D45" s="2949">
        <v>1</v>
      </c>
      <c r="E45" s="2949">
        <v>51.28</v>
      </c>
    </row>
    <row r="46" spans="1:6" ht="27">
      <c r="A46" s="2949">
        <v>10</v>
      </c>
      <c r="B46" s="2950" t="s">
        <v>3250</v>
      </c>
      <c r="C46" s="2948" t="s">
        <v>3339</v>
      </c>
      <c r="D46" s="2949">
        <v>1</v>
      </c>
      <c r="E46" s="2949">
        <v>51.28</v>
      </c>
    </row>
    <row r="47" spans="1:6" ht="27">
      <c r="A47" s="2949">
        <v>11</v>
      </c>
      <c r="B47" s="2950" t="s">
        <v>3251</v>
      </c>
      <c r="C47" s="2948" t="s">
        <v>3340</v>
      </c>
      <c r="D47" s="2949">
        <v>1</v>
      </c>
      <c r="E47" s="2949">
        <v>51.28</v>
      </c>
    </row>
    <row r="48" spans="1:6" ht="27">
      <c r="A48" s="2949">
        <v>12</v>
      </c>
      <c r="B48" s="2950" t="s">
        <v>3252</v>
      </c>
      <c r="C48" s="2948" t="s">
        <v>3341</v>
      </c>
      <c r="D48" s="2949">
        <v>1</v>
      </c>
      <c r="E48" s="2949">
        <v>51.4</v>
      </c>
    </row>
    <row r="49" spans="1:5" ht="27">
      <c r="A49" s="2949">
        <v>13</v>
      </c>
      <c r="B49" s="2950" t="s">
        <v>3253</v>
      </c>
      <c r="C49" s="2948" t="s">
        <v>3342</v>
      </c>
      <c r="D49" s="2949">
        <v>1</v>
      </c>
      <c r="E49" s="2949">
        <v>78.14</v>
      </c>
    </row>
    <row r="50" spans="1:5" ht="27">
      <c r="A50" s="2949">
        <v>14</v>
      </c>
      <c r="B50" s="2950" t="s">
        <v>3254</v>
      </c>
      <c r="C50" s="2948" t="s">
        <v>3343</v>
      </c>
      <c r="D50" s="2949">
        <v>1</v>
      </c>
      <c r="E50" s="2949">
        <v>51.28</v>
      </c>
    </row>
    <row r="51" spans="1:5" ht="27">
      <c r="A51" s="2949">
        <v>15</v>
      </c>
      <c r="B51" s="2950" t="s">
        <v>3257</v>
      </c>
      <c r="C51" s="2948" t="s">
        <v>3346</v>
      </c>
      <c r="D51" s="2949">
        <v>1</v>
      </c>
      <c r="E51" s="2949">
        <v>51.28</v>
      </c>
    </row>
    <row r="52" spans="1:5" ht="27">
      <c r="A52" s="2949">
        <v>16</v>
      </c>
      <c r="B52" s="2950" t="s">
        <v>3354</v>
      </c>
      <c r="C52" s="2948" t="s">
        <v>3426</v>
      </c>
      <c r="D52" s="2949">
        <v>2</v>
      </c>
      <c r="E52" s="2949">
        <v>113.16</v>
      </c>
    </row>
    <row r="53" spans="1:5" ht="27">
      <c r="A53" s="2949">
        <v>17</v>
      </c>
      <c r="B53" s="2950" t="s">
        <v>3374</v>
      </c>
      <c r="C53" s="2948" t="s">
        <v>3446</v>
      </c>
      <c r="D53" s="2949">
        <v>2</v>
      </c>
      <c r="E53" s="2949">
        <v>71.62</v>
      </c>
    </row>
    <row r="54" spans="1:5" ht="27">
      <c r="A54" s="2949">
        <v>18</v>
      </c>
      <c r="B54" s="2950" t="s">
        <v>3375</v>
      </c>
      <c r="C54" s="2948" t="s">
        <v>3447</v>
      </c>
      <c r="D54" s="2949">
        <v>2</v>
      </c>
      <c r="E54" s="2949">
        <v>42.81</v>
      </c>
    </row>
    <row r="55" spans="1:5" ht="27">
      <c r="A55" s="2949">
        <v>19</v>
      </c>
      <c r="B55" s="2950" t="s">
        <v>3376</v>
      </c>
      <c r="C55" s="2948" t="s">
        <v>3448</v>
      </c>
      <c r="D55" s="2949">
        <v>2</v>
      </c>
      <c r="E55" s="2949">
        <v>41.33</v>
      </c>
    </row>
    <row r="56" spans="1:5" ht="27">
      <c r="A56" s="2949">
        <v>20</v>
      </c>
      <c r="B56" s="2950" t="s">
        <v>3377</v>
      </c>
      <c r="C56" s="2948" t="s">
        <v>3449</v>
      </c>
      <c r="D56" s="2949">
        <v>2</v>
      </c>
      <c r="E56" s="2949">
        <v>41.33</v>
      </c>
    </row>
    <row r="57" spans="1:5" ht="27">
      <c r="A57" s="2949">
        <v>21</v>
      </c>
      <c r="B57" s="2950" t="s">
        <v>3378</v>
      </c>
      <c r="C57" s="2948" t="s">
        <v>3450</v>
      </c>
      <c r="D57" s="2949">
        <v>2</v>
      </c>
      <c r="E57" s="2949">
        <v>41.33</v>
      </c>
    </row>
    <row r="58" spans="1:5" ht="27">
      <c r="A58" s="2949">
        <v>22</v>
      </c>
      <c r="B58" s="2950" t="s">
        <v>3379</v>
      </c>
      <c r="C58" s="2948" t="s">
        <v>3451</v>
      </c>
      <c r="D58" s="2949">
        <v>2</v>
      </c>
      <c r="E58" s="2949">
        <v>41.33</v>
      </c>
    </row>
    <row r="59" spans="1:5" ht="27">
      <c r="A59" s="2949">
        <v>23</v>
      </c>
      <c r="B59" s="2950" t="s">
        <v>3380</v>
      </c>
      <c r="C59" s="2948" t="s">
        <v>3452</v>
      </c>
      <c r="D59" s="2949">
        <v>2</v>
      </c>
      <c r="E59" s="2949">
        <v>41.33</v>
      </c>
    </row>
    <row r="60" spans="1:5" ht="27">
      <c r="A60" s="2949">
        <v>24</v>
      </c>
      <c r="B60" s="2950" t="s">
        <v>3381</v>
      </c>
      <c r="C60" s="2948" t="s">
        <v>3453</v>
      </c>
      <c r="D60" s="2949">
        <v>2</v>
      </c>
      <c r="E60" s="2949">
        <v>41.33</v>
      </c>
    </row>
    <row r="61" spans="1:5" ht="27">
      <c r="A61" s="2949">
        <v>25</v>
      </c>
      <c r="B61" s="2950" t="s">
        <v>3382</v>
      </c>
      <c r="C61" s="2948" t="s">
        <v>3454</v>
      </c>
      <c r="D61" s="2949">
        <v>2</v>
      </c>
      <c r="E61" s="2949">
        <v>41.33</v>
      </c>
    </row>
    <row r="62" spans="1:5" ht="27">
      <c r="A62" s="2949">
        <v>26</v>
      </c>
      <c r="B62" s="2950" t="s">
        <v>3383</v>
      </c>
      <c r="C62" s="2948" t="s">
        <v>3455</v>
      </c>
      <c r="D62" s="2949">
        <v>2</v>
      </c>
      <c r="E62" s="2949">
        <v>41.33</v>
      </c>
    </row>
    <row r="63" spans="1:5" ht="27">
      <c r="A63" s="2949">
        <v>27</v>
      </c>
      <c r="B63" s="2950" t="s">
        <v>3384</v>
      </c>
      <c r="C63" s="2948" t="s">
        <v>3456</v>
      </c>
      <c r="D63" s="2949">
        <v>2</v>
      </c>
      <c r="E63" s="2949">
        <v>43.3</v>
      </c>
    </row>
    <row r="64" spans="1:5" ht="27">
      <c r="A64" s="2949">
        <v>28</v>
      </c>
      <c r="B64" s="2950" t="s">
        <v>3385</v>
      </c>
      <c r="C64" s="2948" t="s">
        <v>3457</v>
      </c>
      <c r="D64" s="2949">
        <v>2</v>
      </c>
      <c r="E64" s="2949">
        <v>37.590000000000003</v>
      </c>
    </row>
    <row r="65" spans="1:5" ht="27">
      <c r="A65" s="2949">
        <v>29</v>
      </c>
      <c r="B65" s="2950" t="s">
        <v>3386</v>
      </c>
      <c r="C65" s="2948" t="s">
        <v>3458</v>
      </c>
      <c r="D65" s="2949">
        <v>2</v>
      </c>
      <c r="E65" s="2949">
        <v>35.89</v>
      </c>
    </row>
    <row r="66" spans="1:5" ht="27">
      <c r="A66" s="2949">
        <v>30</v>
      </c>
      <c r="B66" s="2950" t="s">
        <v>3387</v>
      </c>
      <c r="C66" s="2948" t="s">
        <v>3459</v>
      </c>
      <c r="D66" s="2949">
        <v>2</v>
      </c>
      <c r="E66" s="2949">
        <v>35.89</v>
      </c>
    </row>
    <row r="67" spans="1:5" ht="27">
      <c r="A67" s="2949">
        <v>31</v>
      </c>
      <c r="B67" s="2950" t="s">
        <v>3388</v>
      </c>
      <c r="C67" s="2948" t="s">
        <v>3460</v>
      </c>
      <c r="D67" s="2949">
        <v>2</v>
      </c>
      <c r="E67" s="2949">
        <v>35.89</v>
      </c>
    </row>
    <row r="68" spans="1:5" ht="27">
      <c r="A68" s="2949">
        <v>32</v>
      </c>
      <c r="B68" s="2950" t="s">
        <v>3389</v>
      </c>
      <c r="C68" s="2948" t="s">
        <v>3461</v>
      </c>
      <c r="D68" s="2949">
        <v>2</v>
      </c>
      <c r="E68" s="2949">
        <v>35.89</v>
      </c>
    </row>
    <row r="69" spans="1:5" ht="27">
      <c r="A69" s="2949">
        <v>33</v>
      </c>
      <c r="B69" s="2950" t="s">
        <v>3390</v>
      </c>
      <c r="C69" s="2948" t="s">
        <v>3462</v>
      </c>
      <c r="D69" s="2949">
        <v>2</v>
      </c>
      <c r="E69" s="2949">
        <v>35.89</v>
      </c>
    </row>
    <row r="70" spans="1:5" ht="27">
      <c r="A70" s="2949">
        <v>34</v>
      </c>
      <c r="B70" s="2950" t="s">
        <v>3391</v>
      </c>
      <c r="C70" s="2948" t="s">
        <v>3463</v>
      </c>
      <c r="D70" s="2949">
        <v>2</v>
      </c>
      <c r="E70" s="2949">
        <v>35.89</v>
      </c>
    </row>
    <row r="71" spans="1:5" ht="27">
      <c r="A71" s="2949">
        <v>35</v>
      </c>
      <c r="B71" s="2950" t="s">
        <v>3392</v>
      </c>
      <c r="C71" s="2948" t="s">
        <v>3464</v>
      </c>
      <c r="D71" s="2949">
        <v>2</v>
      </c>
      <c r="E71" s="2949">
        <v>35.89</v>
      </c>
    </row>
    <row r="72" spans="1:5" ht="27">
      <c r="A72" s="2949">
        <v>36</v>
      </c>
      <c r="B72" s="2950" t="s">
        <v>3393</v>
      </c>
      <c r="C72" s="2948" t="s">
        <v>3465</v>
      </c>
      <c r="D72" s="2949">
        <v>2</v>
      </c>
      <c r="E72" s="2949">
        <v>35.89</v>
      </c>
    </row>
    <row r="73" spans="1:5" ht="27">
      <c r="A73" s="2949">
        <v>37</v>
      </c>
      <c r="B73" s="2950" t="s">
        <v>3394</v>
      </c>
      <c r="C73" s="2948" t="s">
        <v>3466</v>
      </c>
      <c r="D73" s="2949">
        <v>2</v>
      </c>
      <c r="E73" s="2949">
        <v>37.17</v>
      </c>
    </row>
    <row r="74" spans="1:5" ht="27">
      <c r="A74" s="2949">
        <v>38</v>
      </c>
      <c r="B74" s="2950" t="s">
        <v>3395</v>
      </c>
      <c r="C74" s="2948" t="s">
        <v>3467</v>
      </c>
      <c r="D74" s="2949">
        <v>2</v>
      </c>
      <c r="E74" s="2949">
        <v>60.66</v>
      </c>
    </row>
    <row r="75" spans="1:5" ht="27">
      <c r="A75" s="2949">
        <v>39</v>
      </c>
      <c r="B75" s="2950" t="s">
        <v>3396</v>
      </c>
      <c r="C75" s="2948" t="s">
        <v>3468</v>
      </c>
      <c r="D75" s="2949">
        <v>2</v>
      </c>
      <c r="E75" s="2949">
        <v>42.29</v>
      </c>
    </row>
    <row r="76" spans="1:5" ht="27">
      <c r="A76" s="2949">
        <v>40</v>
      </c>
      <c r="B76" s="2950" t="s">
        <v>3398</v>
      </c>
      <c r="C76" s="2948" t="s">
        <v>3470</v>
      </c>
      <c r="D76" s="2949">
        <v>2</v>
      </c>
      <c r="E76" s="2949">
        <v>35.89</v>
      </c>
    </row>
    <row r="77" spans="1:5" ht="27">
      <c r="A77" s="2949">
        <v>41</v>
      </c>
      <c r="B77" s="2950" t="s">
        <v>3402</v>
      </c>
      <c r="C77" s="2948" t="s">
        <v>3474</v>
      </c>
      <c r="D77" s="2949">
        <v>2</v>
      </c>
      <c r="E77" s="2949">
        <v>69.53</v>
      </c>
    </row>
    <row r="78" spans="1:5" ht="27">
      <c r="A78" s="2949">
        <v>42</v>
      </c>
      <c r="B78" s="2950" t="s">
        <v>3403</v>
      </c>
      <c r="C78" s="2948" t="s">
        <v>3475</v>
      </c>
      <c r="D78" s="2949">
        <v>2</v>
      </c>
      <c r="E78" s="2949">
        <v>68.83</v>
      </c>
    </row>
    <row r="79" spans="1:5" ht="27">
      <c r="A79" s="2949">
        <v>43</v>
      </c>
      <c r="B79" s="2950" t="s">
        <v>3404</v>
      </c>
      <c r="C79" s="2948" t="s">
        <v>3476</v>
      </c>
      <c r="D79" s="2949">
        <v>2</v>
      </c>
      <c r="E79" s="2949">
        <v>68.83</v>
      </c>
    </row>
    <row r="80" spans="1:5" ht="27">
      <c r="A80" s="2949">
        <v>44</v>
      </c>
      <c r="B80" s="2950" t="s">
        <v>3405</v>
      </c>
      <c r="C80" s="2948" t="s">
        <v>3477</v>
      </c>
      <c r="D80" s="2949">
        <v>2</v>
      </c>
      <c r="E80" s="2949">
        <v>102.91</v>
      </c>
    </row>
    <row r="81" spans="1:5" ht="27">
      <c r="A81" s="2949">
        <v>45</v>
      </c>
      <c r="B81" s="2950" t="s">
        <v>3406</v>
      </c>
      <c r="C81" s="2948" t="s">
        <v>3478</v>
      </c>
      <c r="D81" s="2949">
        <v>2</v>
      </c>
      <c r="E81" s="2949">
        <v>53.27</v>
      </c>
    </row>
    <row r="82" spans="1:5" ht="27">
      <c r="A82" s="2949">
        <v>46</v>
      </c>
      <c r="B82" s="2950" t="s">
        <v>3408</v>
      </c>
      <c r="C82" s="2948" t="s">
        <v>3480</v>
      </c>
      <c r="D82" s="2949">
        <v>2</v>
      </c>
      <c r="E82" s="2949">
        <v>68.83</v>
      </c>
    </row>
    <row r="83" spans="1:5" ht="27">
      <c r="A83" s="2949">
        <v>47</v>
      </c>
      <c r="B83" s="2950" t="s">
        <v>3409</v>
      </c>
      <c r="C83" s="2948" t="s">
        <v>3481</v>
      </c>
      <c r="D83" s="2949">
        <v>2</v>
      </c>
      <c r="E83" s="2949">
        <v>68.83</v>
      </c>
    </row>
    <row r="84" spans="1:5" ht="27">
      <c r="A84" s="2949">
        <v>48</v>
      </c>
      <c r="B84" s="2950" t="s">
        <v>3410</v>
      </c>
      <c r="C84" s="2948" t="s">
        <v>3482</v>
      </c>
      <c r="D84" s="2949">
        <v>2</v>
      </c>
      <c r="E84" s="2949">
        <v>68.83</v>
      </c>
    </row>
    <row r="85" spans="1:5" ht="27">
      <c r="A85" s="2949">
        <v>49</v>
      </c>
      <c r="B85" s="2950" t="s">
        <v>3411</v>
      </c>
      <c r="C85" s="2948" t="s">
        <v>3483</v>
      </c>
      <c r="D85" s="2949">
        <v>2</v>
      </c>
      <c r="E85" s="2949">
        <v>102.91</v>
      </c>
    </row>
    <row r="86" spans="1:5" ht="27">
      <c r="A86" s="2949">
        <v>50</v>
      </c>
      <c r="B86" s="2950" t="s">
        <v>3412</v>
      </c>
      <c r="C86" s="2948" t="s">
        <v>3484</v>
      </c>
      <c r="D86" s="2949">
        <v>2</v>
      </c>
      <c r="E86" s="2949">
        <v>53.27</v>
      </c>
    </row>
    <row r="87" spans="1:5" ht="27">
      <c r="A87" s="2949">
        <v>51</v>
      </c>
      <c r="B87" s="2950" t="s">
        <v>3413</v>
      </c>
      <c r="C87" s="2948" t="s">
        <v>3485</v>
      </c>
      <c r="D87" s="2949">
        <v>2</v>
      </c>
      <c r="E87" s="2949">
        <v>68.83</v>
      </c>
    </row>
    <row r="88" spans="1:5" ht="27">
      <c r="A88" s="2949">
        <v>52</v>
      </c>
      <c r="B88" s="2950" t="s">
        <v>3414</v>
      </c>
      <c r="C88" s="2948" t="s">
        <v>3486</v>
      </c>
      <c r="D88" s="2949">
        <v>2</v>
      </c>
      <c r="E88" s="2949">
        <v>68.83</v>
      </c>
    </row>
    <row r="89" spans="1:5" ht="27">
      <c r="A89" s="2949">
        <v>53</v>
      </c>
      <c r="B89" s="2950" t="s">
        <v>3415</v>
      </c>
      <c r="C89" s="2948" t="s">
        <v>3487</v>
      </c>
      <c r="D89" s="2949">
        <v>2</v>
      </c>
      <c r="E89" s="2949">
        <v>68.83</v>
      </c>
    </row>
    <row r="90" spans="1:5" ht="27">
      <c r="A90" s="2949">
        <v>54</v>
      </c>
      <c r="B90" s="2950" t="s">
        <v>3416</v>
      </c>
      <c r="C90" s="2948" t="s">
        <v>3488</v>
      </c>
      <c r="D90" s="2949">
        <v>2</v>
      </c>
      <c r="E90" s="2949">
        <v>68.83</v>
      </c>
    </row>
    <row r="91" spans="1:5" ht="27">
      <c r="A91" s="2949">
        <v>55</v>
      </c>
      <c r="B91" s="2950" t="s">
        <v>3417</v>
      </c>
      <c r="C91" s="2948" t="s">
        <v>3489</v>
      </c>
      <c r="D91" s="2949">
        <v>2</v>
      </c>
      <c r="E91" s="2949">
        <v>91.16</v>
      </c>
    </row>
    <row r="92" spans="1:5" ht="27">
      <c r="A92" s="2949">
        <v>56</v>
      </c>
      <c r="B92" s="2950" t="s">
        <v>3418</v>
      </c>
      <c r="C92" s="2948" t="s">
        <v>3490</v>
      </c>
      <c r="D92" s="2949">
        <v>2</v>
      </c>
      <c r="E92" s="2949">
        <v>46.65</v>
      </c>
    </row>
    <row r="93" spans="1:5" ht="27">
      <c r="A93" s="2949">
        <v>57</v>
      </c>
      <c r="B93" s="2950" t="s">
        <v>3419</v>
      </c>
      <c r="C93" s="2948" t="s">
        <v>3491</v>
      </c>
      <c r="D93" s="2949">
        <v>2</v>
      </c>
      <c r="E93" s="2949">
        <v>67.05</v>
      </c>
    </row>
    <row r="94" spans="1:5" ht="27">
      <c r="A94" s="2949">
        <v>58</v>
      </c>
      <c r="B94" s="2950" t="s">
        <v>3420</v>
      </c>
      <c r="C94" s="2948" t="s">
        <v>3492</v>
      </c>
      <c r="D94" s="2949">
        <v>2</v>
      </c>
      <c r="E94" s="2949">
        <v>20.82</v>
      </c>
    </row>
    <row r="95" spans="1:5" ht="27">
      <c r="A95" s="2949">
        <v>59</v>
      </c>
      <c r="B95" s="2950" t="s">
        <v>3421</v>
      </c>
      <c r="C95" s="2948" t="s">
        <v>3493</v>
      </c>
      <c r="D95" s="2949">
        <v>2</v>
      </c>
      <c r="E95" s="2949">
        <v>50.03</v>
      </c>
    </row>
    <row r="96" spans="1:5" ht="27">
      <c r="A96" s="2949">
        <v>60</v>
      </c>
      <c r="B96" s="2950" t="s">
        <v>3494</v>
      </c>
      <c r="C96" s="2948" t="s">
        <v>3524</v>
      </c>
      <c r="D96" s="2949">
        <v>3</v>
      </c>
      <c r="E96" s="2949">
        <v>157.99</v>
      </c>
    </row>
    <row r="97" spans="1:5" ht="27">
      <c r="A97" s="2949">
        <v>61</v>
      </c>
      <c r="B97" s="2950" t="s">
        <v>3423</v>
      </c>
      <c r="C97" s="2948" t="s">
        <v>3526</v>
      </c>
      <c r="D97" s="2949">
        <v>3</v>
      </c>
      <c r="E97" s="2949">
        <v>174.18</v>
      </c>
    </row>
    <row r="98" spans="1:5" ht="27">
      <c r="A98" s="2949">
        <v>62</v>
      </c>
      <c r="B98" s="2950" t="s">
        <v>3496</v>
      </c>
      <c r="C98" s="2948" t="s">
        <v>3528</v>
      </c>
      <c r="D98" s="2949">
        <v>3</v>
      </c>
      <c r="E98" s="2949">
        <v>150.51</v>
      </c>
    </row>
    <row r="99" spans="1:5" ht="27">
      <c r="A99" s="2949">
        <v>63</v>
      </c>
      <c r="B99" s="2950" t="s">
        <v>3498</v>
      </c>
      <c r="C99" s="2948" t="s">
        <v>3530</v>
      </c>
      <c r="D99" s="2949">
        <v>3</v>
      </c>
      <c r="E99" s="2949">
        <v>180.66</v>
      </c>
    </row>
    <row r="100" spans="1:5" ht="27">
      <c r="A100" s="2949">
        <v>64</v>
      </c>
      <c r="B100" s="2950" t="s">
        <v>3499</v>
      </c>
      <c r="C100" s="2948" t="s">
        <v>3531</v>
      </c>
      <c r="D100" s="2949">
        <v>3</v>
      </c>
      <c r="E100" s="2949">
        <v>157.85</v>
      </c>
    </row>
    <row r="101" spans="1:5" ht="27">
      <c r="A101" s="2949">
        <v>65</v>
      </c>
      <c r="B101" s="2950" t="s">
        <v>3503</v>
      </c>
      <c r="C101" s="2948" t="s">
        <v>3535</v>
      </c>
      <c r="D101" s="2949">
        <v>3</v>
      </c>
      <c r="E101" s="2949">
        <v>159.61000000000001</v>
      </c>
    </row>
    <row r="102" spans="1:5" ht="27">
      <c r="A102" s="2949">
        <v>66</v>
      </c>
      <c r="B102" s="2950" t="s">
        <v>3504</v>
      </c>
      <c r="C102" s="2948" t="s">
        <v>3536</v>
      </c>
      <c r="D102" s="2949">
        <v>3</v>
      </c>
      <c r="E102" s="2949">
        <v>169.84</v>
      </c>
    </row>
    <row r="103" spans="1:5" ht="27">
      <c r="A103" s="2949">
        <v>67</v>
      </c>
      <c r="B103" s="2950" t="s">
        <v>3505</v>
      </c>
      <c r="C103" s="2948" t="s">
        <v>3537</v>
      </c>
      <c r="D103" s="2949">
        <v>3</v>
      </c>
      <c r="E103" s="2949">
        <v>208.47</v>
      </c>
    </row>
    <row r="104" spans="1:5" ht="27">
      <c r="A104" s="2949">
        <v>68</v>
      </c>
      <c r="B104" s="2950" t="s">
        <v>3506</v>
      </c>
      <c r="C104" s="2948" t="s">
        <v>3538</v>
      </c>
      <c r="D104" s="2949">
        <v>3</v>
      </c>
      <c r="E104" s="2949">
        <v>204.81</v>
      </c>
    </row>
    <row r="105" spans="1:5" ht="27">
      <c r="A105" s="2949">
        <v>69</v>
      </c>
      <c r="B105" s="2950" t="s">
        <v>3507</v>
      </c>
      <c r="C105" s="2948" t="s">
        <v>3539</v>
      </c>
      <c r="D105" s="2949">
        <v>3</v>
      </c>
      <c r="E105" s="2949">
        <v>176.08</v>
      </c>
    </row>
    <row r="106" spans="1:5" ht="27">
      <c r="A106" s="2949">
        <v>70</v>
      </c>
      <c r="B106" s="2950" t="s">
        <v>3508</v>
      </c>
      <c r="C106" s="2948" t="s">
        <v>3540</v>
      </c>
      <c r="D106" s="2949">
        <v>3</v>
      </c>
      <c r="E106" s="2949">
        <v>179.28</v>
      </c>
    </row>
    <row r="107" spans="1:5" ht="27">
      <c r="A107" s="2949">
        <v>71</v>
      </c>
      <c r="B107" s="2950" t="s">
        <v>3509</v>
      </c>
      <c r="C107" s="2948" t="s">
        <v>3541</v>
      </c>
      <c r="D107" s="2949">
        <v>3</v>
      </c>
      <c r="E107" s="2949">
        <v>92.72</v>
      </c>
    </row>
    <row r="108" spans="1:5" ht="27">
      <c r="A108" s="2949">
        <v>72</v>
      </c>
      <c r="B108" s="2950" t="s">
        <v>3510</v>
      </c>
      <c r="C108" s="2948" t="s">
        <v>3542</v>
      </c>
      <c r="D108" s="2949">
        <v>3</v>
      </c>
      <c r="E108" s="2949">
        <v>92.13</v>
      </c>
    </row>
    <row r="109" spans="1:5" ht="27">
      <c r="A109" s="2949">
        <v>73</v>
      </c>
      <c r="B109" s="2950" t="s">
        <v>3511</v>
      </c>
      <c r="C109" s="2948" t="s">
        <v>3543</v>
      </c>
      <c r="D109" s="2949">
        <v>3</v>
      </c>
      <c r="E109" s="2949">
        <v>49.28</v>
      </c>
    </row>
    <row r="110" spans="1:5" ht="27">
      <c r="A110" s="2949">
        <v>74</v>
      </c>
      <c r="B110" s="2950" t="s">
        <v>3512</v>
      </c>
      <c r="C110" s="2948" t="s">
        <v>3544</v>
      </c>
      <c r="D110" s="2949">
        <v>3</v>
      </c>
      <c r="E110" s="2949">
        <v>64.680000000000007</v>
      </c>
    </row>
    <row r="111" spans="1:5" ht="27">
      <c r="A111" s="2949">
        <v>75</v>
      </c>
      <c r="B111" s="2950" t="s">
        <v>3518</v>
      </c>
      <c r="C111" s="2948" t="s">
        <v>3550</v>
      </c>
      <c r="D111" s="2949">
        <v>3</v>
      </c>
      <c r="E111" s="2949">
        <v>108.11</v>
      </c>
    </row>
    <row r="112" spans="1:5" ht="27">
      <c r="A112" s="2949">
        <v>76</v>
      </c>
      <c r="B112" s="2950" t="s">
        <v>3519</v>
      </c>
      <c r="C112" s="2948" t="s">
        <v>3551</v>
      </c>
      <c r="D112" s="2949">
        <v>3</v>
      </c>
      <c r="E112" s="2949">
        <v>121.89</v>
      </c>
    </row>
    <row r="113" spans="1:5" ht="27">
      <c r="A113" s="2949">
        <v>77</v>
      </c>
      <c r="B113" s="2950" t="s">
        <v>3520</v>
      </c>
      <c r="C113" s="2948" t="s">
        <v>3552</v>
      </c>
      <c r="D113" s="2949">
        <v>3</v>
      </c>
      <c r="E113" s="2949">
        <v>149.75</v>
      </c>
    </row>
    <row r="114" spans="1:5" ht="27">
      <c r="A114" s="2949">
        <v>78</v>
      </c>
      <c r="B114" s="2950" t="s">
        <v>3521</v>
      </c>
      <c r="C114" s="2948" t="s">
        <v>3553</v>
      </c>
      <c r="D114" s="2949">
        <v>3</v>
      </c>
      <c r="E114" s="2949">
        <v>106.96</v>
      </c>
    </row>
    <row r="115" spans="1:5" ht="27">
      <c r="A115" s="2949">
        <v>79</v>
      </c>
      <c r="B115" s="2950" t="s">
        <v>3522</v>
      </c>
      <c r="C115" s="2948" t="s">
        <v>3554</v>
      </c>
      <c r="D115" s="2949">
        <v>3</v>
      </c>
      <c r="E115" s="2949">
        <v>257.85000000000002</v>
      </c>
    </row>
    <row r="116" spans="1:5" ht="27">
      <c r="A116" s="2949">
        <v>80</v>
      </c>
      <c r="B116" s="2950" t="s">
        <v>3523</v>
      </c>
      <c r="C116" s="2948" t="s">
        <v>3555</v>
      </c>
      <c r="D116" s="2949">
        <v>3</v>
      </c>
      <c r="E116" s="2949">
        <v>108.25</v>
      </c>
    </row>
    <row r="117" spans="1:5">
      <c r="B117" s="2950"/>
      <c r="E117">
        <f>SUM(E37:E116)</f>
        <v>6228.35</v>
      </c>
    </row>
    <row r="118" spans="1:5" ht="27">
      <c r="A118" s="2949">
        <v>1</v>
      </c>
      <c r="B118" s="2950" t="s">
        <v>3590</v>
      </c>
      <c r="C118" s="2948" t="s">
        <v>3669</v>
      </c>
      <c r="D118" s="2949">
        <v>1</v>
      </c>
      <c r="E118" s="2949">
        <v>39.33</v>
      </c>
    </row>
    <row r="119" spans="1:5" ht="27">
      <c r="A119" s="2949">
        <v>2</v>
      </c>
      <c r="B119" s="2950" t="s">
        <v>3596</v>
      </c>
      <c r="C119" s="2948" t="s">
        <v>3675</v>
      </c>
      <c r="D119" s="2949">
        <v>1</v>
      </c>
      <c r="E119" s="2949">
        <v>68.8</v>
      </c>
    </row>
    <row r="120" spans="1:5" ht="27">
      <c r="A120" s="2949">
        <v>3</v>
      </c>
      <c r="B120" s="2950" t="s">
        <v>3600</v>
      </c>
      <c r="C120" s="2948" t="s">
        <v>3679</v>
      </c>
      <c r="D120" s="2949">
        <v>1</v>
      </c>
      <c r="E120" s="2949">
        <v>59.77</v>
      </c>
    </row>
    <row r="121" spans="1:5" ht="27">
      <c r="A121" s="2949">
        <v>4</v>
      </c>
      <c r="B121" s="2950" t="s">
        <v>3603</v>
      </c>
      <c r="C121" s="2948" t="s">
        <v>3682</v>
      </c>
      <c r="D121" s="2949">
        <v>1</v>
      </c>
      <c r="E121" s="2949">
        <v>46.66</v>
      </c>
    </row>
    <row r="122" spans="1:5" ht="27">
      <c r="A122" s="2949">
        <v>5</v>
      </c>
      <c r="B122" s="2950" t="s">
        <v>3604</v>
      </c>
      <c r="C122" s="2948" t="s">
        <v>3683</v>
      </c>
      <c r="D122" s="2949">
        <v>1</v>
      </c>
      <c r="E122" s="2949">
        <v>58.62</v>
      </c>
    </row>
    <row r="123" spans="1:5" ht="27">
      <c r="A123" s="2949">
        <v>6</v>
      </c>
      <c r="B123" s="2950" t="s">
        <v>3612</v>
      </c>
      <c r="C123" s="2948" t="s">
        <v>3691</v>
      </c>
      <c r="D123" s="2949">
        <v>1</v>
      </c>
      <c r="E123" s="2949">
        <v>95.61</v>
      </c>
    </row>
    <row r="124" spans="1:5" ht="27">
      <c r="A124" s="2949">
        <v>7</v>
      </c>
      <c r="B124" s="2950" t="s">
        <v>3623</v>
      </c>
      <c r="C124" s="2948" t="s">
        <v>3702</v>
      </c>
      <c r="D124" s="2949">
        <v>1</v>
      </c>
      <c r="E124" s="2949">
        <v>56.11</v>
      </c>
    </row>
    <row r="125" spans="1:5" ht="27">
      <c r="A125" s="2949">
        <v>8</v>
      </c>
      <c r="B125" s="2950" t="s">
        <v>3624</v>
      </c>
      <c r="C125" s="2948" t="s">
        <v>3703</v>
      </c>
      <c r="D125" s="2949">
        <v>1</v>
      </c>
      <c r="E125" s="2949">
        <v>56.11</v>
      </c>
    </row>
    <row r="126" spans="1:5" ht="27">
      <c r="A126" s="2949">
        <v>9</v>
      </c>
      <c r="B126" s="2950" t="s">
        <v>3625</v>
      </c>
      <c r="C126" s="2948" t="s">
        <v>3704</v>
      </c>
      <c r="D126" s="2949">
        <v>1</v>
      </c>
      <c r="E126" s="2949">
        <v>56.11</v>
      </c>
    </row>
    <row r="127" spans="1:5" ht="27">
      <c r="A127" s="2949">
        <v>10</v>
      </c>
      <c r="B127" s="2950" t="s">
        <v>3626</v>
      </c>
      <c r="C127" s="2948" t="s">
        <v>3705</v>
      </c>
      <c r="D127" s="2949">
        <v>1</v>
      </c>
      <c r="E127" s="2949">
        <v>82.1</v>
      </c>
    </row>
    <row r="128" spans="1:5" ht="27">
      <c r="A128" s="2949">
        <v>11</v>
      </c>
      <c r="B128" s="2950" t="s">
        <v>3627</v>
      </c>
      <c r="C128" s="2948" t="s">
        <v>3706</v>
      </c>
      <c r="D128" s="2949">
        <v>1</v>
      </c>
      <c r="E128" s="2949">
        <v>80.31</v>
      </c>
    </row>
    <row r="129" spans="1:5" ht="27">
      <c r="A129" s="2949">
        <v>12</v>
      </c>
      <c r="B129" s="2950" t="s">
        <v>3629</v>
      </c>
      <c r="C129" s="2948" t="s">
        <v>3708</v>
      </c>
      <c r="D129" s="2949">
        <v>1</v>
      </c>
      <c r="E129" s="2949">
        <v>48.49</v>
      </c>
    </row>
    <row r="130" spans="1:5" ht="27">
      <c r="A130" s="2949">
        <v>13</v>
      </c>
      <c r="B130" s="2950" t="s">
        <v>3633</v>
      </c>
      <c r="C130" s="2948" t="s">
        <v>3712</v>
      </c>
      <c r="D130" s="2949">
        <v>1</v>
      </c>
      <c r="E130" s="2949">
        <v>52.36</v>
      </c>
    </row>
    <row r="131" spans="1:5" ht="27">
      <c r="A131" s="2949">
        <v>14</v>
      </c>
      <c r="B131" s="2950" t="s">
        <v>3637</v>
      </c>
      <c r="C131" s="2948" t="s">
        <v>3716</v>
      </c>
      <c r="D131" s="2949">
        <v>1</v>
      </c>
      <c r="E131" s="2949">
        <v>58.96</v>
      </c>
    </row>
    <row r="132" spans="1:5" ht="27">
      <c r="A132" s="2949">
        <v>15</v>
      </c>
      <c r="B132" s="2950" t="s">
        <v>3717</v>
      </c>
      <c r="C132" s="2948" t="s">
        <v>3718</v>
      </c>
      <c r="D132" s="2949">
        <v>2</v>
      </c>
      <c r="E132" s="2949">
        <v>234.81</v>
      </c>
    </row>
    <row r="133" spans="1:5" ht="27">
      <c r="A133" s="2949">
        <v>16</v>
      </c>
      <c r="B133" s="2950" t="s">
        <v>3730</v>
      </c>
      <c r="C133" s="2948" t="s">
        <v>3813</v>
      </c>
      <c r="D133" s="2949">
        <v>2</v>
      </c>
      <c r="E133" s="2949">
        <v>377.65</v>
      </c>
    </row>
    <row r="134" spans="1:5" ht="27">
      <c r="A134" s="2949">
        <v>17</v>
      </c>
      <c r="B134" s="2950" t="s">
        <v>3741</v>
      </c>
      <c r="C134" s="2948" t="s">
        <v>3824</v>
      </c>
      <c r="D134" s="2949">
        <v>2</v>
      </c>
      <c r="E134" s="2949">
        <v>51.26</v>
      </c>
    </row>
    <row r="135" spans="1:5" ht="27">
      <c r="A135" s="2949">
        <v>18</v>
      </c>
      <c r="B135" s="2950" t="s">
        <v>3742</v>
      </c>
      <c r="C135" s="2948" t="s">
        <v>3825</v>
      </c>
      <c r="D135" s="2949">
        <v>2</v>
      </c>
      <c r="E135" s="2949">
        <v>48.93</v>
      </c>
    </row>
    <row r="136" spans="1:5" ht="27">
      <c r="A136" s="2949">
        <v>19</v>
      </c>
      <c r="B136" s="2950" t="s">
        <v>3743</v>
      </c>
      <c r="C136" s="2948" t="s">
        <v>3826</v>
      </c>
      <c r="D136" s="2949">
        <v>2</v>
      </c>
      <c r="E136" s="2949">
        <v>48.93</v>
      </c>
    </row>
    <row r="137" spans="1:5" ht="27">
      <c r="A137" s="2949">
        <v>20</v>
      </c>
      <c r="B137" s="2950" t="s">
        <v>3744</v>
      </c>
      <c r="C137" s="2948" t="s">
        <v>3827</v>
      </c>
      <c r="D137" s="2949">
        <v>2</v>
      </c>
      <c r="E137" s="2949">
        <v>48.93</v>
      </c>
    </row>
    <row r="138" spans="1:5" ht="27">
      <c r="A138" s="2949">
        <v>21</v>
      </c>
      <c r="B138" s="2950" t="s">
        <v>3745</v>
      </c>
      <c r="C138" s="2948" t="s">
        <v>3828</v>
      </c>
      <c r="D138" s="2949">
        <v>2</v>
      </c>
      <c r="E138" s="2949">
        <v>48.93</v>
      </c>
    </row>
    <row r="139" spans="1:5" ht="27">
      <c r="A139" s="2949">
        <v>22</v>
      </c>
      <c r="B139" s="2950" t="s">
        <v>3746</v>
      </c>
      <c r="C139" s="2948" t="s">
        <v>3829</v>
      </c>
      <c r="D139" s="2949">
        <v>2</v>
      </c>
      <c r="E139" s="2949">
        <v>48.93</v>
      </c>
    </row>
    <row r="140" spans="1:5" ht="27">
      <c r="A140" s="2949">
        <v>23</v>
      </c>
      <c r="B140" s="2950" t="s">
        <v>3747</v>
      </c>
      <c r="C140" s="2948" t="s">
        <v>3830</v>
      </c>
      <c r="D140" s="2949">
        <v>2</v>
      </c>
      <c r="E140" s="2949">
        <v>48.93</v>
      </c>
    </row>
    <row r="141" spans="1:5" ht="27">
      <c r="A141" s="2949">
        <v>24</v>
      </c>
      <c r="B141" s="2950" t="s">
        <v>3748</v>
      </c>
      <c r="C141" s="2948" t="s">
        <v>3831</v>
      </c>
      <c r="D141" s="2949">
        <v>2</v>
      </c>
      <c r="E141" s="2949">
        <v>61.67</v>
      </c>
    </row>
    <row r="142" spans="1:5" ht="27">
      <c r="A142" s="2949">
        <v>25</v>
      </c>
      <c r="B142" s="2950" t="s">
        <v>3749</v>
      </c>
      <c r="C142" s="2948" t="s">
        <v>3832</v>
      </c>
      <c r="D142" s="2949">
        <v>2</v>
      </c>
      <c r="E142" s="2949">
        <v>26.02</v>
      </c>
    </row>
    <row r="143" spans="1:5" ht="27">
      <c r="A143" s="2949">
        <v>26</v>
      </c>
      <c r="B143" s="2950" t="s">
        <v>3750</v>
      </c>
      <c r="C143" s="2948" t="s">
        <v>3833</v>
      </c>
      <c r="D143" s="2949">
        <v>2</v>
      </c>
      <c r="E143" s="2949">
        <v>26.34</v>
      </c>
    </row>
    <row r="144" spans="1:5" ht="27">
      <c r="A144" s="2949">
        <v>27</v>
      </c>
      <c r="B144" s="2950" t="s">
        <v>3751</v>
      </c>
      <c r="C144" s="2948" t="s">
        <v>3834</v>
      </c>
      <c r="D144" s="2949">
        <v>2</v>
      </c>
      <c r="E144" s="2949">
        <v>44.51</v>
      </c>
    </row>
    <row r="145" spans="1:5" ht="27">
      <c r="A145" s="2949">
        <v>28</v>
      </c>
      <c r="B145" s="2950" t="s">
        <v>3753</v>
      </c>
      <c r="C145" s="2948" t="s">
        <v>3836</v>
      </c>
      <c r="D145" s="2949">
        <v>2</v>
      </c>
      <c r="E145" s="2949">
        <v>28.93</v>
      </c>
    </row>
    <row r="146" spans="1:5" ht="27">
      <c r="A146" s="2949">
        <v>29</v>
      </c>
      <c r="B146" s="2950" t="s">
        <v>3754</v>
      </c>
      <c r="C146" s="2948" t="s">
        <v>3837</v>
      </c>
      <c r="D146" s="2949">
        <v>2</v>
      </c>
      <c r="E146" s="2949">
        <v>38.450000000000003</v>
      </c>
    </row>
    <row r="147" spans="1:5" ht="27">
      <c r="A147" s="2949">
        <v>30</v>
      </c>
      <c r="B147" s="2950" t="s">
        <v>3755</v>
      </c>
      <c r="C147" s="2948" t="s">
        <v>3838</v>
      </c>
      <c r="D147" s="2949">
        <v>2</v>
      </c>
      <c r="E147" s="2949">
        <v>33.76</v>
      </c>
    </row>
    <row r="148" spans="1:5" ht="27">
      <c r="A148" s="2949">
        <v>31</v>
      </c>
      <c r="B148" s="2950" t="s">
        <v>3756</v>
      </c>
      <c r="C148" s="2948" t="s">
        <v>3839</v>
      </c>
      <c r="D148" s="2949">
        <v>2</v>
      </c>
      <c r="E148" s="2949">
        <v>42.13</v>
      </c>
    </row>
    <row r="149" spans="1:5" ht="27">
      <c r="A149" s="2949">
        <v>32</v>
      </c>
      <c r="B149" s="2950" t="s">
        <v>3757</v>
      </c>
      <c r="C149" s="2948" t="s">
        <v>3840</v>
      </c>
      <c r="D149" s="2949">
        <v>2</v>
      </c>
      <c r="E149" s="2949">
        <v>44.41</v>
      </c>
    </row>
    <row r="150" spans="1:5" ht="27">
      <c r="A150" s="2949">
        <v>33</v>
      </c>
      <c r="B150" s="2950" t="s">
        <v>3758</v>
      </c>
      <c r="C150" s="2948" t="s">
        <v>3841</v>
      </c>
      <c r="D150" s="2949">
        <v>2</v>
      </c>
      <c r="E150" s="2949">
        <v>47.27</v>
      </c>
    </row>
    <row r="151" spans="1:5" ht="27">
      <c r="A151" s="2949">
        <v>34</v>
      </c>
      <c r="B151" s="2950" t="s">
        <v>3759</v>
      </c>
      <c r="C151" s="2948" t="s">
        <v>3842</v>
      </c>
      <c r="D151" s="2949">
        <v>2</v>
      </c>
      <c r="E151" s="2949">
        <v>48.69</v>
      </c>
    </row>
    <row r="152" spans="1:5" ht="27">
      <c r="A152" s="2949">
        <v>35</v>
      </c>
      <c r="B152" s="2950" t="s">
        <v>3760</v>
      </c>
      <c r="C152" s="2948" t="s">
        <v>3843</v>
      </c>
      <c r="D152" s="2949">
        <v>2</v>
      </c>
      <c r="E152" s="2949">
        <v>48.69</v>
      </c>
    </row>
    <row r="153" spans="1:5" ht="27">
      <c r="A153" s="2949">
        <v>36</v>
      </c>
      <c r="B153" s="2950" t="s">
        <v>3761</v>
      </c>
      <c r="C153" s="2948" t="s">
        <v>3844</v>
      </c>
      <c r="D153" s="2949">
        <v>2</v>
      </c>
      <c r="E153" s="2949">
        <v>47.27</v>
      </c>
    </row>
    <row r="154" spans="1:5" ht="27">
      <c r="A154" s="2949">
        <v>37</v>
      </c>
      <c r="B154" s="2950" t="s">
        <v>3762</v>
      </c>
      <c r="C154" s="2948" t="s">
        <v>3845</v>
      </c>
      <c r="D154" s="2949">
        <v>2</v>
      </c>
      <c r="E154" s="2949">
        <v>44.41</v>
      </c>
    </row>
    <row r="155" spans="1:5" ht="27">
      <c r="A155" s="2949">
        <v>38</v>
      </c>
      <c r="B155" s="2950" t="s">
        <v>3763</v>
      </c>
      <c r="C155" s="2948" t="s">
        <v>3846</v>
      </c>
      <c r="D155" s="2949">
        <v>2</v>
      </c>
      <c r="E155" s="2949">
        <v>41.88</v>
      </c>
    </row>
    <row r="156" spans="1:5" ht="27">
      <c r="A156" s="2949">
        <v>39</v>
      </c>
      <c r="B156" s="2950" t="s">
        <v>3764</v>
      </c>
      <c r="C156" s="2948" t="s">
        <v>3847</v>
      </c>
      <c r="D156" s="2949">
        <v>2</v>
      </c>
      <c r="E156" s="2949">
        <v>27.87</v>
      </c>
    </row>
    <row r="157" spans="1:5" ht="27">
      <c r="A157" s="2949">
        <v>40</v>
      </c>
      <c r="B157" s="2950" t="s">
        <v>3765</v>
      </c>
      <c r="C157" s="2948" t="s">
        <v>3848</v>
      </c>
      <c r="D157" s="2949">
        <v>2</v>
      </c>
      <c r="E157" s="2949">
        <v>25.38</v>
      </c>
    </row>
    <row r="158" spans="1:5" ht="27">
      <c r="A158" s="2949">
        <v>41</v>
      </c>
      <c r="B158" s="2950" t="s">
        <v>3766</v>
      </c>
      <c r="C158" s="2948" t="s">
        <v>3849</v>
      </c>
      <c r="D158" s="2949">
        <v>2</v>
      </c>
      <c r="E158" s="2949">
        <v>25.38</v>
      </c>
    </row>
    <row r="159" spans="1:5" ht="27">
      <c r="A159" s="2949">
        <v>42</v>
      </c>
      <c r="B159" s="2950" t="s">
        <v>3767</v>
      </c>
      <c r="C159" s="2948" t="s">
        <v>3850</v>
      </c>
      <c r="D159" s="2949">
        <v>2</v>
      </c>
      <c r="E159" s="2949">
        <v>26.56</v>
      </c>
    </row>
    <row r="160" spans="1:5" ht="27">
      <c r="A160" s="2949">
        <v>43</v>
      </c>
      <c r="B160" s="2950" t="s">
        <v>3768</v>
      </c>
      <c r="C160" s="2948" t="s">
        <v>3851</v>
      </c>
      <c r="D160" s="2949">
        <v>2</v>
      </c>
      <c r="E160" s="2949">
        <v>28.93</v>
      </c>
    </row>
    <row r="161" spans="1:5" ht="27">
      <c r="A161" s="2949">
        <v>44</v>
      </c>
      <c r="B161" s="2950" t="s">
        <v>3769</v>
      </c>
      <c r="C161" s="2948" t="s">
        <v>3852</v>
      </c>
      <c r="D161" s="2949">
        <v>2</v>
      </c>
      <c r="E161" s="2949">
        <v>32.49</v>
      </c>
    </row>
    <row r="162" spans="1:5" ht="27">
      <c r="A162" s="2949">
        <v>45</v>
      </c>
      <c r="B162" s="2950" t="s">
        <v>3770</v>
      </c>
      <c r="C162" s="2948" t="s">
        <v>3853</v>
      </c>
      <c r="D162" s="2949">
        <v>2</v>
      </c>
      <c r="E162" s="2949">
        <v>37.26</v>
      </c>
    </row>
    <row r="163" spans="1:5" ht="27">
      <c r="A163" s="2949">
        <v>46</v>
      </c>
      <c r="B163" s="2950" t="s">
        <v>3771</v>
      </c>
      <c r="C163" s="2948" t="s">
        <v>3854</v>
      </c>
      <c r="D163" s="2949">
        <v>2</v>
      </c>
      <c r="E163" s="2949">
        <v>41.61</v>
      </c>
    </row>
    <row r="164" spans="1:5" ht="27">
      <c r="A164" s="2949">
        <v>47</v>
      </c>
      <c r="B164" s="2950" t="s">
        <v>3772</v>
      </c>
      <c r="C164" s="2948" t="s">
        <v>3855</v>
      </c>
      <c r="D164" s="2949">
        <v>2</v>
      </c>
      <c r="E164" s="2949">
        <v>47.25</v>
      </c>
    </row>
    <row r="165" spans="1:5" ht="27">
      <c r="A165" s="2949">
        <v>48</v>
      </c>
      <c r="B165" s="2950" t="s">
        <v>3773</v>
      </c>
      <c r="C165" s="2948" t="s">
        <v>3856</v>
      </c>
      <c r="D165" s="2949">
        <v>2</v>
      </c>
      <c r="E165" s="2949">
        <v>57.18</v>
      </c>
    </row>
    <row r="166" spans="1:5" ht="27">
      <c r="A166" s="2949">
        <v>49</v>
      </c>
      <c r="B166" s="2950" t="s">
        <v>3774</v>
      </c>
      <c r="C166" s="2948" t="s">
        <v>3857</v>
      </c>
      <c r="D166" s="2949">
        <v>2</v>
      </c>
      <c r="E166" s="2949">
        <v>68.510000000000005</v>
      </c>
    </row>
    <row r="167" spans="1:5" ht="27">
      <c r="A167" s="2949">
        <v>50</v>
      </c>
      <c r="B167" s="2950" t="s">
        <v>3775</v>
      </c>
      <c r="C167" s="2948" t="s">
        <v>3858</v>
      </c>
      <c r="D167" s="2949">
        <v>2</v>
      </c>
      <c r="E167" s="2949">
        <v>81.319999999999993</v>
      </c>
    </row>
    <row r="168" spans="1:5" ht="27">
      <c r="A168" s="2949">
        <v>51</v>
      </c>
      <c r="B168" s="2950" t="s">
        <v>3776</v>
      </c>
      <c r="C168" s="2948" t="s">
        <v>3859</v>
      </c>
      <c r="D168" s="2949">
        <v>2</v>
      </c>
      <c r="E168" s="2949">
        <v>62.24</v>
      </c>
    </row>
    <row r="169" spans="1:5" ht="27">
      <c r="A169" s="2949">
        <v>52</v>
      </c>
      <c r="B169" s="2950" t="s">
        <v>3777</v>
      </c>
      <c r="C169" s="2948" t="s">
        <v>3860</v>
      </c>
      <c r="D169" s="2949">
        <v>2</v>
      </c>
      <c r="E169" s="2949">
        <v>33.44</v>
      </c>
    </row>
    <row r="170" spans="1:5" ht="27">
      <c r="A170" s="2949">
        <v>53</v>
      </c>
      <c r="B170" s="2950" t="s">
        <v>3778</v>
      </c>
      <c r="C170" s="2948" t="s">
        <v>3861</v>
      </c>
      <c r="D170" s="2949">
        <v>2</v>
      </c>
      <c r="E170" s="2949">
        <v>49.97</v>
      </c>
    </row>
    <row r="171" spans="1:5" ht="27">
      <c r="A171" s="2949">
        <v>54</v>
      </c>
      <c r="B171" s="2950" t="s">
        <v>3779</v>
      </c>
      <c r="C171" s="2948" t="s">
        <v>3862</v>
      </c>
      <c r="D171" s="2949">
        <v>2</v>
      </c>
      <c r="E171" s="2949">
        <v>69.680000000000007</v>
      </c>
    </row>
    <row r="172" spans="1:5" ht="27">
      <c r="A172" s="2949">
        <v>55</v>
      </c>
      <c r="B172" s="2950" t="s">
        <v>3780</v>
      </c>
      <c r="C172" s="2948" t="s">
        <v>3863</v>
      </c>
      <c r="D172" s="2949">
        <v>2</v>
      </c>
      <c r="E172" s="2949">
        <v>91.49</v>
      </c>
    </row>
    <row r="173" spans="1:5" ht="27">
      <c r="A173" s="2949">
        <v>56</v>
      </c>
      <c r="B173" s="2950" t="s">
        <v>3781</v>
      </c>
      <c r="C173" s="2948" t="s">
        <v>3864</v>
      </c>
      <c r="D173" s="2949">
        <v>2</v>
      </c>
      <c r="E173" s="2949">
        <v>98.72</v>
      </c>
    </row>
    <row r="174" spans="1:5" ht="27">
      <c r="A174" s="2949">
        <v>57</v>
      </c>
      <c r="B174" s="2950" t="s">
        <v>3782</v>
      </c>
      <c r="C174" s="2948" t="s">
        <v>3865</v>
      </c>
      <c r="D174" s="2949">
        <v>2</v>
      </c>
      <c r="E174" s="2949">
        <v>39.25</v>
      </c>
    </row>
    <row r="175" spans="1:5" ht="27">
      <c r="A175" s="2949">
        <v>58</v>
      </c>
      <c r="B175" s="2950" t="s">
        <v>3783</v>
      </c>
      <c r="C175" s="2948" t="s">
        <v>3866</v>
      </c>
      <c r="D175" s="2949">
        <v>2</v>
      </c>
      <c r="E175" s="2949">
        <v>53.66</v>
      </c>
    </row>
    <row r="176" spans="1:5" ht="27">
      <c r="A176" s="2949">
        <v>59</v>
      </c>
      <c r="B176" s="2950" t="s">
        <v>3784</v>
      </c>
      <c r="C176" s="2948" t="s">
        <v>3867</v>
      </c>
      <c r="D176" s="2949">
        <v>2</v>
      </c>
      <c r="E176" s="2949">
        <v>41.73</v>
      </c>
    </row>
    <row r="177" spans="1:5" ht="27">
      <c r="A177" s="2949">
        <v>60</v>
      </c>
      <c r="B177" s="2950" t="s">
        <v>3785</v>
      </c>
      <c r="C177" s="2948" t="s">
        <v>3868</v>
      </c>
      <c r="D177" s="2949">
        <v>2</v>
      </c>
      <c r="E177" s="2949">
        <v>77.48</v>
      </c>
    </row>
    <row r="178" spans="1:5" ht="27">
      <c r="A178" s="2949">
        <v>61</v>
      </c>
      <c r="B178" s="2950" t="s">
        <v>3786</v>
      </c>
      <c r="C178" s="2948" t="s">
        <v>3869</v>
      </c>
      <c r="D178" s="2949">
        <v>2</v>
      </c>
      <c r="E178" s="2949">
        <v>77.349999999999994</v>
      </c>
    </row>
    <row r="179" spans="1:5" ht="27">
      <c r="A179" s="2949">
        <v>62</v>
      </c>
      <c r="B179" s="2950" t="s">
        <v>3787</v>
      </c>
      <c r="C179" s="2948" t="s">
        <v>3870</v>
      </c>
      <c r="D179" s="2949">
        <v>2</v>
      </c>
      <c r="E179" s="2949">
        <v>40.65</v>
      </c>
    </row>
    <row r="180" spans="1:5" ht="27">
      <c r="A180" s="2949">
        <v>63</v>
      </c>
      <c r="B180" s="2950" t="s">
        <v>3788</v>
      </c>
      <c r="C180" s="2948" t="s">
        <v>3871</v>
      </c>
      <c r="D180" s="2949">
        <v>2</v>
      </c>
      <c r="E180" s="2949">
        <v>40.65</v>
      </c>
    </row>
    <row r="181" spans="1:5" ht="27">
      <c r="A181" s="2949">
        <v>64</v>
      </c>
      <c r="B181" s="2950" t="s">
        <v>3789</v>
      </c>
      <c r="C181" s="2948" t="s">
        <v>3872</v>
      </c>
      <c r="D181" s="2949">
        <v>2</v>
      </c>
      <c r="E181" s="2949">
        <v>40.65</v>
      </c>
    </row>
    <row r="182" spans="1:5" ht="27">
      <c r="A182" s="2949">
        <v>65</v>
      </c>
      <c r="B182" s="2950" t="s">
        <v>3790</v>
      </c>
      <c r="C182" s="2948" t="s">
        <v>3873</v>
      </c>
      <c r="D182" s="2949">
        <v>2</v>
      </c>
      <c r="E182" s="2949">
        <v>40.65</v>
      </c>
    </row>
    <row r="183" spans="1:5" ht="27">
      <c r="A183" s="2949">
        <v>66</v>
      </c>
      <c r="B183" s="2950" t="s">
        <v>3791</v>
      </c>
      <c r="C183" s="2948" t="s">
        <v>3874</v>
      </c>
      <c r="D183" s="2949">
        <v>2</v>
      </c>
      <c r="E183" s="2949">
        <v>40.65</v>
      </c>
    </row>
    <row r="184" spans="1:5" ht="27">
      <c r="A184" s="2949">
        <v>67</v>
      </c>
      <c r="B184" s="2950" t="s">
        <v>3792</v>
      </c>
      <c r="C184" s="2948" t="s">
        <v>3875</v>
      </c>
      <c r="D184" s="2949">
        <v>2</v>
      </c>
      <c r="E184" s="2949">
        <v>40.65</v>
      </c>
    </row>
    <row r="185" spans="1:5" ht="27">
      <c r="A185" s="2949">
        <v>68</v>
      </c>
      <c r="B185" s="2950" t="s">
        <v>3793</v>
      </c>
      <c r="C185" s="2948" t="s">
        <v>3876</v>
      </c>
      <c r="D185" s="2949">
        <v>2</v>
      </c>
      <c r="E185" s="2949">
        <v>30.18</v>
      </c>
    </row>
    <row r="186" spans="1:5" ht="27">
      <c r="A186" s="2949">
        <v>69</v>
      </c>
      <c r="B186" s="2950" t="s">
        <v>3794</v>
      </c>
      <c r="C186" s="2948" t="s">
        <v>3877</v>
      </c>
      <c r="D186" s="2949">
        <v>2</v>
      </c>
      <c r="E186" s="2949">
        <v>28.1</v>
      </c>
    </row>
    <row r="187" spans="1:5" ht="27">
      <c r="A187" s="2949">
        <v>70</v>
      </c>
      <c r="B187" s="2950" t="s">
        <v>3795</v>
      </c>
      <c r="C187" s="2948" t="s">
        <v>3878</v>
      </c>
      <c r="D187" s="2949">
        <v>2</v>
      </c>
      <c r="E187" s="2949">
        <v>29.14</v>
      </c>
    </row>
    <row r="188" spans="1:5" ht="27">
      <c r="A188" s="2949">
        <v>71</v>
      </c>
      <c r="B188" s="2950" t="s">
        <v>3796</v>
      </c>
      <c r="C188" s="2948" t="s">
        <v>3879</v>
      </c>
      <c r="D188" s="2949">
        <v>2</v>
      </c>
      <c r="E188" s="2949">
        <v>29.14</v>
      </c>
    </row>
    <row r="189" spans="1:5" ht="27">
      <c r="A189" s="2949">
        <v>72</v>
      </c>
      <c r="B189" s="2950" t="s">
        <v>3797</v>
      </c>
      <c r="C189" s="2948" t="s">
        <v>3880</v>
      </c>
      <c r="D189" s="2949">
        <v>2</v>
      </c>
      <c r="E189" s="2949">
        <v>29.14</v>
      </c>
    </row>
    <row r="190" spans="1:5" ht="27">
      <c r="A190" s="2949">
        <v>73</v>
      </c>
      <c r="B190" s="2950" t="s">
        <v>3798</v>
      </c>
      <c r="C190" s="2948" t="s">
        <v>3881</v>
      </c>
      <c r="D190" s="2949">
        <v>2</v>
      </c>
      <c r="E190" s="2949">
        <v>29.14</v>
      </c>
    </row>
    <row r="191" spans="1:5" ht="27">
      <c r="A191" s="2949">
        <v>74</v>
      </c>
      <c r="B191" s="2950" t="s">
        <v>3799</v>
      </c>
      <c r="C191" s="2948" t="s">
        <v>3882</v>
      </c>
      <c r="D191" s="2949">
        <v>2</v>
      </c>
      <c r="E191" s="2949">
        <v>29.14</v>
      </c>
    </row>
    <row r="192" spans="1:5" ht="27">
      <c r="A192" s="2949">
        <v>75</v>
      </c>
      <c r="B192" s="2950" t="s">
        <v>3800</v>
      </c>
      <c r="C192" s="2948" t="s">
        <v>3883</v>
      </c>
      <c r="D192" s="2949">
        <v>2</v>
      </c>
      <c r="E192" s="2949">
        <v>29.14</v>
      </c>
    </row>
    <row r="193" spans="1:5" ht="27">
      <c r="A193" s="2949">
        <v>76</v>
      </c>
      <c r="B193" s="2950" t="s">
        <v>3801</v>
      </c>
      <c r="C193" s="2948" t="s">
        <v>3884</v>
      </c>
      <c r="D193" s="2949">
        <v>2</v>
      </c>
      <c r="E193" s="2949">
        <v>30.53</v>
      </c>
    </row>
    <row r="194" spans="1:5" ht="27">
      <c r="A194" s="2949">
        <v>77</v>
      </c>
      <c r="B194" s="2950" t="s">
        <v>3885</v>
      </c>
      <c r="C194" s="2948" t="s">
        <v>3886</v>
      </c>
      <c r="D194" s="2949">
        <v>3</v>
      </c>
      <c r="E194" s="2949">
        <v>194.79</v>
      </c>
    </row>
    <row r="195" spans="1:5" ht="27">
      <c r="A195" s="2949">
        <v>78</v>
      </c>
      <c r="B195" s="2950" t="s">
        <v>3887</v>
      </c>
      <c r="C195" s="2948" t="s">
        <v>3953</v>
      </c>
      <c r="D195" s="2949">
        <v>3</v>
      </c>
      <c r="E195" s="2949">
        <v>188.12</v>
      </c>
    </row>
    <row r="196" spans="1:5" ht="27">
      <c r="A196" s="2949">
        <v>79</v>
      </c>
      <c r="B196" s="2950" t="s">
        <v>3888</v>
      </c>
      <c r="C196" s="2948" t="s">
        <v>3954</v>
      </c>
      <c r="D196" s="2949">
        <v>3</v>
      </c>
      <c r="E196" s="2949">
        <v>162.9</v>
      </c>
    </row>
    <row r="197" spans="1:5" ht="27">
      <c r="A197" s="2949">
        <v>80</v>
      </c>
      <c r="B197" s="2950" t="s">
        <v>3889</v>
      </c>
      <c r="C197" s="2948" t="s">
        <v>3955</v>
      </c>
      <c r="D197" s="2949">
        <v>3</v>
      </c>
      <c r="E197" s="2949">
        <v>195.78</v>
      </c>
    </row>
    <row r="198" spans="1:5" ht="27">
      <c r="A198" s="2949">
        <v>81</v>
      </c>
      <c r="B198" s="2950" t="s">
        <v>3890</v>
      </c>
      <c r="C198" s="2948" t="s">
        <v>3956</v>
      </c>
      <c r="D198" s="2949">
        <v>3</v>
      </c>
      <c r="E198" s="2949">
        <v>165.67</v>
      </c>
    </row>
    <row r="199" spans="1:5" ht="27">
      <c r="A199" s="2949">
        <v>82</v>
      </c>
      <c r="B199" s="2950" t="s">
        <v>3891</v>
      </c>
      <c r="C199" s="2948" t="s">
        <v>3957</v>
      </c>
      <c r="D199" s="2949">
        <v>3</v>
      </c>
      <c r="E199" s="2949">
        <v>159.47999999999999</v>
      </c>
    </row>
    <row r="200" spans="1:5" ht="27">
      <c r="A200" s="2949">
        <v>83</v>
      </c>
      <c r="B200" s="2950" t="s">
        <v>3892</v>
      </c>
      <c r="C200" s="2948" t="s">
        <v>3958</v>
      </c>
      <c r="D200" s="2949">
        <v>3</v>
      </c>
      <c r="E200" s="2949">
        <v>165.09</v>
      </c>
    </row>
    <row r="201" spans="1:5" ht="27">
      <c r="A201" s="2949">
        <v>84</v>
      </c>
      <c r="B201" s="2950" t="s">
        <v>3893</v>
      </c>
      <c r="C201" s="2948" t="s">
        <v>3959</v>
      </c>
      <c r="D201" s="2949">
        <v>3</v>
      </c>
      <c r="E201" s="2949">
        <v>198.38</v>
      </c>
    </row>
    <row r="202" spans="1:5" ht="27">
      <c r="A202" s="2949">
        <v>85</v>
      </c>
      <c r="B202" s="2950" t="s">
        <v>3898</v>
      </c>
      <c r="C202" s="2948" t="s">
        <v>3964</v>
      </c>
      <c r="D202" s="2949">
        <v>3</v>
      </c>
      <c r="E202" s="2949">
        <v>51.16</v>
      </c>
    </row>
    <row r="203" spans="1:5" ht="27">
      <c r="A203" s="2949">
        <v>86</v>
      </c>
      <c r="B203" s="2950" t="s">
        <v>3899</v>
      </c>
      <c r="C203" s="2948" t="s">
        <v>3965</v>
      </c>
      <c r="D203" s="2949">
        <v>3</v>
      </c>
      <c r="E203" s="2949">
        <v>40.590000000000003</v>
      </c>
    </row>
    <row r="204" spans="1:5" ht="27">
      <c r="A204" s="2949">
        <v>87</v>
      </c>
      <c r="B204" s="2950" t="s">
        <v>3900</v>
      </c>
      <c r="C204" s="2948" t="s">
        <v>3966</v>
      </c>
      <c r="D204" s="2949">
        <v>3</v>
      </c>
      <c r="E204" s="2949">
        <v>40.590000000000003</v>
      </c>
    </row>
    <row r="205" spans="1:5" ht="27">
      <c r="A205" s="2949">
        <v>88</v>
      </c>
      <c r="B205" s="2950" t="s">
        <v>3901</v>
      </c>
      <c r="C205" s="2948" t="s">
        <v>3967</v>
      </c>
      <c r="D205" s="2949">
        <v>3</v>
      </c>
      <c r="E205" s="2949">
        <v>40.590000000000003</v>
      </c>
    </row>
    <row r="206" spans="1:5" ht="27">
      <c r="A206" s="2949">
        <v>89</v>
      </c>
      <c r="B206" s="2950" t="s">
        <v>3902</v>
      </c>
      <c r="C206" s="2948" t="s">
        <v>3968</v>
      </c>
      <c r="D206" s="2949">
        <v>3</v>
      </c>
      <c r="E206" s="2949">
        <v>40.590000000000003</v>
      </c>
    </row>
    <row r="207" spans="1:5" ht="27">
      <c r="A207" s="2949">
        <v>90</v>
      </c>
      <c r="B207" s="2950" t="s">
        <v>3903</v>
      </c>
      <c r="C207" s="2948" t="s">
        <v>3969</v>
      </c>
      <c r="D207" s="2949">
        <v>3</v>
      </c>
      <c r="E207" s="2949">
        <v>40.590000000000003</v>
      </c>
    </row>
    <row r="208" spans="1:5" ht="27">
      <c r="A208" s="2949">
        <v>91</v>
      </c>
      <c r="B208" s="2950" t="s">
        <v>3904</v>
      </c>
      <c r="C208" s="2948" t="s">
        <v>3970</v>
      </c>
      <c r="D208" s="2949">
        <v>3</v>
      </c>
      <c r="E208" s="2949">
        <v>40.590000000000003</v>
      </c>
    </row>
    <row r="209" spans="1:5" ht="27">
      <c r="A209" s="2949">
        <v>92</v>
      </c>
      <c r="B209" s="2950" t="s">
        <v>3905</v>
      </c>
      <c r="C209" s="2948" t="s">
        <v>3971</v>
      </c>
      <c r="D209" s="2949">
        <v>3</v>
      </c>
      <c r="E209" s="2949">
        <v>42.52</v>
      </c>
    </row>
    <row r="210" spans="1:5" ht="27">
      <c r="A210" s="2949">
        <v>93</v>
      </c>
      <c r="B210" s="2950" t="s">
        <v>3908</v>
      </c>
      <c r="C210" s="2948" t="s">
        <v>3974</v>
      </c>
      <c r="D210" s="2949">
        <v>3</v>
      </c>
      <c r="E210" s="2949">
        <v>39.21</v>
      </c>
    </row>
    <row r="211" spans="1:5" ht="27">
      <c r="A211" s="2949">
        <v>94</v>
      </c>
      <c r="B211" s="2950" t="s">
        <v>3909</v>
      </c>
      <c r="C211" s="2948" t="s">
        <v>3975</v>
      </c>
      <c r="D211" s="2949">
        <v>3</v>
      </c>
      <c r="E211" s="2949">
        <v>40.39</v>
      </c>
    </row>
    <row r="212" spans="1:5" ht="27">
      <c r="A212" s="2949">
        <v>95</v>
      </c>
      <c r="B212" s="2950" t="s">
        <v>3911</v>
      </c>
      <c r="C212" s="2948" t="s">
        <v>3977</v>
      </c>
      <c r="D212" s="2949">
        <v>3</v>
      </c>
      <c r="E212" s="2949">
        <v>39.21</v>
      </c>
    </row>
    <row r="213" spans="1:5" ht="27">
      <c r="A213" s="2949">
        <v>96</v>
      </c>
      <c r="B213" s="2950" t="s">
        <v>3913</v>
      </c>
      <c r="C213" s="2948" t="s">
        <v>3979</v>
      </c>
      <c r="D213" s="2949">
        <v>3</v>
      </c>
      <c r="E213" s="2949">
        <v>34.950000000000003</v>
      </c>
    </row>
    <row r="214" spans="1:5" ht="27">
      <c r="A214" s="2949">
        <v>97</v>
      </c>
      <c r="B214" s="2950" t="s">
        <v>3916</v>
      </c>
      <c r="C214" s="2948" t="s">
        <v>3982</v>
      </c>
      <c r="D214" s="2949">
        <v>3</v>
      </c>
      <c r="E214" s="2949">
        <v>24</v>
      </c>
    </row>
    <row r="215" spans="1:5" ht="27">
      <c r="A215" s="2949">
        <v>98</v>
      </c>
      <c r="B215" s="2950" t="s">
        <v>3556</v>
      </c>
      <c r="C215" s="2948" t="s">
        <v>3983</v>
      </c>
      <c r="D215" s="2949">
        <v>3</v>
      </c>
      <c r="E215" s="2949">
        <v>81.900000000000006</v>
      </c>
    </row>
    <row r="216" spans="1:5" ht="27">
      <c r="A216" s="2949">
        <v>99</v>
      </c>
      <c r="B216" s="2950" t="s">
        <v>3917</v>
      </c>
      <c r="C216" s="2948" t="s">
        <v>3984</v>
      </c>
      <c r="D216" s="2949">
        <v>3</v>
      </c>
      <c r="E216" s="2949">
        <v>75.900000000000006</v>
      </c>
    </row>
    <row r="217" spans="1:5" ht="27">
      <c r="A217" s="2949">
        <v>100</v>
      </c>
      <c r="B217" s="2950" t="s">
        <v>3920</v>
      </c>
      <c r="C217" s="2948" t="s">
        <v>3987</v>
      </c>
      <c r="D217" s="2949">
        <v>3</v>
      </c>
      <c r="E217" s="2949">
        <v>27.74</v>
      </c>
    </row>
    <row r="218" spans="1:5" ht="27">
      <c r="A218" s="2949">
        <v>101</v>
      </c>
      <c r="B218" s="2950" t="s">
        <v>3921</v>
      </c>
      <c r="C218" s="2948" t="s">
        <v>3988</v>
      </c>
      <c r="D218" s="2949">
        <v>3</v>
      </c>
      <c r="E218" s="2949">
        <v>51.63</v>
      </c>
    </row>
    <row r="219" spans="1:5" ht="27">
      <c r="A219" s="2949">
        <v>102</v>
      </c>
      <c r="B219" s="2950" t="s">
        <v>3922</v>
      </c>
      <c r="C219" s="2948" t="s">
        <v>3989</v>
      </c>
      <c r="D219" s="2949">
        <v>3</v>
      </c>
      <c r="E219" s="2949">
        <v>67.459999999999994</v>
      </c>
    </row>
    <row r="220" spans="1:5" ht="27">
      <c r="A220" s="2949">
        <v>103</v>
      </c>
      <c r="B220" s="2950" t="s">
        <v>3923</v>
      </c>
      <c r="C220" s="2948" t="s">
        <v>3990</v>
      </c>
      <c r="D220" s="2949">
        <v>3</v>
      </c>
      <c r="E220" s="2949">
        <v>56.84</v>
      </c>
    </row>
    <row r="221" spans="1:5" ht="27">
      <c r="A221" s="2949">
        <v>104</v>
      </c>
      <c r="B221" s="2950" t="s">
        <v>3924</v>
      </c>
      <c r="C221" s="2948" t="s">
        <v>3991</v>
      </c>
      <c r="D221" s="2949">
        <v>3</v>
      </c>
      <c r="E221" s="2949">
        <v>47.44</v>
      </c>
    </row>
    <row r="222" spans="1:5" ht="27">
      <c r="A222" s="2949">
        <v>105</v>
      </c>
      <c r="B222" s="2950" t="s">
        <v>3942</v>
      </c>
      <c r="C222" s="2948" t="s">
        <v>4009</v>
      </c>
      <c r="D222" s="2949">
        <v>3</v>
      </c>
      <c r="E222" s="2949">
        <v>33.72</v>
      </c>
    </row>
    <row r="223" spans="1:5" ht="27">
      <c r="A223" s="2949">
        <v>106</v>
      </c>
      <c r="B223" s="2950" t="s">
        <v>3943</v>
      </c>
      <c r="C223" s="2948" t="s">
        <v>4010</v>
      </c>
      <c r="D223" s="2949">
        <v>3</v>
      </c>
      <c r="E223" s="2949">
        <v>33.72</v>
      </c>
    </row>
    <row r="224" spans="1:5" ht="27">
      <c r="A224" s="2949">
        <v>107</v>
      </c>
      <c r="B224" s="2950" t="s">
        <v>3944</v>
      </c>
      <c r="C224" s="2948" t="s">
        <v>4011</v>
      </c>
      <c r="D224" s="2949">
        <v>3</v>
      </c>
      <c r="E224" s="2949">
        <v>33.72</v>
      </c>
    </row>
    <row r="225" spans="1:6" ht="27">
      <c r="A225" s="2949">
        <v>108</v>
      </c>
      <c r="B225" s="2950" t="s">
        <v>3945</v>
      </c>
      <c r="C225" s="2948" t="s">
        <v>4012</v>
      </c>
      <c r="D225" s="2949">
        <v>3</v>
      </c>
      <c r="E225" s="2949">
        <v>33.72</v>
      </c>
    </row>
    <row r="226" spans="1:6" ht="27">
      <c r="A226" s="2949">
        <v>109</v>
      </c>
      <c r="B226" s="2950" t="s">
        <v>3946</v>
      </c>
      <c r="C226" s="2948" t="s">
        <v>4013</v>
      </c>
      <c r="D226" s="2949">
        <v>3</v>
      </c>
      <c r="E226" s="2949">
        <v>33.72</v>
      </c>
    </row>
    <row r="227" spans="1:6" ht="27">
      <c r="A227" s="2949">
        <v>110</v>
      </c>
      <c r="B227" s="2950" t="s">
        <v>3947</v>
      </c>
      <c r="C227" s="2948" t="s">
        <v>4014</v>
      </c>
      <c r="D227" s="2949">
        <v>3</v>
      </c>
      <c r="E227" s="2949">
        <v>33.72</v>
      </c>
    </row>
    <row r="228" spans="1:6" ht="27">
      <c r="A228" s="2949">
        <v>111</v>
      </c>
      <c r="B228" s="2950" t="s">
        <v>3948</v>
      </c>
      <c r="C228" s="2948" t="s">
        <v>4015</v>
      </c>
      <c r="D228" s="2949">
        <v>3</v>
      </c>
      <c r="E228" s="2949">
        <v>64.17</v>
      </c>
    </row>
    <row r="229" spans="1:6" ht="27">
      <c r="A229" s="2949">
        <v>112</v>
      </c>
      <c r="B229" s="2950" t="s">
        <v>3949</v>
      </c>
      <c r="C229" s="2948" t="s">
        <v>4016</v>
      </c>
      <c r="D229" s="2949">
        <v>3</v>
      </c>
      <c r="E229" s="2949">
        <v>64.28</v>
      </c>
    </row>
    <row r="230" spans="1:6" ht="27">
      <c r="A230" s="2949">
        <v>113</v>
      </c>
      <c r="B230" s="2950" t="s">
        <v>3950</v>
      </c>
      <c r="C230" s="2948" t="s">
        <v>4017</v>
      </c>
      <c r="D230" s="2949">
        <v>3</v>
      </c>
      <c r="E230" s="2949">
        <v>32.56</v>
      </c>
    </row>
    <row r="231" spans="1:6" ht="27">
      <c r="A231" s="2949">
        <v>114</v>
      </c>
      <c r="B231" s="2950" t="s">
        <v>3951</v>
      </c>
      <c r="C231" s="2948" t="s">
        <v>4018</v>
      </c>
      <c r="D231" s="2949">
        <v>3</v>
      </c>
      <c r="E231" s="2949">
        <v>44.51</v>
      </c>
    </row>
    <row r="232" spans="1:6" ht="27">
      <c r="A232" s="2949">
        <v>115</v>
      </c>
      <c r="B232" s="2950" t="s">
        <v>3952</v>
      </c>
      <c r="C232" s="2948" t="s">
        <v>4019</v>
      </c>
      <c r="D232" s="2949">
        <v>3</v>
      </c>
      <c r="E232" s="2949">
        <v>34.619999999999997</v>
      </c>
    </row>
    <row r="233" spans="1:6" ht="19.5" customHeight="1">
      <c r="B233" s="2950"/>
      <c r="E233">
        <f>SUM(E118:E232)</f>
        <v>6939.93</v>
      </c>
      <c r="F233">
        <f>E233+E117+E36</f>
        <v>34044.230000000003</v>
      </c>
    </row>
    <row r="234" spans="1:6">
      <c r="B234" s="2950"/>
    </row>
    <row r="235" spans="1:6">
      <c r="B235" s="2950"/>
    </row>
    <row r="236" spans="1:6">
      <c r="B236" s="2950"/>
    </row>
    <row r="237" spans="1:6">
      <c r="B237" s="2950"/>
    </row>
    <row r="238" spans="1:6">
      <c r="B238" s="2950"/>
    </row>
    <row r="239" spans="1:6">
      <c r="B239" s="2950"/>
    </row>
    <row r="240" spans="1:6">
      <c r="B240" s="2950"/>
    </row>
    <row r="241" spans="2:2">
      <c r="B241" s="2950"/>
    </row>
    <row r="242" spans="2:2">
      <c r="B242" s="2950"/>
    </row>
    <row r="243" spans="2:2">
      <c r="B243" s="2950"/>
    </row>
    <row r="244" spans="2:2">
      <c r="B244" s="2950"/>
    </row>
    <row r="245" spans="2:2">
      <c r="B245" s="2950"/>
    </row>
    <row r="246" spans="2:2">
      <c r="B246" s="2950"/>
    </row>
    <row r="247" spans="2:2">
      <c r="B247" s="2950"/>
    </row>
    <row r="248" spans="2:2">
      <c r="B248" s="2950"/>
    </row>
    <row r="249" spans="2:2">
      <c r="B249" s="2950"/>
    </row>
    <row r="250" spans="2:2">
      <c r="B250" s="2950"/>
    </row>
    <row r="251" spans="2:2">
      <c r="B251" s="2950"/>
    </row>
    <row r="252" spans="2:2">
      <c r="B252" s="2950"/>
    </row>
  </sheetData>
  <autoFilter ref="A1:F233"/>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
  <sheetViews>
    <sheetView workbookViewId="0">
      <pane xSplit="1" ySplit="1" topLeftCell="B26" activePane="bottomRight" state="frozen"/>
      <selection pane="topRight" activeCell="B1" sqref="B1"/>
      <selection pane="bottomLeft" activeCell="A2" sqref="A2"/>
      <selection pane="bottomRight" activeCell="J41" sqref="J41"/>
    </sheetView>
  </sheetViews>
  <sheetFormatPr defaultRowHeight="13.5"/>
  <cols>
    <col min="2" max="2" width="39.875" customWidth="1"/>
    <col min="4" max="4" width="6.625" customWidth="1"/>
    <col min="5" max="5" width="9.875" customWidth="1"/>
    <col min="6" max="6" width="35" customWidth="1"/>
  </cols>
  <sheetData>
    <row r="1" spans="1:6">
      <c r="A1" s="2948" t="s">
        <v>3064</v>
      </c>
      <c r="B1" s="2948" t="s">
        <v>3069</v>
      </c>
      <c r="C1" s="2948" t="s">
        <v>3065</v>
      </c>
      <c r="D1" s="2948" t="s">
        <v>3066</v>
      </c>
      <c r="E1" s="2948" t="s">
        <v>3067</v>
      </c>
      <c r="F1" s="2948" t="s">
        <v>3068</v>
      </c>
    </row>
    <row r="2" spans="1:6" ht="32.25" customHeight="1">
      <c r="A2" s="2949">
        <v>1</v>
      </c>
      <c r="B2" s="2950" t="s">
        <v>3070</v>
      </c>
      <c r="C2" s="2948" t="s">
        <v>3071</v>
      </c>
      <c r="D2" s="2949">
        <v>1</v>
      </c>
      <c r="E2" s="2949">
        <v>101.86</v>
      </c>
      <c r="F2" s="2948" t="s">
        <v>3072</v>
      </c>
    </row>
    <row r="3" spans="1:6" ht="32.25" customHeight="1">
      <c r="A3" s="2949">
        <v>2</v>
      </c>
      <c r="B3" s="2950" t="s">
        <v>3073</v>
      </c>
      <c r="C3" s="2948" t="s">
        <v>3074</v>
      </c>
      <c r="D3" s="2949">
        <v>1</v>
      </c>
      <c r="E3" s="2949">
        <v>71.48</v>
      </c>
      <c r="F3" s="2948" t="s">
        <v>3075</v>
      </c>
    </row>
    <row r="4" spans="1:6" ht="27">
      <c r="A4" s="2949">
        <v>3</v>
      </c>
      <c r="B4" s="2950" t="s">
        <v>3076</v>
      </c>
      <c r="C4" s="2948" t="s">
        <v>3077</v>
      </c>
      <c r="D4" s="2949">
        <v>1</v>
      </c>
      <c r="E4" s="2949">
        <v>59.73</v>
      </c>
      <c r="F4" s="2948" t="s">
        <v>3078</v>
      </c>
    </row>
    <row r="5" spans="1:6" ht="27">
      <c r="A5" s="2949">
        <v>4</v>
      </c>
      <c r="B5" s="2950" t="s">
        <v>3079</v>
      </c>
      <c r="C5" s="2948" t="s">
        <v>3081</v>
      </c>
      <c r="D5" s="2949">
        <v>1</v>
      </c>
      <c r="E5" s="2949">
        <v>43.03</v>
      </c>
      <c r="F5" s="2948" t="s">
        <v>3082</v>
      </c>
    </row>
    <row r="6" spans="1:6" ht="27">
      <c r="A6" s="2949">
        <v>5</v>
      </c>
      <c r="B6" s="2950" t="s">
        <v>3080</v>
      </c>
      <c r="C6" s="2948" t="s">
        <v>3083</v>
      </c>
      <c r="D6" s="2949">
        <v>1</v>
      </c>
      <c r="E6" s="2949">
        <v>44.8</v>
      </c>
      <c r="F6" s="2948" t="s">
        <v>3084</v>
      </c>
    </row>
    <row r="7" spans="1:6" ht="27">
      <c r="A7" s="2949">
        <v>6</v>
      </c>
      <c r="B7" s="2950" t="s">
        <v>3085</v>
      </c>
      <c r="C7" s="2948" t="s">
        <v>3086</v>
      </c>
      <c r="D7" s="2949">
        <v>1</v>
      </c>
      <c r="E7" s="2949">
        <v>44.8</v>
      </c>
      <c r="F7" s="2948" t="s">
        <v>3087</v>
      </c>
    </row>
    <row r="8" spans="1:6" ht="27">
      <c r="A8" s="2949">
        <v>7</v>
      </c>
      <c r="B8" s="2950" t="s">
        <v>3088</v>
      </c>
      <c r="C8" s="2948" t="s">
        <v>3089</v>
      </c>
      <c r="D8" s="2949">
        <v>1</v>
      </c>
      <c r="E8" s="2949">
        <v>44.8</v>
      </c>
      <c r="F8" s="2948" t="s">
        <v>3090</v>
      </c>
    </row>
    <row r="9" spans="1:6" ht="27">
      <c r="A9" s="2949">
        <v>8</v>
      </c>
      <c r="B9" s="2950" t="s">
        <v>3091</v>
      </c>
      <c r="C9" s="2948" t="s">
        <v>3092</v>
      </c>
      <c r="D9" s="2949">
        <v>1</v>
      </c>
      <c r="E9" s="2949">
        <v>89.59</v>
      </c>
      <c r="F9" s="2948" t="s">
        <v>3093</v>
      </c>
    </row>
    <row r="10" spans="1:6" ht="27">
      <c r="A10" s="2949">
        <v>9</v>
      </c>
      <c r="B10" s="2950" t="s">
        <v>3094</v>
      </c>
      <c r="C10" s="2948" t="s">
        <v>3095</v>
      </c>
      <c r="D10" s="2949">
        <v>1</v>
      </c>
      <c r="E10" s="2949">
        <v>44.8</v>
      </c>
      <c r="F10" s="2948" t="s">
        <v>3096</v>
      </c>
    </row>
    <row r="11" spans="1:6" ht="27">
      <c r="A11" s="2949">
        <v>10</v>
      </c>
      <c r="B11" s="2950" t="s">
        <v>3097</v>
      </c>
      <c r="C11" s="2948" t="s">
        <v>3098</v>
      </c>
      <c r="D11" s="2949">
        <v>1</v>
      </c>
      <c r="E11" s="2949">
        <v>43.19</v>
      </c>
      <c r="F11" s="2948" t="s">
        <v>3099</v>
      </c>
    </row>
    <row r="12" spans="1:6" ht="27">
      <c r="A12" s="2949">
        <v>11</v>
      </c>
      <c r="B12" s="2950" t="s">
        <v>3100</v>
      </c>
      <c r="C12" s="2948" t="s">
        <v>3101</v>
      </c>
      <c r="D12" s="2949">
        <v>1</v>
      </c>
      <c r="E12" s="2949">
        <v>48.59</v>
      </c>
      <c r="F12" s="2948" t="s">
        <v>3102</v>
      </c>
    </row>
    <row r="13" spans="1:6" ht="27">
      <c r="A13" s="2949">
        <v>12</v>
      </c>
      <c r="B13" s="2950" t="s">
        <v>3103</v>
      </c>
      <c r="C13" s="2948" t="s">
        <v>3104</v>
      </c>
      <c r="D13" s="2949">
        <v>1</v>
      </c>
      <c r="E13" s="2949">
        <v>48.59</v>
      </c>
      <c r="F13" s="2948" t="s">
        <v>3105</v>
      </c>
    </row>
    <row r="14" spans="1:6" ht="27">
      <c r="A14" s="2949">
        <v>13</v>
      </c>
      <c r="B14" s="2950" t="s">
        <v>3106</v>
      </c>
      <c r="C14" s="2948" t="s">
        <v>3107</v>
      </c>
      <c r="D14" s="2949">
        <v>1</v>
      </c>
      <c r="E14" s="2949">
        <v>48.59</v>
      </c>
      <c r="F14" s="2948" t="s">
        <v>3108</v>
      </c>
    </row>
    <row r="15" spans="1:6" ht="27">
      <c r="A15" s="2949">
        <v>14</v>
      </c>
      <c r="B15" s="2950" t="s">
        <v>3109</v>
      </c>
      <c r="C15" s="2948" t="s">
        <v>3110</v>
      </c>
      <c r="D15" s="2949">
        <v>1</v>
      </c>
      <c r="E15" s="2949">
        <v>60.74</v>
      </c>
      <c r="F15" s="2948" t="s">
        <v>3111</v>
      </c>
    </row>
    <row r="16" spans="1:6" ht="27">
      <c r="A16" s="2949">
        <v>15</v>
      </c>
      <c r="B16" s="2950" t="s">
        <v>3112</v>
      </c>
      <c r="C16" s="2948" t="s">
        <v>3114</v>
      </c>
      <c r="D16" s="2949">
        <v>1</v>
      </c>
      <c r="E16" s="2949">
        <v>28.81</v>
      </c>
      <c r="F16" s="2948" t="s">
        <v>3115</v>
      </c>
    </row>
    <row r="17" spans="1:6" ht="27">
      <c r="A17" s="2949">
        <v>16</v>
      </c>
      <c r="B17" s="2950" t="s">
        <v>3113</v>
      </c>
      <c r="C17" s="2948" t="s">
        <v>3116</v>
      </c>
      <c r="D17" s="2949">
        <v>1</v>
      </c>
      <c r="E17" s="2949">
        <v>18.53</v>
      </c>
      <c r="F17" s="2948" t="s">
        <v>3117</v>
      </c>
    </row>
    <row r="18" spans="1:6" ht="27">
      <c r="A18" s="2949">
        <v>17</v>
      </c>
      <c r="B18" s="2950" t="s">
        <v>3118</v>
      </c>
      <c r="C18" s="2948" t="s">
        <v>3119</v>
      </c>
      <c r="D18" s="2949">
        <v>1</v>
      </c>
      <c r="E18" s="2949">
        <v>22.2</v>
      </c>
      <c r="F18" s="2948" t="s">
        <v>3120</v>
      </c>
    </row>
    <row r="19" spans="1:6" ht="27">
      <c r="A19" s="2949">
        <v>18</v>
      </c>
      <c r="B19" s="2950" t="s">
        <v>3121</v>
      </c>
      <c r="C19" s="2948" t="s">
        <v>3122</v>
      </c>
      <c r="D19" s="2949">
        <v>1</v>
      </c>
      <c r="E19" s="2949">
        <v>46.58</v>
      </c>
      <c r="F19" s="2948" t="s">
        <v>3123</v>
      </c>
    </row>
    <row r="20" spans="1:6" ht="27">
      <c r="A20" s="2949">
        <v>19</v>
      </c>
      <c r="B20" s="2950" t="s">
        <v>3124</v>
      </c>
      <c r="C20" s="2948" t="s">
        <v>3125</v>
      </c>
      <c r="D20" s="2949">
        <v>1</v>
      </c>
      <c r="E20" s="2949">
        <v>27.58</v>
      </c>
      <c r="F20" s="2948" t="s">
        <v>3126</v>
      </c>
    </row>
    <row r="21" spans="1:6" ht="27">
      <c r="A21" s="2949">
        <v>20</v>
      </c>
      <c r="B21" s="2950" t="s">
        <v>3128</v>
      </c>
      <c r="C21" s="2948" t="s">
        <v>3129</v>
      </c>
      <c r="D21" s="2949">
        <v>1</v>
      </c>
      <c r="E21" s="2949">
        <v>27.58</v>
      </c>
      <c r="F21" s="2948" t="s">
        <v>3127</v>
      </c>
    </row>
    <row r="22" spans="1:6" ht="27">
      <c r="A22" s="2949">
        <v>21</v>
      </c>
      <c r="B22" s="2950" t="s">
        <v>3130</v>
      </c>
      <c r="C22" s="2948" t="s">
        <v>3131</v>
      </c>
      <c r="D22" s="2949">
        <v>1</v>
      </c>
      <c r="E22" s="2949">
        <v>56.82</v>
      </c>
      <c r="F22" s="2948" t="s">
        <v>3132</v>
      </c>
    </row>
    <row r="23" spans="1:6" ht="27">
      <c r="A23" s="2949">
        <v>22</v>
      </c>
      <c r="B23" s="2950" t="s">
        <v>3133</v>
      </c>
      <c r="C23" s="2948" t="s">
        <v>3134</v>
      </c>
      <c r="D23" s="2949">
        <v>1</v>
      </c>
      <c r="E23" s="2949">
        <v>52.77</v>
      </c>
      <c r="F23" s="2948" t="s">
        <v>3135</v>
      </c>
    </row>
    <row r="24" spans="1:6" ht="27">
      <c r="A24" s="2949">
        <v>23</v>
      </c>
      <c r="B24" s="2950" t="s">
        <v>3136</v>
      </c>
      <c r="C24" s="2948" t="s">
        <v>3137</v>
      </c>
      <c r="D24" s="2949">
        <v>1</v>
      </c>
      <c r="E24" s="2949">
        <v>50.98</v>
      </c>
      <c r="F24" s="2948" t="s">
        <v>3138</v>
      </c>
    </row>
    <row r="25" spans="1:6" ht="27">
      <c r="A25" s="2949">
        <v>24</v>
      </c>
      <c r="B25" s="2950" t="s">
        <v>3139</v>
      </c>
      <c r="C25" s="2948" t="s">
        <v>3140</v>
      </c>
      <c r="D25" s="2949">
        <v>1</v>
      </c>
      <c r="E25" s="2949">
        <v>4865.12</v>
      </c>
      <c r="F25" s="2948" t="s">
        <v>3141</v>
      </c>
    </row>
    <row r="26" spans="1:6" ht="27">
      <c r="A26" s="2949">
        <v>25</v>
      </c>
      <c r="B26" s="2950" t="s">
        <v>3142</v>
      </c>
      <c r="C26" s="2948" t="s">
        <v>3143</v>
      </c>
      <c r="D26" s="2949">
        <v>1</v>
      </c>
      <c r="E26" s="2949">
        <v>508.17</v>
      </c>
      <c r="F26" s="2948" t="s">
        <v>3144</v>
      </c>
    </row>
    <row r="27" spans="1:6" ht="27">
      <c r="A27" s="2949">
        <v>26</v>
      </c>
      <c r="B27" s="2950" t="s">
        <v>3145</v>
      </c>
      <c r="C27" s="2948" t="s">
        <v>3146</v>
      </c>
      <c r="D27" s="2949">
        <v>2</v>
      </c>
      <c r="E27" s="2949">
        <v>186.58</v>
      </c>
      <c r="F27" s="2948" t="s">
        <v>3147</v>
      </c>
    </row>
    <row r="28" spans="1:6" ht="27">
      <c r="A28" s="2949">
        <v>27</v>
      </c>
      <c r="B28" s="2950" t="s">
        <v>3148</v>
      </c>
      <c r="C28" s="2948" t="s">
        <v>3149</v>
      </c>
      <c r="D28" s="2949">
        <v>2</v>
      </c>
      <c r="E28" s="2949">
        <v>170.74</v>
      </c>
      <c r="F28" s="2948" t="s">
        <v>3150</v>
      </c>
    </row>
    <row r="29" spans="1:6" ht="27">
      <c r="A29" s="2949">
        <v>28</v>
      </c>
      <c r="B29" s="2950" t="s">
        <v>3151</v>
      </c>
      <c r="C29" s="2948" t="s">
        <v>3152</v>
      </c>
      <c r="D29" s="2949">
        <v>2</v>
      </c>
      <c r="E29" s="2949">
        <v>156.16999999999999</v>
      </c>
      <c r="F29" s="2948" t="s">
        <v>3153</v>
      </c>
    </row>
    <row r="30" spans="1:6" ht="27">
      <c r="A30" s="2949">
        <v>29</v>
      </c>
      <c r="B30" s="2950" t="s">
        <v>3154</v>
      </c>
      <c r="C30" s="2948" t="s">
        <v>3155</v>
      </c>
      <c r="D30" s="2949">
        <v>2</v>
      </c>
      <c r="E30" s="2949">
        <v>97.61</v>
      </c>
      <c r="F30" s="2948" t="s">
        <v>3156</v>
      </c>
    </row>
    <row r="31" spans="1:6" ht="27">
      <c r="A31" s="2949">
        <v>30</v>
      </c>
      <c r="B31" s="2950" t="s">
        <v>3157</v>
      </c>
      <c r="C31" s="2948" t="s">
        <v>3158</v>
      </c>
      <c r="D31" s="2949">
        <v>2</v>
      </c>
      <c r="E31" s="2949">
        <v>90.77</v>
      </c>
      <c r="F31" s="2948" t="s">
        <v>3159</v>
      </c>
    </row>
    <row r="32" spans="1:6" ht="27">
      <c r="A32" s="2949">
        <v>31</v>
      </c>
      <c r="B32" s="2950" t="s">
        <v>3160</v>
      </c>
      <c r="C32" s="2948" t="s">
        <v>3161</v>
      </c>
      <c r="D32" s="2949">
        <v>2</v>
      </c>
      <c r="E32" s="2949">
        <v>6021.93</v>
      </c>
      <c r="F32" s="2948" t="s">
        <v>3162</v>
      </c>
    </row>
    <row r="33" spans="1:6" ht="27">
      <c r="A33" s="2949">
        <v>32</v>
      </c>
      <c r="B33" s="2950" t="s">
        <v>3163</v>
      </c>
      <c r="C33" s="2948" t="s">
        <v>3164</v>
      </c>
      <c r="D33" s="2949">
        <v>3</v>
      </c>
      <c r="E33" s="2949">
        <v>4175.41</v>
      </c>
      <c r="F33" s="2948" t="s">
        <v>3165</v>
      </c>
    </row>
    <row r="34" spans="1:6" ht="27">
      <c r="A34" s="2949">
        <v>33</v>
      </c>
      <c r="B34" s="2950" t="s">
        <v>3166</v>
      </c>
      <c r="C34" s="2948" t="s">
        <v>3167</v>
      </c>
      <c r="D34" s="2949">
        <v>3</v>
      </c>
      <c r="E34" s="2949">
        <v>3403.92</v>
      </c>
      <c r="F34" s="2948" t="s">
        <v>3168</v>
      </c>
    </row>
    <row r="35" spans="1:6" ht="27">
      <c r="A35" s="2949">
        <v>34</v>
      </c>
      <c r="B35" s="2950" t="s">
        <v>3169</v>
      </c>
      <c r="C35" s="2948" t="s">
        <v>3170</v>
      </c>
      <c r="D35" s="2949">
        <v>3</v>
      </c>
      <c r="E35" s="2949">
        <v>73.09</v>
      </c>
      <c r="F35" s="2948" t="s">
        <v>3171</v>
      </c>
    </row>
    <row r="36" spans="1:6">
      <c r="E36">
        <f>SUM(E2:E35)</f>
        <v>20875.95</v>
      </c>
    </row>
    <row r="37" spans="1:6" ht="27">
      <c r="A37" s="2949">
        <v>1</v>
      </c>
      <c r="B37" s="2950" t="s">
        <v>3172</v>
      </c>
      <c r="C37" s="2948" t="s">
        <v>3173</v>
      </c>
      <c r="D37" s="2949">
        <v>1</v>
      </c>
      <c r="E37" s="2949">
        <v>48.13</v>
      </c>
    </row>
    <row r="38" spans="1:6" ht="27">
      <c r="A38" s="2949">
        <v>2</v>
      </c>
      <c r="B38" s="2950" t="s">
        <v>3174</v>
      </c>
      <c r="C38" s="2948" t="s">
        <v>3263</v>
      </c>
      <c r="D38" s="2949">
        <v>1</v>
      </c>
      <c r="E38" s="2949">
        <v>27.01</v>
      </c>
    </row>
    <row r="39" spans="1:6" ht="27">
      <c r="A39" s="2949">
        <v>3</v>
      </c>
      <c r="B39" s="2950" t="s">
        <v>3175</v>
      </c>
      <c r="C39" s="2948" t="s">
        <v>3264</v>
      </c>
      <c r="D39" s="2949">
        <v>1</v>
      </c>
      <c r="E39" s="2949">
        <v>28.3</v>
      </c>
    </row>
    <row r="40" spans="1:6" ht="27">
      <c r="A40" s="2949">
        <v>4</v>
      </c>
      <c r="B40" s="2950" t="s">
        <v>3176</v>
      </c>
      <c r="C40" s="2948" t="s">
        <v>3265</v>
      </c>
      <c r="D40" s="2949">
        <v>1</v>
      </c>
      <c r="E40" s="2949">
        <v>56.96</v>
      </c>
    </row>
    <row r="41" spans="1:6" ht="27">
      <c r="A41" s="2949">
        <v>5</v>
      </c>
      <c r="B41" s="2950" t="s">
        <v>3177</v>
      </c>
      <c r="C41" s="2948" t="s">
        <v>3266</v>
      </c>
      <c r="D41" s="2949">
        <v>1</v>
      </c>
      <c r="E41" s="2949">
        <v>37.380000000000003</v>
      </c>
    </row>
    <row r="42" spans="1:6" ht="27">
      <c r="A42" s="2949">
        <v>6</v>
      </c>
      <c r="B42" s="2950" t="s">
        <v>3178</v>
      </c>
      <c r="C42" s="2948" t="s">
        <v>3267</v>
      </c>
      <c r="D42" s="2949">
        <v>1</v>
      </c>
      <c r="E42" s="2949">
        <v>37.380000000000003</v>
      </c>
    </row>
    <row r="43" spans="1:6" ht="27">
      <c r="A43" s="2949">
        <v>7</v>
      </c>
      <c r="B43" s="2950" t="s">
        <v>3179</v>
      </c>
      <c r="C43" s="2948" t="s">
        <v>3268</v>
      </c>
      <c r="D43" s="2949">
        <v>1</v>
      </c>
      <c r="E43" s="2949">
        <v>37.380000000000003</v>
      </c>
    </row>
    <row r="44" spans="1:6" ht="27">
      <c r="A44" s="2949">
        <v>8</v>
      </c>
      <c r="B44" s="2950" t="s">
        <v>3180</v>
      </c>
      <c r="C44" s="2948" t="s">
        <v>3269</v>
      </c>
      <c r="D44" s="2949">
        <v>1</v>
      </c>
      <c r="E44" s="2949">
        <v>37.380000000000003</v>
      </c>
    </row>
    <row r="45" spans="1:6" ht="27">
      <c r="A45" s="2949">
        <v>9</v>
      </c>
      <c r="B45" s="2950" t="s">
        <v>3181</v>
      </c>
      <c r="C45" s="2948" t="s">
        <v>3270</v>
      </c>
      <c r="D45" s="2949">
        <v>1</v>
      </c>
      <c r="E45" s="2949">
        <v>38.72</v>
      </c>
    </row>
    <row r="46" spans="1:6" ht="27">
      <c r="A46" s="2949">
        <v>10</v>
      </c>
      <c r="B46" s="2950" t="s">
        <v>3182</v>
      </c>
      <c r="C46" s="2948" t="s">
        <v>3271</v>
      </c>
      <c r="D46" s="2949">
        <v>1</v>
      </c>
      <c r="E46" s="2949">
        <v>36.049999999999997</v>
      </c>
    </row>
    <row r="47" spans="1:6" ht="27">
      <c r="A47" s="2949">
        <v>11</v>
      </c>
      <c r="B47" s="2950" t="s">
        <v>3183</v>
      </c>
      <c r="C47" s="2948" t="s">
        <v>3272</v>
      </c>
      <c r="D47" s="2949">
        <v>1</v>
      </c>
      <c r="E47" s="2949">
        <v>37.380000000000003</v>
      </c>
    </row>
    <row r="48" spans="1:6" ht="27">
      <c r="A48" s="2949">
        <v>12</v>
      </c>
      <c r="B48" s="2950" t="s">
        <v>3184</v>
      </c>
      <c r="C48" s="2948" t="s">
        <v>3273</v>
      </c>
      <c r="D48" s="2949">
        <v>1</v>
      </c>
      <c r="E48" s="2949">
        <v>37.380000000000003</v>
      </c>
    </row>
    <row r="49" spans="1:5" ht="27">
      <c r="A49" s="2949">
        <v>13</v>
      </c>
      <c r="B49" s="2950" t="s">
        <v>3185</v>
      </c>
      <c r="C49" s="2948" t="s">
        <v>3274</v>
      </c>
      <c r="D49" s="2949">
        <v>1</v>
      </c>
      <c r="E49" s="2949">
        <v>37.380000000000003</v>
      </c>
    </row>
    <row r="50" spans="1:5" ht="27">
      <c r="A50" s="2949">
        <v>14</v>
      </c>
      <c r="B50" s="2950" t="s">
        <v>3186</v>
      </c>
      <c r="C50" s="2948" t="s">
        <v>3275</v>
      </c>
      <c r="D50" s="2949">
        <v>1</v>
      </c>
      <c r="E50" s="2949">
        <v>37.380000000000003</v>
      </c>
    </row>
    <row r="51" spans="1:5" ht="27">
      <c r="A51" s="2949">
        <v>15</v>
      </c>
      <c r="B51" s="2950" t="s">
        <v>3187</v>
      </c>
      <c r="C51" s="2948" t="s">
        <v>3276</v>
      </c>
      <c r="D51" s="2949">
        <v>1</v>
      </c>
      <c r="E51" s="2949">
        <v>39.159999999999997</v>
      </c>
    </row>
    <row r="52" spans="1:5" ht="27">
      <c r="A52" s="2949">
        <v>16</v>
      </c>
      <c r="B52" s="2950" t="s">
        <v>3188</v>
      </c>
      <c r="C52" s="2948" t="s">
        <v>3277</v>
      </c>
      <c r="D52" s="2949">
        <v>1</v>
      </c>
      <c r="E52" s="2949">
        <v>56.96</v>
      </c>
    </row>
    <row r="53" spans="1:5" ht="27">
      <c r="A53" s="2949">
        <v>17</v>
      </c>
      <c r="B53" s="2950" t="s">
        <v>3189</v>
      </c>
      <c r="C53" s="2948" t="s">
        <v>3278</v>
      </c>
      <c r="D53" s="2949">
        <v>1</v>
      </c>
      <c r="E53" s="2949">
        <v>37.380000000000003</v>
      </c>
    </row>
    <row r="54" spans="1:5" ht="27">
      <c r="A54" s="2949">
        <v>18</v>
      </c>
      <c r="B54" s="2950" t="s">
        <v>3190</v>
      </c>
      <c r="C54" s="2948" t="s">
        <v>3279</v>
      </c>
      <c r="D54" s="2949">
        <v>1</v>
      </c>
      <c r="E54" s="2949">
        <v>37.380000000000003</v>
      </c>
    </row>
    <row r="55" spans="1:5" ht="27">
      <c r="A55" s="2949">
        <v>19</v>
      </c>
      <c r="B55" s="2950" t="s">
        <v>3191</v>
      </c>
      <c r="C55" s="2948" t="s">
        <v>3280</v>
      </c>
      <c r="D55" s="2949">
        <v>1</v>
      </c>
      <c r="E55" s="2949">
        <v>37.380000000000003</v>
      </c>
    </row>
    <row r="56" spans="1:5" ht="27">
      <c r="A56" s="2949">
        <v>20</v>
      </c>
      <c r="B56" s="2950" t="s">
        <v>3192</v>
      </c>
      <c r="C56" s="2948" t="s">
        <v>3281</v>
      </c>
      <c r="D56" s="2949">
        <v>1</v>
      </c>
      <c r="E56" s="2949">
        <v>65.86</v>
      </c>
    </row>
    <row r="57" spans="1:5" ht="27">
      <c r="A57" s="2949">
        <v>21</v>
      </c>
      <c r="B57" s="2950" t="s">
        <v>3193</v>
      </c>
      <c r="C57" s="2948" t="s">
        <v>3282</v>
      </c>
      <c r="D57" s="2949">
        <v>1</v>
      </c>
      <c r="E57" s="2949">
        <v>48.96</v>
      </c>
    </row>
    <row r="58" spans="1:5" ht="27">
      <c r="A58" s="2949">
        <v>22</v>
      </c>
      <c r="B58" s="2950" t="s">
        <v>3194</v>
      </c>
      <c r="C58" s="2948" t="s">
        <v>3283</v>
      </c>
      <c r="D58" s="2949">
        <v>1</v>
      </c>
      <c r="E58" s="2949">
        <v>67.03</v>
      </c>
    </row>
    <row r="59" spans="1:5" ht="27">
      <c r="A59" s="2949">
        <v>23</v>
      </c>
      <c r="B59" s="2950" t="s">
        <v>3195</v>
      </c>
      <c r="C59" s="2948" t="s">
        <v>3284</v>
      </c>
      <c r="D59" s="2949">
        <v>1</v>
      </c>
      <c r="E59" s="2949">
        <v>36.79</v>
      </c>
    </row>
    <row r="60" spans="1:5" ht="27">
      <c r="A60" s="2949">
        <v>24</v>
      </c>
      <c r="B60" s="2950" t="s">
        <v>3196</v>
      </c>
      <c r="C60" s="2948" t="s">
        <v>3285</v>
      </c>
      <c r="D60" s="2949">
        <v>1</v>
      </c>
      <c r="E60" s="2949">
        <v>38.08</v>
      </c>
    </row>
    <row r="61" spans="1:5" ht="27">
      <c r="A61" s="2949">
        <v>25</v>
      </c>
      <c r="B61" s="2950" t="s">
        <v>3197</v>
      </c>
      <c r="C61" s="2948" t="s">
        <v>3286</v>
      </c>
      <c r="D61" s="2949">
        <v>1</v>
      </c>
      <c r="E61" s="2949">
        <v>34.64</v>
      </c>
    </row>
    <row r="62" spans="1:5" ht="27">
      <c r="A62" s="2949">
        <v>26</v>
      </c>
      <c r="B62" s="2950" t="s">
        <v>3198</v>
      </c>
      <c r="C62" s="2948" t="s">
        <v>3287</v>
      </c>
      <c r="D62" s="2949">
        <v>1</v>
      </c>
      <c r="E62" s="2949">
        <v>33.46</v>
      </c>
    </row>
    <row r="63" spans="1:5" ht="27">
      <c r="A63" s="2949">
        <v>27</v>
      </c>
      <c r="B63" s="2950" t="s">
        <v>3199</v>
      </c>
      <c r="C63" s="2948" t="s">
        <v>3288</v>
      </c>
      <c r="D63" s="2949">
        <v>1</v>
      </c>
      <c r="E63" s="2949">
        <v>32.89</v>
      </c>
    </row>
    <row r="64" spans="1:5" ht="27">
      <c r="A64" s="2949">
        <v>28</v>
      </c>
      <c r="B64" s="2950" t="s">
        <v>3200</v>
      </c>
      <c r="C64" s="2948" t="s">
        <v>3289</v>
      </c>
      <c r="D64" s="2949">
        <v>1</v>
      </c>
      <c r="E64" s="2949">
        <v>32.799999999999997</v>
      </c>
    </row>
    <row r="65" spans="1:5" ht="27">
      <c r="A65" s="2949">
        <v>29</v>
      </c>
      <c r="B65" s="2950" t="s">
        <v>3201</v>
      </c>
      <c r="C65" s="2948" t="s">
        <v>3290</v>
      </c>
      <c r="D65" s="2949">
        <v>1</v>
      </c>
      <c r="E65" s="2949">
        <v>31.63</v>
      </c>
    </row>
    <row r="66" spans="1:5" ht="27">
      <c r="A66" s="2949">
        <v>30</v>
      </c>
      <c r="B66" s="2950" t="s">
        <v>3202</v>
      </c>
      <c r="C66" s="2948" t="s">
        <v>3291</v>
      </c>
      <c r="D66" s="2949">
        <v>1</v>
      </c>
      <c r="E66" s="2949">
        <v>33.97</v>
      </c>
    </row>
    <row r="67" spans="1:5" ht="27">
      <c r="A67" s="2949">
        <v>31</v>
      </c>
      <c r="B67" s="2950" t="s">
        <v>3203</v>
      </c>
      <c r="C67" s="2948" t="s">
        <v>3292</v>
      </c>
      <c r="D67" s="2949">
        <v>1</v>
      </c>
      <c r="E67" s="2949">
        <v>32.799999999999997</v>
      </c>
    </row>
    <row r="68" spans="1:5" ht="27">
      <c r="A68" s="2949">
        <v>32</v>
      </c>
      <c r="B68" s="2950" t="s">
        <v>3204</v>
      </c>
      <c r="C68" s="2948" t="s">
        <v>3293</v>
      </c>
      <c r="D68" s="2949">
        <v>1</v>
      </c>
      <c r="E68" s="2949">
        <v>32.799999999999997</v>
      </c>
    </row>
    <row r="69" spans="1:5" ht="27">
      <c r="A69" s="2949">
        <v>33</v>
      </c>
      <c r="B69" s="2950" t="s">
        <v>3205</v>
      </c>
      <c r="C69" s="2948" t="s">
        <v>3294</v>
      </c>
      <c r="D69" s="2949">
        <v>1</v>
      </c>
      <c r="E69" s="2949">
        <v>32.799999999999997</v>
      </c>
    </row>
    <row r="70" spans="1:5" ht="27">
      <c r="A70" s="2949">
        <v>34</v>
      </c>
      <c r="B70" s="2950" t="s">
        <v>3206</v>
      </c>
      <c r="C70" s="2948" t="s">
        <v>3295</v>
      </c>
      <c r="D70" s="2949">
        <v>1</v>
      </c>
      <c r="E70" s="2949">
        <v>32.799999999999997</v>
      </c>
    </row>
    <row r="71" spans="1:5" ht="27">
      <c r="A71" s="2949">
        <v>35</v>
      </c>
      <c r="B71" s="2950" t="s">
        <v>3207</v>
      </c>
      <c r="C71" s="2948" t="s">
        <v>3296</v>
      </c>
      <c r="D71" s="2949">
        <v>1</v>
      </c>
      <c r="E71" s="2949">
        <v>49.98</v>
      </c>
    </row>
    <row r="72" spans="1:5" ht="27">
      <c r="A72" s="2949">
        <v>36</v>
      </c>
      <c r="B72" s="2950" t="s">
        <v>3208</v>
      </c>
      <c r="C72" s="2948" t="s">
        <v>3297</v>
      </c>
      <c r="D72" s="2949">
        <v>1</v>
      </c>
      <c r="E72" s="2949">
        <v>19.09</v>
      </c>
    </row>
    <row r="73" spans="1:5" ht="27">
      <c r="A73" s="2949">
        <v>37</v>
      </c>
      <c r="B73" s="2950" t="s">
        <v>3209</v>
      </c>
      <c r="C73" s="2948" t="s">
        <v>3298</v>
      </c>
      <c r="D73" s="2949">
        <v>1</v>
      </c>
      <c r="E73" s="2949">
        <v>61.29</v>
      </c>
    </row>
    <row r="74" spans="1:5" ht="27">
      <c r="A74" s="2949">
        <v>38</v>
      </c>
      <c r="B74" s="2950" t="s">
        <v>3210</v>
      </c>
      <c r="C74" s="2948" t="s">
        <v>3299</v>
      </c>
      <c r="D74" s="2949">
        <v>1</v>
      </c>
      <c r="E74" s="2949">
        <v>40.729999999999997</v>
      </c>
    </row>
    <row r="75" spans="1:5" ht="27">
      <c r="A75" s="2949">
        <v>39</v>
      </c>
      <c r="B75" s="2950" t="s">
        <v>3211</v>
      </c>
      <c r="C75" s="2948" t="s">
        <v>3300</v>
      </c>
      <c r="D75" s="2949">
        <v>1</v>
      </c>
      <c r="E75" s="2949">
        <v>49.1</v>
      </c>
    </row>
    <row r="76" spans="1:5" ht="27">
      <c r="A76" s="2949">
        <v>40</v>
      </c>
      <c r="B76" s="2950" t="s">
        <v>3212</v>
      </c>
      <c r="C76" s="2948" t="s">
        <v>3301</v>
      </c>
      <c r="D76" s="2949">
        <v>1</v>
      </c>
      <c r="E76" s="2949">
        <v>49.98</v>
      </c>
    </row>
    <row r="77" spans="1:5" ht="27">
      <c r="A77" s="2949">
        <v>41</v>
      </c>
      <c r="B77" s="2950" t="s">
        <v>3213</v>
      </c>
      <c r="C77" s="2948" t="s">
        <v>3302</v>
      </c>
      <c r="D77" s="2949">
        <v>1</v>
      </c>
      <c r="E77" s="2949">
        <v>49.98</v>
      </c>
    </row>
    <row r="78" spans="1:5" ht="27">
      <c r="A78" s="2949">
        <v>42</v>
      </c>
      <c r="B78" s="2950" t="s">
        <v>3214</v>
      </c>
      <c r="C78" s="2948" t="s">
        <v>3303</v>
      </c>
      <c r="D78" s="2949">
        <v>1</v>
      </c>
      <c r="E78" s="2949">
        <v>49.98</v>
      </c>
    </row>
    <row r="79" spans="1:5" ht="27">
      <c r="A79" s="2949">
        <v>43</v>
      </c>
      <c r="B79" s="2950" t="s">
        <v>3215</v>
      </c>
      <c r="C79" s="2948" t="s">
        <v>3304</v>
      </c>
      <c r="D79" s="2949">
        <v>1</v>
      </c>
      <c r="E79" s="2949">
        <v>49.98</v>
      </c>
    </row>
    <row r="80" spans="1:5" ht="27">
      <c r="A80" s="2949">
        <v>44</v>
      </c>
      <c r="B80" s="2950" t="s">
        <v>3216</v>
      </c>
      <c r="C80" s="2948" t="s">
        <v>3305</v>
      </c>
      <c r="D80" s="2949">
        <v>1</v>
      </c>
      <c r="E80" s="2949">
        <v>49.98</v>
      </c>
    </row>
    <row r="81" spans="1:5" ht="27">
      <c r="A81" s="2949">
        <v>45</v>
      </c>
      <c r="B81" s="2950" t="s">
        <v>3217</v>
      </c>
      <c r="C81" s="2948" t="s">
        <v>3306</v>
      </c>
      <c r="D81" s="2949">
        <v>1</v>
      </c>
      <c r="E81" s="2949">
        <v>49.98</v>
      </c>
    </row>
    <row r="82" spans="1:5" ht="27">
      <c r="A82" s="2949">
        <v>46</v>
      </c>
      <c r="B82" s="2950" t="s">
        <v>3218</v>
      </c>
      <c r="C82" s="2948" t="s">
        <v>3307</v>
      </c>
      <c r="D82" s="2949">
        <v>1</v>
      </c>
      <c r="E82" s="2949">
        <v>49.98</v>
      </c>
    </row>
    <row r="83" spans="1:5" ht="27">
      <c r="A83" s="2949">
        <v>47</v>
      </c>
      <c r="B83" s="2950" t="s">
        <v>3219</v>
      </c>
      <c r="C83" s="2948" t="s">
        <v>3308</v>
      </c>
      <c r="D83" s="2949">
        <v>1</v>
      </c>
      <c r="E83" s="2949">
        <v>51.76</v>
      </c>
    </row>
    <row r="84" spans="1:5" ht="27">
      <c r="A84" s="2949">
        <v>48</v>
      </c>
      <c r="B84" s="2950" t="s">
        <v>3220</v>
      </c>
      <c r="C84" s="2948" t="s">
        <v>3309</v>
      </c>
      <c r="D84" s="2949">
        <v>1</v>
      </c>
      <c r="E84" s="2949">
        <v>52.83</v>
      </c>
    </row>
    <row r="85" spans="1:5" ht="27">
      <c r="A85" s="2949">
        <v>49</v>
      </c>
      <c r="B85" s="2950" t="s">
        <v>3221</v>
      </c>
      <c r="C85" s="2948" t="s">
        <v>3310</v>
      </c>
      <c r="D85" s="2949">
        <v>1</v>
      </c>
      <c r="E85" s="2949">
        <v>40.36</v>
      </c>
    </row>
    <row r="86" spans="1:5" ht="27">
      <c r="A86" s="2949">
        <v>50</v>
      </c>
      <c r="B86" s="2950" t="s">
        <v>3222</v>
      </c>
      <c r="C86" s="2948" t="s">
        <v>3311</v>
      </c>
      <c r="D86" s="2949">
        <v>1</v>
      </c>
      <c r="E86" s="2949">
        <v>52.19</v>
      </c>
    </row>
    <row r="87" spans="1:5" ht="27">
      <c r="A87" s="2949">
        <v>51</v>
      </c>
      <c r="B87" s="2950" t="s">
        <v>3223</v>
      </c>
      <c r="C87" s="2948" t="s">
        <v>3312</v>
      </c>
      <c r="D87" s="2949">
        <v>1</v>
      </c>
      <c r="E87" s="2949">
        <v>49.03</v>
      </c>
    </row>
    <row r="88" spans="1:5" ht="27">
      <c r="A88" s="2949">
        <v>52</v>
      </c>
      <c r="B88" s="2950" t="s">
        <v>3224</v>
      </c>
      <c r="C88" s="2948" t="s">
        <v>3313</v>
      </c>
      <c r="D88" s="2949">
        <v>1</v>
      </c>
      <c r="E88" s="2949">
        <v>43.77</v>
      </c>
    </row>
    <row r="89" spans="1:5" ht="27">
      <c r="A89" s="2949">
        <v>53</v>
      </c>
      <c r="B89" s="2950" t="s">
        <v>3225</v>
      </c>
      <c r="C89" s="2948" t="s">
        <v>3314</v>
      </c>
      <c r="D89" s="2949">
        <v>1</v>
      </c>
      <c r="E89" s="2949">
        <v>40.69</v>
      </c>
    </row>
    <row r="90" spans="1:5" ht="27">
      <c r="A90" s="2949">
        <v>54</v>
      </c>
      <c r="B90" s="2950" t="s">
        <v>3226</v>
      </c>
      <c r="C90" s="2948" t="s">
        <v>3315</v>
      </c>
      <c r="D90" s="2949">
        <v>1</v>
      </c>
      <c r="E90" s="2949">
        <v>36.99</v>
      </c>
    </row>
    <row r="91" spans="1:5" ht="27">
      <c r="A91" s="2949">
        <v>55</v>
      </c>
      <c r="B91" s="2950" t="s">
        <v>3227</v>
      </c>
      <c r="C91" s="2948" t="s">
        <v>3316</v>
      </c>
      <c r="D91" s="2949">
        <v>1</v>
      </c>
      <c r="E91" s="2949">
        <v>35.770000000000003</v>
      </c>
    </row>
    <row r="92" spans="1:5" ht="27">
      <c r="A92" s="2949">
        <v>56</v>
      </c>
      <c r="B92" s="2950" t="s">
        <v>3228</v>
      </c>
      <c r="C92" s="2948" t="s">
        <v>3317</v>
      </c>
      <c r="D92" s="2949">
        <v>1</v>
      </c>
      <c r="E92" s="2949">
        <v>58.58</v>
      </c>
    </row>
    <row r="93" spans="1:5" ht="27">
      <c r="A93" s="2949">
        <v>57</v>
      </c>
      <c r="B93" s="2950" t="s">
        <v>3229</v>
      </c>
      <c r="C93" s="2948" t="s">
        <v>3318</v>
      </c>
      <c r="D93" s="2949">
        <v>1</v>
      </c>
      <c r="E93" s="2949">
        <v>40.61</v>
      </c>
    </row>
    <row r="94" spans="1:5" ht="27">
      <c r="A94" s="2949">
        <v>58</v>
      </c>
      <c r="B94" s="2950" t="s">
        <v>3230</v>
      </c>
      <c r="C94" s="2948" t="s">
        <v>3319</v>
      </c>
      <c r="D94" s="2949">
        <v>1</v>
      </c>
      <c r="E94" s="2949">
        <v>40.61</v>
      </c>
    </row>
    <row r="95" spans="1:5" ht="27">
      <c r="A95" s="2949">
        <v>59</v>
      </c>
      <c r="B95" s="2950" t="s">
        <v>3231</v>
      </c>
      <c r="C95" s="2948" t="s">
        <v>3320</v>
      </c>
      <c r="D95" s="2949">
        <v>1</v>
      </c>
      <c r="E95" s="2949">
        <v>40.61</v>
      </c>
    </row>
    <row r="96" spans="1:5" ht="27">
      <c r="A96" s="2949">
        <v>60</v>
      </c>
      <c r="B96" s="2950" t="s">
        <v>3232</v>
      </c>
      <c r="C96" s="2948" t="s">
        <v>3321</v>
      </c>
      <c r="D96" s="2949">
        <v>1</v>
      </c>
      <c r="E96" s="2949">
        <v>43.02</v>
      </c>
    </row>
    <row r="97" spans="1:5" ht="27">
      <c r="A97" s="2949">
        <v>61</v>
      </c>
      <c r="B97" s="2950" t="s">
        <v>3233</v>
      </c>
      <c r="C97" s="2948" t="s">
        <v>3322</v>
      </c>
      <c r="D97" s="2949">
        <v>1</v>
      </c>
      <c r="E97" s="2949">
        <v>38.56</v>
      </c>
    </row>
    <row r="98" spans="1:5" ht="27">
      <c r="A98" s="2949">
        <v>62</v>
      </c>
      <c r="B98" s="2950" t="s">
        <v>3234</v>
      </c>
      <c r="C98" s="2948" t="s">
        <v>3323</v>
      </c>
      <c r="D98" s="2949">
        <v>1</v>
      </c>
      <c r="E98" s="2949">
        <v>38.56</v>
      </c>
    </row>
    <row r="99" spans="1:5" ht="27">
      <c r="A99" s="2949">
        <v>63</v>
      </c>
      <c r="B99" s="2950" t="s">
        <v>3235</v>
      </c>
      <c r="C99" s="2948" t="s">
        <v>3324</v>
      </c>
      <c r="D99" s="2949">
        <v>1</v>
      </c>
      <c r="E99" s="2949">
        <v>24</v>
      </c>
    </row>
    <row r="100" spans="1:5" ht="27">
      <c r="A100" s="2949">
        <v>64</v>
      </c>
      <c r="B100" s="2950" t="s">
        <v>3236</v>
      </c>
      <c r="C100" s="2948" t="s">
        <v>3325</v>
      </c>
      <c r="D100" s="2949">
        <v>1</v>
      </c>
      <c r="E100" s="2949">
        <v>46.32</v>
      </c>
    </row>
    <row r="101" spans="1:5" ht="27">
      <c r="A101" s="2949">
        <v>65</v>
      </c>
      <c r="B101" s="2950" t="s">
        <v>3237</v>
      </c>
      <c r="C101" s="2948" t="s">
        <v>3326</v>
      </c>
      <c r="D101" s="2949">
        <v>1</v>
      </c>
      <c r="E101" s="2949">
        <v>42.06</v>
      </c>
    </row>
    <row r="102" spans="1:5" ht="27">
      <c r="A102" s="2949">
        <v>66</v>
      </c>
      <c r="B102" s="2950" t="s">
        <v>3238</v>
      </c>
      <c r="C102" s="2948" t="s">
        <v>3327</v>
      </c>
      <c r="D102" s="2949">
        <v>1</v>
      </c>
      <c r="E102" s="2949">
        <v>40.61</v>
      </c>
    </row>
    <row r="103" spans="1:5" ht="27">
      <c r="A103" s="2949">
        <v>67</v>
      </c>
      <c r="B103" s="2950" t="s">
        <v>3239</v>
      </c>
      <c r="C103" s="2948" t="s">
        <v>3328</v>
      </c>
      <c r="D103" s="2949">
        <v>1</v>
      </c>
      <c r="E103" s="2949">
        <v>40.61</v>
      </c>
    </row>
    <row r="104" spans="1:5" ht="27">
      <c r="A104" s="2949">
        <v>68</v>
      </c>
      <c r="B104" s="2950" t="s">
        <v>3240</v>
      </c>
      <c r="C104" s="2948" t="s">
        <v>3329</v>
      </c>
      <c r="D104" s="2949">
        <v>1</v>
      </c>
      <c r="E104" s="2949">
        <v>40.61</v>
      </c>
    </row>
    <row r="105" spans="1:5" ht="27">
      <c r="A105" s="2949">
        <v>69</v>
      </c>
      <c r="B105" s="2950" t="s">
        <v>3241</v>
      </c>
      <c r="C105" s="2948" t="s">
        <v>3330</v>
      </c>
      <c r="D105" s="2949">
        <v>1</v>
      </c>
      <c r="E105" s="2949">
        <v>40.61</v>
      </c>
    </row>
    <row r="106" spans="1:5" ht="27">
      <c r="A106" s="2949">
        <v>70</v>
      </c>
      <c r="B106" s="2950" t="s">
        <v>3242</v>
      </c>
      <c r="C106" s="2948" t="s">
        <v>3331</v>
      </c>
      <c r="D106" s="2949">
        <v>1</v>
      </c>
      <c r="E106" s="2949">
        <v>40.61</v>
      </c>
    </row>
    <row r="107" spans="1:5" ht="27">
      <c r="A107" s="2949">
        <v>71</v>
      </c>
      <c r="B107" s="2950" t="s">
        <v>3243</v>
      </c>
      <c r="C107" s="2948" t="s">
        <v>3332</v>
      </c>
      <c r="D107" s="2949">
        <v>1</v>
      </c>
      <c r="E107" s="2949">
        <v>40.61</v>
      </c>
    </row>
    <row r="108" spans="1:5" ht="27">
      <c r="A108" s="2949">
        <v>72</v>
      </c>
      <c r="B108" s="2950" t="s">
        <v>3244</v>
      </c>
      <c r="C108" s="2948" t="s">
        <v>3333</v>
      </c>
      <c r="D108" s="2949">
        <v>1</v>
      </c>
      <c r="E108" s="2949">
        <v>40.61</v>
      </c>
    </row>
    <row r="109" spans="1:5" ht="27">
      <c r="A109" s="2949">
        <v>73</v>
      </c>
      <c r="B109" s="2950" t="s">
        <v>3245</v>
      </c>
      <c r="C109" s="2948" t="s">
        <v>3334</v>
      </c>
      <c r="D109" s="2949">
        <v>1</v>
      </c>
      <c r="E109" s="2949">
        <v>40.61</v>
      </c>
    </row>
    <row r="110" spans="1:5" ht="27">
      <c r="A110" s="2949">
        <v>74</v>
      </c>
      <c r="B110" s="2950" t="s">
        <v>3246</v>
      </c>
      <c r="C110" s="2948" t="s">
        <v>3335</v>
      </c>
      <c r="D110" s="2949">
        <v>1</v>
      </c>
      <c r="E110" s="2949">
        <v>42.54</v>
      </c>
    </row>
    <row r="111" spans="1:5" ht="27">
      <c r="A111" s="2949">
        <v>75</v>
      </c>
      <c r="B111" s="2950" t="s">
        <v>3247</v>
      </c>
      <c r="C111" s="2948" t="s">
        <v>3336</v>
      </c>
      <c r="D111" s="2949">
        <v>1</v>
      </c>
      <c r="E111" s="2949">
        <v>65.459999999999994</v>
      </c>
    </row>
    <row r="112" spans="1:5" ht="27">
      <c r="A112" s="2949">
        <v>76</v>
      </c>
      <c r="B112" s="2950" t="s">
        <v>3248</v>
      </c>
      <c r="C112" s="2948" t="s">
        <v>3337</v>
      </c>
      <c r="D112" s="2949">
        <v>1</v>
      </c>
      <c r="E112" s="2949">
        <v>51.28</v>
      </c>
    </row>
    <row r="113" spans="1:5" ht="27">
      <c r="A113" s="2949">
        <v>77</v>
      </c>
      <c r="B113" s="2950" t="s">
        <v>3249</v>
      </c>
      <c r="C113" s="2948" t="s">
        <v>3338</v>
      </c>
      <c r="D113" s="2949">
        <v>1</v>
      </c>
      <c r="E113" s="2949">
        <v>51.28</v>
      </c>
    </row>
    <row r="114" spans="1:5" ht="27">
      <c r="A114" s="2949">
        <v>78</v>
      </c>
      <c r="B114" s="2950" t="s">
        <v>3250</v>
      </c>
      <c r="C114" s="2948" t="s">
        <v>3339</v>
      </c>
      <c r="D114" s="2949">
        <v>1</v>
      </c>
      <c r="E114" s="2949">
        <v>51.28</v>
      </c>
    </row>
    <row r="115" spans="1:5" ht="27">
      <c r="A115" s="2949">
        <v>79</v>
      </c>
      <c r="B115" s="2950" t="s">
        <v>3251</v>
      </c>
      <c r="C115" s="2948" t="s">
        <v>3340</v>
      </c>
      <c r="D115" s="2949">
        <v>1</v>
      </c>
      <c r="E115" s="2949">
        <v>51.28</v>
      </c>
    </row>
    <row r="116" spans="1:5" ht="27">
      <c r="A116" s="2949">
        <v>80</v>
      </c>
      <c r="B116" s="2950" t="s">
        <v>3252</v>
      </c>
      <c r="C116" s="2948" t="s">
        <v>3341</v>
      </c>
      <c r="D116" s="2949">
        <v>1</v>
      </c>
      <c r="E116" s="2949">
        <v>51.4</v>
      </c>
    </row>
    <row r="117" spans="1:5" ht="27">
      <c r="A117" s="2949">
        <v>81</v>
      </c>
      <c r="B117" s="2950" t="s">
        <v>3253</v>
      </c>
      <c r="C117" s="2948" t="s">
        <v>3342</v>
      </c>
      <c r="D117" s="2949">
        <v>1</v>
      </c>
      <c r="E117" s="2949">
        <v>78.14</v>
      </c>
    </row>
    <row r="118" spans="1:5" ht="27">
      <c r="A118" s="2949">
        <v>82</v>
      </c>
      <c r="B118" s="2950" t="s">
        <v>3254</v>
      </c>
      <c r="C118" s="2948" t="s">
        <v>3343</v>
      </c>
      <c r="D118" s="2949">
        <v>1</v>
      </c>
      <c r="E118" s="2949">
        <v>51.28</v>
      </c>
    </row>
    <row r="119" spans="1:5" ht="27">
      <c r="A119" s="2949">
        <v>83</v>
      </c>
      <c r="B119" s="2950" t="s">
        <v>3255</v>
      </c>
      <c r="C119" s="2948" t="s">
        <v>3344</v>
      </c>
      <c r="D119" s="2949">
        <v>1</v>
      </c>
      <c r="E119" s="2949">
        <v>51.28</v>
      </c>
    </row>
    <row r="120" spans="1:5" ht="27">
      <c r="A120" s="2949">
        <v>84</v>
      </c>
      <c r="B120" s="2950" t="s">
        <v>3256</v>
      </c>
      <c r="C120" s="2948" t="s">
        <v>3345</v>
      </c>
      <c r="D120" s="2949">
        <v>1</v>
      </c>
      <c r="E120" s="2949">
        <v>51.28</v>
      </c>
    </row>
    <row r="121" spans="1:5" ht="27">
      <c r="A121" s="2949">
        <v>85</v>
      </c>
      <c r="B121" s="2950" t="s">
        <v>3257</v>
      </c>
      <c r="C121" s="2948" t="s">
        <v>3346</v>
      </c>
      <c r="D121" s="2949">
        <v>1</v>
      </c>
      <c r="E121" s="2949">
        <v>51.28</v>
      </c>
    </row>
    <row r="122" spans="1:5" ht="27">
      <c r="A122" s="2949">
        <v>86</v>
      </c>
      <c r="B122" s="2950" t="s">
        <v>3258</v>
      </c>
      <c r="C122" s="2948" t="s">
        <v>3347</v>
      </c>
      <c r="D122" s="2949">
        <v>1</v>
      </c>
      <c r="E122" s="2949">
        <v>50.3</v>
      </c>
    </row>
    <row r="123" spans="1:5" ht="27">
      <c r="A123" s="2949">
        <v>87</v>
      </c>
      <c r="B123" s="2950" t="s">
        <v>3259</v>
      </c>
      <c r="C123" s="2948" t="s">
        <v>3348</v>
      </c>
      <c r="D123" s="2949">
        <v>1</v>
      </c>
      <c r="E123" s="2949">
        <v>78.14</v>
      </c>
    </row>
    <row r="124" spans="1:5" ht="27">
      <c r="A124" s="2949">
        <v>88</v>
      </c>
      <c r="B124" s="2950" t="s">
        <v>3260</v>
      </c>
      <c r="C124" s="2948" t="s">
        <v>3349</v>
      </c>
      <c r="D124" s="2949">
        <v>1</v>
      </c>
      <c r="E124" s="2949">
        <v>51.28</v>
      </c>
    </row>
    <row r="125" spans="1:5" ht="27">
      <c r="A125" s="2949">
        <v>89</v>
      </c>
      <c r="B125" s="2950" t="s">
        <v>3261</v>
      </c>
      <c r="C125" s="2948" t="s">
        <v>3350</v>
      </c>
      <c r="D125" s="2949">
        <v>1</v>
      </c>
      <c r="E125" s="2949">
        <v>51.28</v>
      </c>
    </row>
    <row r="126" spans="1:5" ht="27">
      <c r="A126" s="2949">
        <v>90</v>
      </c>
      <c r="B126" s="2950" t="s">
        <v>3262</v>
      </c>
      <c r="C126" s="2948" t="s">
        <v>3351</v>
      </c>
      <c r="D126" s="2949">
        <v>1</v>
      </c>
      <c r="E126" s="2949">
        <v>49.27</v>
      </c>
    </row>
    <row r="127" spans="1:5" ht="27">
      <c r="A127" s="2949">
        <v>91</v>
      </c>
      <c r="B127" s="2950" t="s">
        <v>3352</v>
      </c>
      <c r="C127" s="2948" t="s">
        <v>3424</v>
      </c>
      <c r="D127" s="2949">
        <v>2</v>
      </c>
      <c r="E127" s="2949">
        <v>150.38</v>
      </c>
    </row>
    <row r="128" spans="1:5" ht="27">
      <c r="A128" s="2949">
        <v>92</v>
      </c>
      <c r="B128" s="2950" t="s">
        <v>3353</v>
      </c>
      <c r="C128" s="2948" t="s">
        <v>3425</v>
      </c>
      <c r="D128" s="2949">
        <v>2</v>
      </c>
      <c r="E128" s="2949">
        <v>72.180000000000007</v>
      </c>
    </row>
    <row r="129" spans="1:5" ht="27">
      <c r="A129" s="2949">
        <v>93</v>
      </c>
      <c r="B129" s="2950" t="s">
        <v>3354</v>
      </c>
      <c r="C129" s="2948" t="s">
        <v>3426</v>
      </c>
      <c r="D129" s="2949">
        <v>2</v>
      </c>
      <c r="E129" s="2949">
        <v>113.16</v>
      </c>
    </row>
    <row r="130" spans="1:5" ht="27">
      <c r="A130" s="2949">
        <v>94</v>
      </c>
      <c r="B130" s="2950" t="s">
        <v>3355</v>
      </c>
      <c r="C130" s="2948" t="s">
        <v>3427</v>
      </c>
      <c r="D130" s="2949">
        <v>2</v>
      </c>
      <c r="E130" s="2949">
        <v>83.57</v>
      </c>
    </row>
    <row r="131" spans="1:5" ht="27">
      <c r="A131" s="2949">
        <v>95</v>
      </c>
      <c r="B131" s="2950" t="s">
        <v>3356</v>
      </c>
      <c r="C131" s="2948" t="s">
        <v>3428</v>
      </c>
      <c r="D131" s="2949">
        <v>2</v>
      </c>
      <c r="E131" s="2949">
        <v>83.57</v>
      </c>
    </row>
    <row r="132" spans="1:5" ht="27">
      <c r="A132" s="2949">
        <v>96</v>
      </c>
      <c r="B132" s="2950" t="s">
        <v>3357</v>
      </c>
      <c r="C132" s="2948" t="s">
        <v>3429</v>
      </c>
      <c r="D132" s="2949">
        <v>2</v>
      </c>
      <c r="E132" s="2949">
        <v>83.57</v>
      </c>
    </row>
    <row r="133" spans="1:5" ht="27">
      <c r="A133" s="2949">
        <v>97</v>
      </c>
      <c r="B133" s="2950" t="s">
        <v>3358</v>
      </c>
      <c r="C133" s="2948" t="s">
        <v>3430</v>
      </c>
      <c r="D133" s="2949">
        <v>2</v>
      </c>
      <c r="E133" s="2949">
        <v>83.57</v>
      </c>
    </row>
    <row r="134" spans="1:5" ht="27">
      <c r="A134" s="2949">
        <v>98</v>
      </c>
      <c r="B134" s="2950" t="s">
        <v>3359</v>
      </c>
      <c r="C134" s="2948" t="s">
        <v>3431</v>
      </c>
      <c r="D134" s="2949">
        <v>2</v>
      </c>
      <c r="E134" s="2949">
        <v>86.42</v>
      </c>
    </row>
    <row r="135" spans="1:5" ht="27">
      <c r="A135" s="2949">
        <v>99</v>
      </c>
      <c r="B135" s="2950" t="s">
        <v>3360</v>
      </c>
      <c r="C135" s="2948" t="s">
        <v>3432</v>
      </c>
      <c r="D135" s="2949">
        <v>2</v>
      </c>
      <c r="E135" s="2949">
        <v>80.72</v>
      </c>
    </row>
    <row r="136" spans="1:5" ht="27">
      <c r="A136" s="2949">
        <v>100</v>
      </c>
      <c r="B136" s="2950" t="s">
        <v>3361</v>
      </c>
      <c r="C136" s="2948" t="s">
        <v>3433</v>
      </c>
      <c r="D136" s="2949">
        <v>2</v>
      </c>
      <c r="E136" s="2949">
        <v>84.27</v>
      </c>
    </row>
    <row r="137" spans="1:5" ht="27">
      <c r="A137" s="2949">
        <v>101</v>
      </c>
      <c r="B137" s="2950" t="s">
        <v>3362</v>
      </c>
      <c r="C137" s="2948" t="s">
        <v>3434</v>
      </c>
      <c r="D137" s="2949">
        <v>2</v>
      </c>
      <c r="E137" s="2949">
        <v>204.05</v>
      </c>
    </row>
    <row r="138" spans="1:5" ht="27">
      <c r="A138" s="2949">
        <v>102</v>
      </c>
      <c r="B138" s="2950" t="s">
        <v>3363</v>
      </c>
      <c r="C138" s="2948" t="s">
        <v>3435</v>
      </c>
      <c r="D138" s="2949">
        <v>2</v>
      </c>
      <c r="E138" s="2949">
        <v>86.43</v>
      </c>
    </row>
    <row r="139" spans="1:5" ht="27">
      <c r="A139" s="2949">
        <v>103</v>
      </c>
      <c r="B139" s="2950" t="s">
        <v>3364</v>
      </c>
      <c r="C139" s="2948" t="s">
        <v>3436</v>
      </c>
      <c r="D139" s="2949">
        <v>2</v>
      </c>
      <c r="E139" s="2949">
        <v>91.86</v>
      </c>
    </row>
    <row r="140" spans="1:5" ht="27">
      <c r="A140" s="2949">
        <v>104</v>
      </c>
      <c r="B140" s="2950" t="s">
        <v>3365</v>
      </c>
      <c r="C140" s="2948" t="s">
        <v>3437</v>
      </c>
      <c r="D140" s="2949">
        <v>2</v>
      </c>
      <c r="E140" s="2949">
        <v>145.85</v>
      </c>
    </row>
    <row r="141" spans="1:5" ht="27">
      <c r="A141" s="2949">
        <v>105</v>
      </c>
      <c r="B141" s="2950" t="s">
        <v>3366</v>
      </c>
      <c r="C141" s="2948" t="s">
        <v>3438</v>
      </c>
      <c r="D141" s="2949">
        <v>2</v>
      </c>
      <c r="E141" s="2949">
        <v>103.69</v>
      </c>
    </row>
    <row r="142" spans="1:5" ht="27">
      <c r="A142" s="2949">
        <v>106</v>
      </c>
      <c r="B142" s="2950" t="s">
        <v>3367</v>
      </c>
      <c r="C142" s="2948" t="s">
        <v>3439</v>
      </c>
      <c r="D142" s="2949">
        <v>2</v>
      </c>
      <c r="E142" s="2949">
        <v>230.1</v>
      </c>
    </row>
    <row r="143" spans="1:5" ht="27">
      <c r="A143" s="2949">
        <v>107</v>
      </c>
      <c r="B143" s="2950" t="s">
        <v>3368</v>
      </c>
      <c r="C143" s="2948" t="s">
        <v>3440</v>
      </c>
      <c r="D143" s="2949">
        <v>2</v>
      </c>
      <c r="E143" s="2949">
        <v>24.4</v>
      </c>
    </row>
    <row r="144" spans="1:5" ht="27">
      <c r="A144" s="2949">
        <v>108</v>
      </c>
      <c r="B144" s="2950" t="s">
        <v>3369</v>
      </c>
      <c r="C144" s="2948" t="s">
        <v>3441</v>
      </c>
      <c r="D144" s="2949">
        <v>2</v>
      </c>
      <c r="E144" s="2949">
        <v>29.61</v>
      </c>
    </row>
    <row r="145" spans="1:5" ht="27">
      <c r="A145" s="2949">
        <v>109</v>
      </c>
      <c r="B145" s="2950" t="s">
        <v>3370</v>
      </c>
      <c r="C145" s="2948" t="s">
        <v>3442</v>
      </c>
      <c r="D145" s="2949">
        <v>2</v>
      </c>
      <c r="E145" s="2949">
        <v>33.49</v>
      </c>
    </row>
    <row r="146" spans="1:5" ht="27">
      <c r="A146" s="2949">
        <v>110</v>
      </c>
      <c r="B146" s="2950" t="s">
        <v>3371</v>
      </c>
      <c r="C146" s="2948" t="s">
        <v>3443</v>
      </c>
      <c r="D146" s="2949">
        <v>2</v>
      </c>
      <c r="E146" s="2949">
        <v>36.58</v>
      </c>
    </row>
    <row r="147" spans="1:5" ht="27">
      <c r="A147" s="2949">
        <v>111</v>
      </c>
      <c r="B147" s="2950" t="s">
        <v>3372</v>
      </c>
      <c r="C147" s="2948" t="s">
        <v>3444</v>
      </c>
      <c r="D147" s="2949">
        <v>2</v>
      </c>
      <c r="E147" s="2949">
        <v>38.9</v>
      </c>
    </row>
    <row r="148" spans="1:5" ht="27">
      <c r="A148" s="2949">
        <v>112</v>
      </c>
      <c r="B148" s="2950" t="s">
        <v>3373</v>
      </c>
      <c r="C148" s="2948" t="s">
        <v>3445</v>
      </c>
      <c r="D148" s="2949">
        <v>2</v>
      </c>
      <c r="E148" s="2949">
        <v>47.76</v>
      </c>
    </row>
    <row r="149" spans="1:5" ht="27">
      <c r="A149" s="2949">
        <v>113</v>
      </c>
      <c r="B149" s="2950" t="s">
        <v>3374</v>
      </c>
      <c r="C149" s="2948" t="s">
        <v>3446</v>
      </c>
      <c r="D149" s="2949">
        <v>2</v>
      </c>
      <c r="E149" s="2949">
        <v>71.62</v>
      </c>
    </row>
    <row r="150" spans="1:5" ht="27">
      <c r="A150" s="2949">
        <v>114</v>
      </c>
      <c r="B150" s="2950" t="s">
        <v>3375</v>
      </c>
      <c r="C150" s="2948" t="s">
        <v>3447</v>
      </c>
      <c r="D150" s="2949">
        <v>2</v>
      </c>
      <c r="E150" s="2949">
        <v>42.81</v>
      </c>
    </row>
    <row r="151" spans="1:5" ht="27">
      <c r="A151" s="2949">
        <v>115</v>
      </c>
      <c r="B151" s="2950" t="s">
        <v>3376</v>
      </c>
      <c r="C151" s="2948" t="s">
        <v>3448</v>
      </c>
      <c r="D151" s="2949">
        <v>2</v>
      </c>
      <c r="E151" s="2949">
        <v>41.33</v>
      </c>
    </row>
    <row r="152" spans="1:5" ht="27">
      <c r="A152" s="2949">
        <v>116</v>
      </c>
      <c r="B152" s="2950" t="s">
        <v>3377</v>
      </c>
      <c r="C152" s="2948" t="s">
        <v>3449</v>
      </c>
      <c r="D152" s="2949">
        <v>2</v>
      </c>
      <c r="E152" s="2949">
        <v>41.33</v>
      </c>
    </row>
    <row r="153" spans="1:5" ht="27">
      <c r="A153" s="2949">
        <v>117</v>
      </c>
      <c r="B153" s="2950" t="s">
        <v>3378</v>
      </c>
      <c r="C153" s="2948" t="s">
        <v>3450</v>
      </c>
      <c r="D153" s="2949">
        <v>2</v>
      </c>
      <c r="E153" s="2949">
        <v>41.33</v>
      </c>
    </row>
    <row r="154" spans="1:5" ht="27">
      <c r="A154" s="2949">
        <v>118</v>
      </c>
      <c r="B154" s="2950" t="s">
        <v>3379</v>
      </c>
      <c r="C154" s="2948" t="s">
        <v>3451</v>
      </c>
      <c r="D154" s="2949">
        <v>2</v>
      </c>
      <c r="E154" s="2949">
        <v>41.33</v>
      </c>
    </row>
    <row r="155" spans="1:5" ht="27">
      <c r="A155" s="2949">
        <v>119</v>
      </c>
      <c r="B155" s="2950" t="s">
        <v>3380</v>
      </c>
      <c r="C155" s="2948" t="s">
        <v>3452</v>
      </c>
      <c r="D155" s="2949">
        <v>2</v>
      </c>
      <c r="E155" s="2949">
        <v>41.33</v>
      </c>
    </row>
    <row r="156" spans="1:5" ht="27">
      <c r="A156" s="2949">
        <v>120</v>
      </c>
      <c r="B156" s="2950" t="s">
        <v>3381</v>
      </c>
      <c r="C156" s="2948" t="s">
        <v>3453</v>
      </c>
      <c r="D156" s="2949">
        <v>2</v>
      </c>
      <c r="E156" s="2949">
        <v>41.33</v>
      </c>
    </row>
    <row r="157" spans="1:5" ht="27">
      <c r="A157" s="2949">
        <v>121</v>
      </c>
      <c r="B157" s="2950" t="s">
        <v>3382</v>
      </c>
      <c r="C157" s="2948" t="s">
        <v>3454</v>
      </c>
      <c r="D157" s="2949">
        <v>2</v>
      </c>
      <c r="E157" s="2949">
        <v>41.33</v>
      </c>
    </row>
    <row r="158" spans="1:5" ht="27">
      <c r="A158" s="2949">
        <v>122</v>
      </c>
      <c r="B158" s="2950" t="s">
        <v>3383</v>
      </c>
      <c r="C158" s="2948" t="s">
        <v>3455</v>
      </c>
      <c r="D158" s="2949">
        <v>2</v>
      </c>
      <c r="E158" s="2949">
        <v>41.33</v>
      </c>
    </row>
    <row r="159" spans="1:5" ht="27">
      <c r="A159" s="2949">
        <v>123</v>
      </c>
      <c r="B159" s="2950" t="s">
        <v>3384</v>
      </c>
      <c r="C159" s="2948" t="s">
        <v>3456</v>
      </c>
      <c r="D159" s="2949">
        <v>2</v>
      </c>
      <c r="E159" s="2949">
        <v>43.3</v>
      </c>
    </row>
    <row r="160" spans="1:5" ht="27">
      <c r="A160" s="2949">
        <v>124</v>
      </c>
      <c r="B160" s="2950" t="s">
        <v>3385</v>
      </c>
      <c r="C160" s="2948" t="s">
        <v>3457</v>
      </c>
      <c r="D160" s="2949">
        <v>2</v>
      </c>
      <c r="E160" s="2949">
        <v>37.590000000000003</v>
      </c>
    </row>
    <row r="161" spans="1:5" ht="27">
      <c r="A161" s="2949">
        <v>125</v>
      </c>
      <c r="B161" s="2950" t="s">
        <v>3386</v>
      </c>
      <c r="C161" s="2948" t="s">
        <v>3458</v>
      </c>
      <c r="D161" s="2949">
        <v>2</v>
      </c>
      <c r="E161" s="2949">
        <v>35.89</v>
      </c>
    </row>
    <row r="162" spans="1:5" ht="27">
      <c r="A162" s="2949">
        <v>126</v>
      </c>
      <c r="B162" s="2950" t="s">
        <v>3387</v>
      </c>
      <c r="C162" s="2948" t="s">
        <v>3459</v>
      </c>
      <c r="D162" s="2949">
        <v>2</v>
      </c>
      <c r="E162" s="2949">
        <v>35.89</v>
      </c>
    </row>
    <row r="163" spans="1:5" ht="27">
      <c r="A163" s="2949">
        <v>127</v>
      </c>
      <c r="B163" s="2950" t="s">
        <v>3388</v>
      </c>
      <c r="C163" s="2948" t="s">
        <v>3460</v>
      </c>
      <c r="D163" s="2949">
        <v>2</v>
      </c>
      <c r="E163" s="2949">
        <v>35.89</v>
      </c>
    </row>
    <row r="164" spans="1:5" ht="27">
      <c r="A164" s="2949">
        <v>128</v>
      </c>
      <c r="B164" s="2950" t="s">
        <v>3389</v>
      </c>
      <c r="C164" s="2948" t="s">
        <v>3461</v>
      </c>
      <c r="D164" s="2949">
        <v>2</v>
      </c>
      <c r="E164" s="2949">
        <v>35.89</v>
      </c>
    </row>
    <row r="165" spans="1:5" ht="27">
      <c r="A165" s="2949">
        <v>129</v>
      </c>
      <c r="B165" s="2950" t="s">
        <v>3390</v>
      </c>
      <c r="C165" s="2948" t="s">
        <v>3462</v>
      </c>
      <c r="D165" s="2949">
        <v>2</v>
      </c>
      <c r="E165" s="2949">
        <v>35.89</v>
      </c>
    </row>
    <row r="166" spans="1:5" ht="27">
      <c r="A166" s="2949">
        <v>130</v>
      </c>
      <c r="B166" s="2950" t="s">
        <v>3391</v>
      </c>
      <c r="C166" s="2948" t="s">
        <v>3463</v>
      </c>
      <c r="D166" s="2949">
        <v>2</v>
      </c>
      <c r="E166" s="2949">
        <v>35.89</v>
      </c>
    </row>
    <row r="167" spans="1:5" ht="27">
      <c r="A167" s="2949">
        <v>131</v>
      </c>
      <c r="B167" s="2950" t="s">
        <v>3392</v>
      </c>
      <c r="C167" s="2948" t="s">
        <v>3464</v>
      </c>
      <c r="D167" s="2949">
        <v>2</v>
      </c>
      <c r="E167" s="2949">
        <v>35.89</v>
      </c>
    </row>
    <row r="168" spans="1:5" ht="27">
      <c r="A168" s="2949">
        <v>132</v>
      </c>
      <c r="B168" s="2950" t="s">
        <v>3393</v>
      </c>
      <c r="C168" s="2948" t="s">
        <v>3465</v>
      </c>
      <c r="D168" s="2949">
        <v>2</v>
      </c>
      <c r="E168" s="2949">
        <v>35.89</v>
      </c>
    </row>
    <row r="169" spans="1:5" ht="27">
      <c r="A169" s="2949">
        <v>133</v>
      </c>
      <c r="B169" s="2950" t="s">
        <v>3394</v>
      </c>
      <c r="C169" s="2948" t="s">
        <v>3466</v>
      </c>
      <c r="D169" s="2949">
        <v>2</v>
      </c>
      <c r="E169" s="2949">
        <v>37.17</v>
      </c>
    </row>
    <row r="170" spans="1:5" ht="27">
      <c r="A170" s="2949">
        <v>134</v>
      </c>
      <c r="B170" s="2950" t="s">
        <v>3395</v>
      </c>
      <c r="C170" s="2948" t="s">
        <v>3467</v>
      </c>
      <c r="D170" s="2949">
        <v>2</v>
      </c>
      <c r="E170" s="2949">
        <v>60.66</v>
      </c>
    </row>
    <row r="171" spans="1:5" ht="27">
      <c r="A171" s="2949">
        <v>135</v>
      </c>
      <c r="B171" s="2950" t="s">
        <v>3396</v>
      </c>
      <c r="C171" s="2948" t="s">
        <v>3468</v>
      </c>
      <c r="D171" s="2949">
        <v>2</v>
      </c>
      <c r="E171" s="2949">
        <v>42.29</v>
      </c>
    </row>
    <row r="172" spans="1:5" ht="27">
      <c r="A172" s="2949">
        <v>136</v>
      </c>
      <c r="B172" s="2950" t="s">
        <v>3397</v>
      </c>
      <c r="C172" s="2948" t="s">
        <v>3469</v>
      </c>
      <c r="D172" s="2949">
        <v>2</v>
      </c>
      <c r="E172" s="2949">
        <v>35.89</v>
      </c>
    </row>
    <row r="173" spans="1:5" ht="27">
      <c r="A173" s="2949">
        <v>137</v>
      </c>
      <c r="B173" s="2950" t="s">
        <v>3398</v>
      </c>
      <c r="C173" s="2948" t="s">
        <v>3470</v>
      </c>
      <c r="D173" s="2949">
        <v>2</v>
      </c>
      <c r="E173" s="2949">
        <v>35.89</v>
      </c>
    </row>
    <row r="174" spans="1:5" ht="27">
      <c r="A174" s="2949">
        <v>138</v>
      </c>
      <c r="B174" s="2950" t="s">
        <v>3399</v>
      </c>
      <c r="C174" s="2948" t="s">
        <v>3471</v>
      </c>
      <c r="D174" s="2949">
        <v>2</v>
      </c>
      <c r="E174" s="2949">
        <v>35.89</v>
      </c>
    </row>
    <row r="175" spans="1:5" ht="27">
      <c r="A175" s="2949">
        <v>139</v>
      </c>
      <c r="B175" s="2950" t="s">
        <v>3400</v>
      </c>
      <c r="C175" s="2948" t="s">
        <v>3472</v>
      </c>
      <c r="D175" s="2949">
        <v>2</v>
      </c>
      <c r="E175" s="2949">
        <v>35.89</v>
      </c>
    </row>
    <row r="176" spans="1:5" ht="27">
      <c r="A176" s="2949">
        <v>140</v>
      </c>
      <c r="B176" s="2950" t="s">
        <v>3401</v>
      </c>
      <c r="C176" s="2948" t="s">
        <v>3473</v>
      </c>
      <c r="D176" s="2949">
        <v>2</v>
      </c>
      <c r="E176" s="2949">
        <v>35.03</v>
      </c>
    </row>
    <row r="177" spans="1:5" ht="27">
      <c r="A177" s="2949">
        <v>141</v>
      </c>
      <c r="B177" s="2950" t="s">
        <v>3402</v>
      </c>
      <c r="C177" s="2948" t="s">
        <v>3474</v>
      </c>
      <c r="D177" s="2949">
        <v>2</v>
      </c>
      <c r="E177" s="2949">
        <v>69.53</v>
      </c>
    </row>
    <row r="178" spans="1:5" ht="27">
      <c r="A178" s="2949">
        <v>142</v>
      </c>
      <c r="B178" s="2950" t="s">
        <v>3403</v>
      </c>
      <c r="C178" s="2948" t="s">
        <v>3475</v>
      </c>
      <c r="D178" s="2949">
        <v>2</v>
      </c>
      <c r="E178" s="2949">
        <v>68.83</v>
      </c>
    </row>
    <row r="179" spans="1:5" ht="27">
      <c r="A179" s="2949">
        <v>143</v>
      </c>
      <c r="B179" s="2950" t="s">
        <v>3404</v>
      </c>
      <c r="C179" s="2948" t="s">
        <v>3476</v>
      </c>
      <c r="D179" s="2949">
        <v>2</v>
      </c>
      <c r="E179" s="2949">
        <v>68.83</v>
      </c>
    </row>
    <row r="180" spans="1:5" ht="27">
      <c r="A180" s="2949">
        <v>144</v>
      </c>
      <c r="B180" s="2950" t="s">
        <v>3405</v>
      </c>
      <c r="C180" s="2948" t="s">
        <v>3477</v>
      </c>
      <c r="D180" s="2949">
        <v>2</v>
      </c>
      <c r="E180" s="2949">
        <v>102.91</v>
      </c>
    </row>
    <row r="181" spans="1:5" ht="27">
      <c r="A181" s="2949">
        <v>145</v>
      </c>
      <c r="B181" s="2950" t="s">
        <v>3406</v>
      </c>
      <c r="C181" s="2948" t="s">
        <v>3478</v>
      </c>
      <c r="D181" s="2949">
        <v>2</v>
      </c>
      <c r="E181" s="2949">
        <v>53.27</v>
      </c>
    </row>
    <row r="182" spans="1:5" ht="27">
      <c r="A182" s="2949">
        <v>146</v>
      </c>
      <c r="B182" s="2950" t="s">
        <v>3407</v>
      </c>
      <c r="C182" s="2948" t="s">
        <v>3479</v>
      </c>
      <c r="D182" s="2949">
        <v>2</v>
      </c>
      <c r="E182" s="2949">
        <v>68.83</v>
      </c>
    </row>
    <row r="183" spans="1:5" ht="27">
      <c r="A183" s="2949">
        <v>147</v>
      </c>
      <c r="B183" s="2950" t="s">
        <v>3408</v>
      </c>
      <c r="C183" s="2948" t="s">
        <v>3480</v>
      </c>
      <c r="D183" s="2949">
        <v>2</v>
      </c>
      <c r="E183" s="2949">
        <v>68.83</v>
      </c>
    </row>
    <row r="184" spans="1:5" ht="27">
      <c r="A184" s="2949">
        <v>148</v>
      </c>
      <c r="B184" s="2950" t="s">
        <v>3409</v>
      </c>
      <c r="C184" s="2948" t="s">
        <v>3481</v>
      </c>
      <c r="D184" s="2949">
        <v>2</v>
      </c>
      <c r="E184" s="2949">
        <v>68.83</v>
      </c>
    </row>
    <row r="185" spans="1:5" ht="27">
      <c r="A185" s="2949">
        <v>149</v>
      </c>
      <c r="B185" s="2950" t="s">
        <v>3410</v>
      </c>
      <c r="C185" s="2948" t="s">
        <v>3482</v>
      </c>
      <c r="D185" s="2949">
        <v>2</v>
      </c>
      <c r="E185" s="2949">
        <v>68.83</v>
      </c>
    </row>
    <row r="186" spans="1:5" ht="27">
      <c r="A186" s="2949">
        <v>150</v>
      </c>
      <c r="B186" s="2950" t="s">
        <v>3411</v>
      </c>
      <c r="C186" s="2948" t="s">
        <v>3483</v>
      </c>
      <c r="D186" s="2949">
        <v>2</v>
      </c>
      <c r="E186" s="2949">
        <v>102.91</v>
      </c>
    </row>
    <row r="187" spans="1:5" ht="27">
      <c r="A187" s="2949">
        <v>151</v>
      </c>
      <c r="B187" s="2950" t="s">
        <v>3412</v>
      </c>
      <c r="C187" s="2948" t="s">
        <v>3484</v>
      </c>
      <c r="D187" s="2949">
        <v>2</v>
      </c>
      <c r="E187" s="2949">
        <v>53.27</v>
      </c>
    </row>
    <row r="188" spans="1:5" ht="27">
      <c r="A188" s="2949">
        <v>152</v>
      </c>
      <c r="B188" s="2950" t="s">
        <v>3413</v>
      </c>
      <c r="C188" s="2948" t="s">
        <v>3485</v>
      </c>
      <c r="D188" s="2949">
        <v>2</v>
      </c>
      <c r="E188" s="2949">
        <v>68.83</v>
      </c>
    </row>
    <row r="189" spans="1:5" ht="27">
      <c r="A189" s="2949">
        <v>153</v>
      </c>
      <c r="B189" s="2950" t="s">
        <v>3414</v>
      </c>
      <c r="C189" s="2948" t="s">
        <v>3486</v>
      </c>
      <c r="D189" s="2949">
        <v>2</v>
      </c>
      <c r="E189" s="2949">
        <v>68.83</v>
      </c>
    </row>
    <row r="190" spans="1:5" ht="27">
      <c r="A190" s="2949">
        <v>154</v>
      </c>
      <c r="B190" s="2950" t="s">
        <v>3415</v>
      </c>
      <c r="C190" s="2948" t="s">
        <v>3487</v>
      </c>
      <c r="D190" s="2949">
        <v>2</v>
      </c>
      <c r="E190" s="2949">
        <v>68.83</v>
      </c>
    </row>
    <row r="191" spans="1:5" ht="27">
      <c r="A191" s="2949">
        <v>155</v>
      </c>
      <c r="B191" s="2950" t="s">
        <v>3416</v>
      </c>
      <c r="C191" s="2948" t="s">
        <v>3488</v>
      </c>
      <c r="D191" s="2949">
        <v>2</v>
      </c>
      <c r="E191" s="2949">
        <v>68.83</v>
      </c>
    </row>
    <row r="192" spans="1:5" ht="27">
      <c r="A192" s="2949">
        <v>156</v>
      </c>
      <c r="B192" s="2950" t="s">
        <v>3417</v>
      </c>
      <c r="C192" s="2948" t="s">
        <v>3489</v>
      </c>
      <c r="D192" s="2949">
        <v>2</v>
      </c>
      <c r="E192" s="2949">
        <v>91.16</v>
      </c>
    </row>
    <row r="193" spans="1:5" ht="27">
      <c r="A193" s="2949">
        <v>157</v>
      </c>
      <c r="B193" s="2950" t="s">
        <v>3418</v>
      </c>
      <c r="C193" s="2948" t="s">
        <v>3490</v>
      </c>
      <c r="D193" s="2949">
        <v>2</v>
      </c>
      <c r="E193" s="2949">
        <v>46.65</v>
      </c>
    </row>
    <row r="194" spans="1:5" ht="27">
      <c r="A194" s="2949">
        <v>158</v>
      </c>
      <c r="B194" s="2950" t="s">
        <v>3419</v>
      </c>
      <c r="C194" s="2948" t="s">
        <v>3491</v>
      </c>
      <c r="D194" s="2949">
        <v>2</v>
      </c>
      <c r="E194" s="2949">
        <v>67.05</v>
      </c>
    </row>
    <row r="195" spans="1:5" ht="27">
      <c r="A195" s="2949">
        <v>159</v>
      </c>
      <c r="B195" s="2950" t="s">
        <v>3420</v>
      </c>
      <c r="C195" s="2948" t="s">
        <v>3492</v>
      </c>
      <c r="D195" s="2949">
        <v>2</v>
      </c>
      <c r="E195" s="2949">
        <v>20.82</v>
      </c>
    </row>
    <row r="196" spans="1:5" ht="27">
      <c r="A196" s="2949">
        <v>160</v>
      </c>
      <c r="B196" s="2950" t="s">
        <v>3421</v>
      </c>
      <c r="C196" s="2948" t="s">
        <v>3493</v>
      </c>
      <c r="D196" s="2949">
        <v>2</v>
      </c>
      <c r="E196" s="2949">
        <v>50.03</v>
      </c>
    </row>
    <row r="197" spans="1:5" ht="27">
      <c r="A197" s="2949">
        <v>161</v>
      </c>
      <c r="B197" s="2950" t="s">
        <v>3494</v>
      </c>
      <c r="C197" s="2948" t="s">
        <v>3524</v>
      </c>
      <c r="D197" s="2949">
        <v>3</v>
      </c>
      <c r="E197" s="2949">
        <v>157.99</v>
      </c>
    </row>
    <row r="198" spans="1:5" ht="27">
      <c r="A198" s="2949">
        <v>162</v>
      </c>
      <c r="B198" s="2950" t="s">
        <v>3422</v>
      </c>
      <c r="C198" s="2948" t="s">
        <v>3525</v>
      </c>
      <c r="D198" s="2949">
        <v>3</v>
      </c>
      <c r="E198" s="2949">
        <v>134.76</v>
      </c>
    </row>
    <row r="199" spans="1:5" ht="27">
      <c r="A199" s="2949">
        <v>163</v>
      </c>
      <c r="B199" s="2950" t="s">
        <v>3423</v>
      </c>
      <c r="C199" s="2948" t="s">
        <v>3526</v>
      </c>
      <c r="D199" s="2949">
        <v>3</v>
      </c>
      <c r="E199" s="2949">
        <v>174.18</v>
      </c>
    </row>
    <row r="200" spans="1:5" ht="27">
      <c r="A200" s="2949">
        <v>164</v>
      </c>
      <c r="B200" s="2950" t="s">
        <v>3495</v>
      </c>
      <c r="C200" s="2948" t="s">
        <v>3527</v>
      </c>
      <c r="D200" s="2949">
        <v>3</v>
      </c>
      <c r="E200" s="2949">
        <v>147.97999999999999</v>
      </c>
    </row>
    <row r="201" spans="1:5" ht="27">
      <c r="A201" s="2949">
        <v>165</v>
      </c>
      <c r="B201" s="2950" t="s">
        <v>3496</v>
      </c>
      <c r="C201" s="2948" t="s">
        <v>3528</v>
      </c>
      <c r="D201" s="2949">
        <v>3</v>
      </c>
      <c r="E201" s="2949">
        <v>150.51</v>
      </c>
    </row>
    <row r="202" spans="1:5" ht="27">
      <c r="A202" s="2949">
        <v>166</v>
      </c>
      <c r="B202" s="2950" t="s">
        <v>3497</v>
      </c>
      <c r="C202" s="2948" t="s">
        <v>3529</v>
      </c>
      <c r="D202" s="2949">
        <v>3</v>
      </c>
      <c r="E202" s="2949">
        <v>146.08000000000001</v>
      </c>
    </row>
    <row r="203" spans="1:5" ht="27">
      <c r="A203" s="2949">
        <v>167</v>
      </c>
      <c r="B203" s="2950" t="s">
        <v>3498</v>
      </c>
      <c r="C203" s="2948" t="s">
        <v>3530</v>
      </c>
      <c r="D203" s="2949">
        <v>3</v>
      </c>
      <c r="E203" s="2949">
        <v>180.66</v>
      </c>
    </row>
    <row r="204" spans="1:5" ht="27">
      <c r="A204" s="2949">
        <v>168</v>
      </c>
      <c r="B204" s="2950" t="s">
        <v>3499</v>
      </c>
      <c r="C204" s="2948" t="s">
        <v>3531</v>
      </c>
      <c r="D204" s="2949">
        <v>3</v>
      </c>
      <c r="E204" s="2949">
        <v>157.85</v>
      </c>
    </row>
    <row r="205" spans="1:5" ht="27">
      <c r="A205" s="2949">
        <v>169</v>
      </c>
      <c r="B205" s="2950" t="s">
        <v>3500</v>
      </c>
      <c r="C205" s="2948" t="s">
        <v>3532</v>
      </c>
      <c r="D205" s="2949">
        <v>3</v>
      </c>
      <c r="E205" s="2949">
        <v>423.14</v>
      </c>
    </row>
    <row r="206" spans="1:5" ht="27">
      <c r="A206" s="2949">
        <v>170</v>
      </c>
      <c r="B206" s="2950" t="s">
        <v>3501</v>
      </c>
      <c r="C206" s="2948" t="s">
        <v>3533</v>
      </c>
      <c r="D206" s="2949">
        <v>3</v>
      </c>
      <c r="E206" s="2949">
        <v>48.35</v>
      </c>
    </row>
    <row r="207" spans="1:5" ht="27">
      <c r="A207" s="2949">
        <v>171</v>
      </c>
      <c r="B207" s="2950" t="s">
        <v>3502</v>
      </c>
      <c r="C207" s="2948" t="s">
        <v>3534</v>
      </c>
      <c r="D207" s="2949">
        <v>3</v>
      </c>
      <c r="E207" s="2949">
        <v>87.64</v>
      </c>
    </row>
    <row r="208" spans="1:5" ht="27">
      <c r="A208" s="2949">
        <v>172</v>
      </c>
      <c r="B208" s="2950" t="s">
        <v>3503</v>
      </c>
      <c r="C208" s="2948" t="s">
        <v>3535</v>
      </c>
      <c r="D208" s="2949">
        <v>3</v>
      </c>
      <c r="E208" s="2949">
        <v>159.61000000000001</v>
      </c>
    </row>
    <row r="209" spans="1:5" ht="27">
      <c r="A209" s="2949">
        <v>173</v>
      </c>
      <c r="B209" s="2950" t="s">
        <v>3504</v>
      </c>
      <c r="C209" s="2948" t="s">
        <v>3536</v>
      </c>
      <c r="D209" s="2949">
        <v>3</v>
      </c>
      <c r="E209" s="2949">
        <v>169.84</v>
      </c>
    </row>
    <row r="210" spans="1:5" ht="27">
      <c r="A210" s="2949">
        <v>174</v>
      </c>
      <c r="B210" s="2950" t="s">
        <v>3505</v>
      </c>
      <c r="C210" s="2948" t="s">
        <v>3537</v>
      </c>
      <c r="D210" s="2949">
        <v>3</v>
      </c>
      <c r="E210" s="2949">
        <v>208.47</v>
      </c>
    </row>
    <row r="211" spans="1:5" ht="27">
      <c r="A211" s="2949">
        <v>175</v>
      </c>
      <c r="B211" s="2950" t="s">
        <v>3506</v>
      </c>
      <c r="C211" s="2948" t="s">
        <v>3538</v>
      </c>
      <c r="D211" s="2949">
        <v>3</v>
      </c>
      <c r="E211" s="2949">
        <v>204.81</v>
      </c>
    </row>
    <row r="212" spans="1:5" ht="27">
      <c r="A212" s="2949">
        <v>176</v>
      </c>
      <c r="B212" s="2950" t="s">
        <v>3507</v>
      </c>
      <c r="C212" s="2948" t="s">
        <v>3539</v>
      </c>
      <c r="D212" s="2949">
        <v>3</v>
      </c>
      <c r="E212" s="2949">
        <v>176.08</v>
      </c>
    </row>
    <row r="213" spans="1:5" ht="27">
      <c r="A213" s="2949">
        <v>177</v>
      </c>
      <c r="B213" s="2950" t="s">
        <v>3508</v>
      </c>
      <c r="C213" s="2948" t="s">
        <v>3540</v>
      </c>
      <c r="D213" s="2949">
        <v>3</v>
      </c>
      <c r="E213" s="2949">
        <v>179.28</v>
      </c>
    </row>
    <row r="214" spans="1:5" ht="27">
      <c r="A214" s="2949">
        <v>178</v>
      </c>
      <c r="B214" s="2950" t="s">
        <v>3509</v>
      </c>
      <c r="C214" s="2948" t="s">
        <v>3541</v>
      </c>
      <c r="D214" s="2949">
        <v>3</v>
      </c>
      <c r="E214" s="2949">
        <v>92.72</v>
      </c>
    </row>
    <row r="215" spans="1:5" ht="27">
      <c r="A215" s="2949">
        <v>179</v>
      </c>
      <c r="B215" s="2950" t="s">
        <v>3510</v>
      </c>
      <c r="C215" s="2948" t="s">
        <v>3542</v>
      </c>
      <c r="D215" s="2949">
        <v>3</v>
      </c>
      <c r="E215" s="2949">
        <v>92.13</v>
      </c>
    </row>
    <row r="216" spans="1:5" ht="27">
      <c r="A216" s="2949">
        <v>180</v>
      </c>
      <c r="B216" s="2950" t="s">
        <v>3511</v>
      </c>
      <c r="C216" s="2948" t="s">
        <v>3543</v>
      </c>
      <c r="D216" s="2949">
        <v>3</v>
      </c>
      <c r="E216" s="2949">
        <v>49.28</v>
      </c>
    </row>
    <row r="217" spans="1:5" ht="27">
      <c r="A217" s="2949">
        <v>181</v>
      </c>
      <c r="B217" s="2950" t="s">
        <v>3512</v>
      </c>
      <c r="C217" s="2948" t="s">
        <v>3544</v>
      </c>
      <c r="D217" s="2949">
        <v>3</v>
      </c>
      <c r="E217" s="2949">
        <v>64.680000000000007</v>
      </c>
    </row>
    <row r="218" spans="1:5" ht="27">
      <c r="A218" s="2949">
        <v>182</v>
      </c>
      <c r="B218" s="2950" t="s">
        <v>3513</v>
      </c>
      <c r="C218" s="2948" t="s">
        <v>3545</v>
      </c>
      <c r="D218" s="2949">
        <v>3</v>
      </c>
      <c r="E218" s="2949">
        <v>64.680000000000007</v>
      </c>
    </row>
    <row r="219" spans="1:5" ht="27">
      <c r="A219" s="2949">
        <v>183</v>
      </c>
      <c r="B219" s="2950" t="s">
        <v>3514</v>
      </c>
      <c r="C219" s="2948" t="s">
        <v>3546</v>
      </c>
      <c r="D219" s="2949">
        <v>3</v>
      </c>
      <c r="E219" s="2949">
        <v>41.96</v>
      </c>
    </row>
    <row r="220" spans="1:5" ht="27">
      <c r="A220" s="2949">
        <v>184</v>
      </c>
      <c r="B220" s="2950" t="s">
        <v>3515</v>
      </c>
      <c r="C220" s="2948" t="s">
        <v>3547</v>
      </c>
      <c r="D220" s="2949">
        <v>3</v>
      </c>
      <c r="E220" s="2949">
        <v>70.709999999999994</v>
      </c>
    </row>
    <row r="221" spans="1:5" ht="27">
      <c r="A221" s="2949">
        <v>185</v>
      </c>
      <c r="B221" s="2950" t="s">
        <v>3516</v>
      </c>
      <c r="C221" s="2948" t="s">
        <v>3548</v>
      </c>
      <c r="D221" s="2949">
        <v>3</v>
      </c>
      <c r="E221" s="2949">
        <v>122.5</v>
      </c>
    </row>
    <row r="222" spans="1:5" ht="27">
      <c r="A222" s="2949">
        <v>186</v>
      </c>
      <c r="B222" s="2950" t="s">
        <v>3517</v>
      </c>
      <c r="C222" s="2948" t="s">
        <v>3549</v>
      </c>
      <c r="D222" s="2949">
        <v>3</v>
      </c>
      <c r="E222" s="2949">
        <v>152.05000000000001</v>
      </c>
    </row>
    <row r="223" spans="1:5" ht="27">
      <c r="A223" s="2949">
        <v>187</v>
      </c>
      <c r="B223" s="2950" t="s">
        <v>3518</v>
      </c>
      <c r="C223" s="2948" t="s">
        <v>3550</v>
      </c>
      <c r="D223" s="2949">
        <v>3</v>
      </c>
      <c r="E223" s="2949">
        <v>108.11</v>
      </c>
    </row>
    <row r="224" spans="1:5" ht="27">
      <c r="A224" s="2949">
        <v>188</v>
      </c>
      <c r="B224" s="2950" t="s">
        <v>3519</v>
      </c>
      <c r="C224" s="2948" t="s">
        <v>3551</v>
      </c>
      <c r="D224" s="2949">
        <v>3</v>
      </c>
      <c r="E224" s="2949">
        <v>121.89</v>
      </c>
    </row>
    <row r="225" spans="1:5" ht="27">
      <c r="A225" s="2949">
        <v>189</v>
      </c>
      <c r="B225" s="2950" t="s">
        <v>3520</v>
      </c>
      <c r="C225" s="2948" t="s">
        <v>3552</v>
      </c>
      <c r="D225" s="2949">
        <v>3</v>
      </c>
      <c r="E225" s="2949">
        <v>149.75</v>
      </c>
    </row>
    <row r="226" spans="1:5" ht="27">
      <c r="A226" s="2949">
        <v>190</v>
      </c>
      <c r="B226" s="2950" t="s">
        <v>3521</v>
      </c>
      <c r="C226" s="2948" t="s">
        <v>3553</v>
      </c>
      <c r="D226" s="2949">
        <v>3</v>
      </c>
      <c r="E226" s="2949">
        <v>106.96</v>
      </c>
    </row>
    <row r="227" spans="1:5" ht="27">
      <c r="A227" s="2949">
        <v>191</v>
      </c>
      <c r="B227" s="2950" t="s">
        <v>3522</v>
      </c>
      <c r="C227" s="2948" t="s">
        <v>3554</v>
      </c>
      <c r="D227" s="2949">
        <v>3</v>
      </c>
      <c r="E227" s="2949">
        <v>257.85000000000002</v>
      </c>
    </row>
    <row r="228" spans="1:5" ht="27">
      <c r="A228" s="2949">
        <v>192</v>
      </c>
      <c r="B228" s="2950" t="s">
        <v>3523</v>
      </c>
      <c r="C228" s="2948" t="s">
        <v>3555</v>
      </c>
      <c r="D228" s="2949">
        <v>3</v>
      </c>
      <c r="E228" s="2949">
        <v>108.25</v>
      </c>
    </row>
    <row r="229" spans="1:5">
      <c r="B229" s="2950"/>
      <c r="E229">
        <f>SUM(E37:E228)</f>
        <v>12951.650000000001</v>
      </c>
    </row>
    <row r="230" spans="1:5" ht="27">
      <c r="A230" s="2949">
        <v>1</v>
      </c>
      <c r="B230" s="2950" t="s">
        <v>3557</v>
      </c>
      <c r="C230" s="2948" t="s">
        <v>3558</v>
      </c>
      <c r="D230" s="2949">
        <v>1</v>
      </c>
      <c r="E230" s="2949">
        <v>37.61</v>
      </c>
    </row>
    <row r="231" spans="1:5" ht="27">
      <c r="A231" s="2949">
        <v>2</v>
      </c>
      <c r="B231" s="2950" t="s">
        <v>3559</v>
      </c>
      <c r="C231" s="2948" t="s">
        <v>3638</v>
      </c>
      <c r="D231" s="2949">
        <v>1</v>
      </c>
      <c r="E231" s="2949">
        <v>39.4</v>
      </c>
    </row>
    <row r="232" spans="1:5" ht="27">
      <c r="A232" s="2949">
        <v>3</v>
      </c>
      <c r="B232" s="2950" t="s">
        <v>3560</v>
      </c>
      <c r="C232" s="2948" t="s">
        <v>3639</v>
      </c>
      <c r="D232" s="2949">
        <v>1</v>
      </c>
      <c r="E232" s="2949">
        <v>57.31</v>
      </c>
    </row>
    <row r="233" spans="1:5" ht="27">
      <c r="A233" s="2949">
        <v>4</v>
      </c>
      <c r="B233" s="2950" t="s">
        <v>3561</v>
      </c>
      <c r="C233" s="2948" t="s">
        <v>3640</v>
      </c>
      <c r="D233" s="2949">
        <v>1</v>
      </c>
      <c r="E233" s="2949">
        <v>37.61</v>
      </c>
    </row>
    <row r="234" spans="1:5" ht="27">
      <c r="A234" s="2949">
        <v>5</v>
      </c>
      <c r="B234" s="2950" t="s">
        <v>3562</v>
      </c>
      <c r="C234" s="2948" t="s">
        <v>3641</v>
      </c>
      <c r="D234" s="2949">
        <v>1</v>
      </c>
      <c r="E234" s="2949">
        <v>37.61</v>
      </c>
    </row>
    <row r="235" spans="1:5" ht="27">
      <c r="A235" s="2949">
        <v>6</v>
      </c>
      <c r="B235" s="2950" t="s">
        <v>3563</v>
      </c>
      <c r="C235" s="2948" t="s">
        <v>3642</v>
      </c>
      <c r="D235" s="2949">
        <v>1</v>
      </c>
      <c r="E235" s="2949">
        <v>39.4</v>
      </c>
    </row>
    <row r="236" spans="1:5" ht="27">
      <c r="A236" s="2949">
        <v>7</v>
      </c>
      <c r="B236" s="2950" t="s">
        <v>3564</v>
      </c>
      <c r="C236" s="2948" t="s">
        <v>3643</v>
      </c>
      <c r="D236" s="2949">
        <v>1</v>
      </c>
      <c r="E236" s="2949">
        <v>29.61</v>
      </c>
    </row>
    <row r="237" spans="1:5" ht="27">
      <c r="A237" s="2949">
        <v>8</v>
      </c>
      <c r="B237" s="2950" t="s">
        <v>3565</v>
      </c>
      <c r="C237" s="2948" t="s">
        <v>3644</v>
      </c>
      <c r="D237" s="2949">
        <v>1</v>
      </c>
      <c r="E237" s="2949">
        <v>31.09</v>
      </c>
    </row>
    <row r="238" spans="1:5" ht="27">
      <c r="A238" s="2949">
        <v>9</v>
      </c>
      <c r="B238" s="2950" t="s">
        <v>3566</v>
      </c>
      <c r="C238" s="2948" t="s">
        <v>3645</v>
      </c>
      <c r="D238" s="2949">
        <v>1</v>
      </c>
      <c r="E238" s="2949">
        <v>31.09</v>
      </c>
    </row>
    <row r="239" spans="1:5" ht="27">
      <c r="A239" s="2949">
        <v>10</v>
      </c>
      <c r="B239" s="2950" t="s">
        <v>3567</v>
      </c>
      <c r="C239" s="2948" t="s">
        <v>3646</v>
      </c>
      <c r="D239" s="2949">
        <v>1</v>
      </c>
      <c r="E239" s="2949">
        <v>32.200000000000003</v>
      </c>
    </row>
    <row r="240" spans="1:5" ht="27">
      <c r="A240" s="2949">
        <v>11</v>
      </c>
      <c r="B240" s="2950" t="s">
        <v>3568</v>
      </c>
      <c r="C240" s="2948" t="s">
        <v>3647</v>
      </c>
      <c r="D240" s="2949">
        <v>1</v>
      </c>
      <c r="E240" s="2949">
        <v>29.98</v>
      </c>
    </row>
    <row r="241" spans="1:5" ht="27">
      <c r="A241" s="2949">
        <v>12</v>
      </c>
      <c r="B241" s="2950" t="s">
        <v>3569</v>
      </c>
      <c r="C241" s="2948" t="s">
        <v>3648</v>
      </c>
      <c r="D241" s="2949">
        <v>1</v>
      </c>
      <c r="E241" s="2949">
        <v>31.09</v>
      </c>
    </row>
    <row r="242" spans="1:5" ht="27">
      <c r="A242" s="2949">
        <v>13</v>
      </c>
      <c r="B242" s="2950" t="s">
        <v>3570</v>
      </c>
      <c r="C242" s="2948" t="s">
        <v>3649</v>
      </c>
      <c r="D242" s="2949">
        <v>1</v>
      </c>
      <c r="E242" s="2949">
        <v>31.09</v>
      </c>
    </row>
    <row r="243" spans="1:5" ht="27">
      <c r="A243" s="2949">
        <v>14</v>
      </c>
      <c r="B243" s="2950" t="s">
        <v>3571</v>
      </c>
      <c r="C243" s="2948" t="s">
        <v>3650</v>
      </c>
      <c r="D243" s="2949">
        <v>1</v>
      </c>
      <c r="E243" s="2949">
        <v>32.57</v>
      </c>
    </row>
    <row r="244" spans="1:5" ht="27">
      <c r="A244" s="2949">
        <v>15</v>
      </c>
      <c r="B244" s="2950" t="s">
        <v>3572</v>
      </c>
      <c r="C244" s="2948" t="s">
        <v>3651</v>
      </c>
      <c r="D244" s="2949">
        <v>1</v>
      </c>
      <c r="E244" s="2949">
        <v>31.8</v>
      </c>
    </row>
    <row r="245" spans="1:5" ht="27">
      <c r="A245" s="2949">
        <v>16</v>
      </c>
      <c r="B245" s="2950" t="s">
        <v>3573</v>
      </c>
      <c r="C245" s="2948" t="s">
        <v>3652</v>
      </c>
      <c r="D245" s="2949">
        <v>1</v>
      </c>
      <c r="E245" s="2949">
        <v>20.87</v>
      </c>
    </row>
    <row r="246" spans="1:5" ht="27">
      <c r="A246" s="2949">
        <v>17</v>
      </c>
      <c r="B246" s="2950" t="s">
        <v>3574</v>
      </c>
      <c r="C246" s="2948" t="s">
        <v>3653</v>
      </c>
      <c r="D246" s="2949">
        <v>1</v>
      </c>
      <c r="E246" s="2949">
        <v>47.05</v>
      </c>
    </row>
    <row r="247" spans="1:5" ht="27">
      <c r="A247" s="2949">
        <v>18</v>
      </c>
      <c r="B247" s="2950" t="s">
        <v>3575</v>
      </c>
      <c r="C247" s="2948" t="s">
        <v>3654</v>
      </c>
      <c r="D247" s="2949">
        <v>1</v>
      </c>
      <c r="E247" s="2949">
        <v>28.81</v>
      </c>
    </row>
    <row r="248" spans="1:5" ht="27">
      <c r="A248" s="2949">
        <v>19</v>
      </c>
      <c r="B248" s="2950" t="s">
        <v>3576</v>
      </c>
      <c r="C248" s="2948" t="s">
        <v>3655</v>
      </c>
      <c r="D248" s="2949">
        <v>1</v>
      </c>
      <c r="E248" s="2949">
        <v>47.69</v>
      </c>
    </row>
    <row r="249" spans="1:5" ht="27">
      <c r="A249" s="2949">
        <v>20</v>
      </c>
      <c r="B249" s="2950" t="s">
        <v>3577</v>
      </c>
      <c r="C249" s="2948" t="s">
        <v>3656</v>
      </c>
      <c r="D249" s="2949">
        <v>1</v>
      </c>
      <c r="E249" s="2949">
        <v>18.899999999999999</v>
      </c>
    </row>
    <row r="250" spans="1:5" ht="27">
      <c r="A250" s="2949">
        <v>21</v>
      </c>
      <c r="B250" s="2950" t="s">
        <v>3578</v>
      </c>
      <c r="C250" s="2948" t="s">
        <v>3657</v>
      </c>
      <c r="D250" s="2949">
        <v>1</v>
      </c>
      <c r="E250" s="2949">
        <v>18.04</v>
      </c>
    </row>
    <row r="251" spans="1:5" ht="27">
      <c r="A251" s="2949">
        <v>22</v>
      </c>
      <c r="B251" s="2950" t="s">
        <v>3579</v>
      </c>
      <c r="C251" s="2948" t="s">
        <v>3658</v>
      </c>
      <c r="D251" s="2949">
        <v>1</v>
      </c>
      <c r="E251" s="2949">
        <v>18.04</v>
      </c>
    </row>
    <row r="252" spans="1:5" ht="27">
      <c r="A252" s="2949">
        <v>23</v>
      </c>
      <c r="B252" s="2950" t="s">
        <v>3580</v>
      </c>
      <c r="C252" s="2948" t="s">
        <v>3659</v>
      </c>
      <c r="D252" s="2949">
        <v>1</v>
      </c>
      <c r="E252" s="2949">
        <v>17.399999999999999</v>
      </c>
    </row>
    <row r="253" spans="1:5" ht="27">
      <c r="A253" s="2949">
        <v>24</v>
      </c>
      <c r="B253" s="2950" t="s">
        <v>3581</v>
      </c>
      <c r="C253" s="2948" t="s">
        <v>3660</v>
      </c>
      <c r="D253" s="2949">
        <v>1</v>
      </c>
      <c r="E253" s="2949">
        <v>18.690000000000001</v>
      </c>
    </row>
    <row r="254" spans="1:5" ht="27">
      <c r="A254" s="2949">
        <v>25</v>
      </c>
      <c r="B254" s="2950" t="s">
        <v>3582</v>
      </c>
      <c r="C254" s="2948" t="s">
        <v>3661</v>
      </c>
      <c r="D254" s="2949">
        <v>1</v>
      </c>
      <c r="E254" s="2949">
        <v>18.04</v>
      </c>
    </row>
    <row r="255" spans="1:5" ht="27">
      <c r="A255" s="2949">
        <v>26</v>
      </c>
      <c r="B255" s="2950" t="s">
        <v>3583</v>
      </c>
      <c r="C255" s="2948" t="s">
        <v>3662</v>
      </c>
      <c r="D255" s="2949">
        <v>1</v>
      </c>
      <c r="E255" s="2949">
        <v>18.04</v>
      </c>
    </row>
    <row r="256" spans="1:5" ht="27">
      <c r="A256" s="2949">
        <v>27</v>
      </c>
      <c r="B256" s="2950" t="s">
        <v>3584</v>
      </c>
      <c r="C256" s="2948" t="s">
        <v>3663</v>
      </c>
      <c r="D256" s="2949">
        <v>1</v>
      </c>
      <c r="E256" s="2949">
        <v>17.18</v>
      </c>
    </row>
    <row r="257" spans="1:5" ht="27">
      <c r="A257" s="2949">
        <v>28</v>
      </c>
      <c r="B257" s="2950" t="s">
        <v>3585</v>
      </c>
      <c r="C257" s="2948" t="s">
        <v>3664</v>
      </c>
      <c r="D257" s="2949">
        <v>1</v>
      </c>
      <c r="E257" s="2949">
        <v>44.9</v>
      </c>
    </row>
    <row r="258" spans="1:5" ht="27">
      <c r="A258" s="2949">
        <v>29</v>
      </c>
      <c r="B258" s="2950" t="s">
        <v>3586</v>
      </c>
      <c r="C258" s="2948" t="s">
        <v>3665</v>
      </c>
      <c r="D258" s="2949">
        <v>1</v>
      </c>
      <c r="E258" s="2949">
        <v>42.85</v>
      </c>
    </row>
    <row r="259" spans="1:5" ht="27">
      <c r="A259" s="2949">
        <v>30</v>
      </c>
      <c r="B259" s="2950" t="s">
        <v>3587</v>
      </c>
      <c r="C259" s="2948" t="s">
        <v>3666</v>
      </c>
      <c r="D259" s="2949">
        <v>1</v>
      </c>
      <c r="E259" s="2949">
        <v>42.85</v>
      </c>
    </row>
    <row r="260" spans="1:5" ht="27">
      <c r="A260" s="2949">
        <v>31</v>
      </c>
      <c r="B260" s="2950" t="s">
        <v>3588</v>
      </c>
      <c r="C260" s="2948" t="s">
        <v>3667</v>
      </c>
      <c r="D260" s="2949">
        <v>1</v>
      </c>
      <c r="E260" s="2949">
        <v>65.3</v>
      </c>
    </row>
    <row r="261" spans="1:5" ht="27">
      <c r="A261" s="2949">
        <v>32</v>
      </c>
      <c r="B261" s="2950" t="s">
        <v>3589</v>
      </c>
      <c r="C261" s="2948" t="s">
        <v>3668</v>
      </c>
      <c r="D261" s="2949">
        <v>1</v>
      </c>
      <c r="E261" s="2949">
        <v>64.37</v>
      </c>
    </row>
    <row r="262" spans="1:5" ht="27">
      <c r="A262" s="2949">
        <v>33</v>
      </c>
      <c r="B262" s="2950" t="s">
        <v>3590</v>
      </c>
      <c r="C262" s="2948" t="s">
        <v>3669</v>
      </c>
      <c r="D262" s="2949">
        <v>1</v>
      </c>
      <c r="E262" s="2949">
        <v>39.33</v>
      </c>
    </row>
    <row r="263" spans="1:5" ht="27">
      <c r="A263" s="2949">
        <v>34</v>
      </c>
      <c r="B263" s="2950" t="s">
        <v>3591</v>
      </c>
      <c r="C263" s="2948" t="s">
        <v>3670</v>
      </c>
      <c r="D263" s="2949">
        <v>1</v>
      </c>
      <c r="E263" s="2949">
        <v>34.11</v>
      </c>
    </row>
    <row r="264" spans="1:5" ht="27">
      <c r="A264" s="2949">
        <v>35</v>
      </c>
      <c r="B264" s="2950" t="s">
        <v>3592</v>
      </c>
      <c r="C264" s="2948" t="s">
        <v>3671</v>
      </c>
      <c r="D264" s="2949">
        <v>1</v>
      </c>
      <c r="E264" s="2949">
        <v>34.11</v>
      </c>
    </row>
    <row r="265" spans="1:5" ht="27">
      <c r="A265" s="2949">
        <v>36</v>
      </c>
      <c r="B265" s="2950" t="s">
        <v>3593</v>
      </c>
      <c r="C265" s="2948" t="s">
        <v>3672</v>
      </c>
      <c r="D265" s="2949">
        <v>1</v>
      </c>
      <c r="E265" s="2949">
        <v>34.11</v>
      </c>
    </row>
    <row r="266" spans="1:5" ht="27">
      <c r="A266" s="2949">
        <v>37</v>
      </c>
      <c r="B266" s="2950" t="s">
        <v>3594</v>
      </c>
      <c r="C266" s="2948" t="s">
        <v>3673</v>
      </c>
      <c r="D266" s="2949">
        <v>1</v>
      </c>
      <c r="E266" s="2949">
        <v>34.11</v>
      </c>
    </row>
    <row r="267" spans="1:5" ht="27">
      <c r="A267" s="2949">
        <v>38</v>
      </c>
      <c r="B267" s="2950" t="s">
        <v>3595</v>
      </c>
      <c r="C267" s="2948" t="s">
        <v>3674</v>
      </c>
      <c r="D267" s="2949">
        <v>1</v>
      </c>
      <c r="E267" s="2949">
        <v>35.74</v>
      </c>
    </row>
    <row r="268" spans="1:5" ht="27">
      <c r="A268" s="2949">
        <v>39</v>
      </c>
      <c r="B268" s="2950" t="s">
        <v>3596</v>
      </c>
      <c r="C268" s="2948" t="s">
        <v>3675</v>
      </c>
      <c r="D268" s="2949">
        <v>1</v>
      </c>
      <c r="E268" s="2949">
        <v>68.8</v>
      </c>
    </row>
    <row r="269" spans="1:5" ht="27">
      <c r="A269" s="2949">
        <v>40</v>
      </c>
      <c r="B269" s="2950" t="s">
        <v>3597</v>
      </c>
      <c r="C269" s="2948" t="s">
        <v>3676</v>
      </c>
      <c r="D269" s="2949">
        <v>1</v>
      </c>
      <c r="E269" s="2949">
        <v>37.78</v>
      </c>
    </row>
    <row r="270" spans="1:5" ht="27">
      <c r="A270" s="2949">
        <v>41</v>
      </c>
      <c r="B270" s="2950" t="s">
        <v>3598</v>
      </c>
      <c r="C270" s="2948" t="s">
        <v>3677</v>
      </c>
      <c r="D270" s="2949">
        <v>1</v>
      </c>
      <c r="E270" s="2949">
        <v>59.06</v>
      </c>
    </row>
    <row r="271" spans="1:5" ht="27">
      <c r="A271" s="2949">
        <v>42</v>
      </c>
      <c r="B271" s="2950" t="s">
        <v>3599</v>
      </c>
      <c r="C271" s="2948" t="s">
        <v>3678</v>
      </c>
      <c r="D271" s="2949">
        <v>1</v>
      </c>
      <c r="E271" s="2949">
        <v>48.44</v>
      </c>
    </row>
    <row r="272" spans="1:5" ht="27">
      <c r="A272" s="2949">
        <v>43</v>
      </c>
      <c r="B272" s="2950" t="s">
        <v>3600</v>
      </c>
      <c r="C272" s="2948" t="s">
        <v>3679</v>
      </c>
      <c r="D272" s="2949">
        <v>1</v>
      </c>
      <c r="E272" s="2949">
        <v>59.77</v>
      </c>
    </row>
    <row r="273" spans="1:5" ht="27">
      <c r="A273" s="2949">
        <v>44</v>
      </c>
      <c r="B273" s="2950" t="s">
        <v>3601</v>
      </c>
      <c r="C273" s="2948" t="s">
        <v>3680</v>
      </c>
      <c r="D273" s="2949">
        <v>1</v>
      </c>
      <c r="E273" s="2949">
        <v>30.52</v>
      </c>
    </row>
    <row r="274" spans="1:5" ht="27">
      <c r="A274" s="2949">
        <v>45</v>
      </c>
      <c r="B274" s="2950" t="s">
        <v>3602</v>
      </c>
      <c r="C274" s="2948" t="s">
        <v>3681</v>
      </c>
      <c r="D274" s="2949">
        <v>1</v>
      </c>
      <c r="E274" s="2949">
        <v>40.65</v>
      </c>
    </row>
    <row r="275" spans="1:5" ht="27">
      <c r="A275" s="2949">
        <v>46</v>
      </c>
      <c r="B275" s="2950" t="s">
        <v>3603</v>
      </c>
      <c r="C275" s="2948" t="s">
        <v>3682</v>
      </c>
      <c r="D275" s="2949">
        <v>1</v>
      </c>
      <c r="E275" s="2949">
        <v>46.66</v>
      </c>
    </row>
    <row r="276" spans="1:5" ht="27">
      <c r="A276" s="2949">
        <v>47</v>
      </c>
      <c r="B276" s="2950" t="s">
        <v>3604</v>
      </c>
      <c r="C276" s="2948" t="s">
        <v>3683</v>
      </c>
      <c r="D276" s="2949">
        <v>1</v>
      </c>
      <c r="E276" s="2949">
        <v>58.62</v>
      </c>
    </row>
    <row r="277" spans="1:5" ht="27">
      <c r="A277" s="2949">
        <v>48</v>
      </c>
      <c r="B277" s="2950" t="s">
        <v>3605</v>
      </c>
      <c r="C277" s="2948" t="s">
        <v>3684</v>
      </c>
      <c r="D277" s="2949">
        <v>1</v>
      </c>
      <c r="E277" s="2949">
        <v>33.700000000000003</v>
      </c>
    </row>
    <row r="278" spans="1:5" ht="27">
      <c r="A278" s="2949">
        <v>49</v>
      </c>
      <c r="B278" s="2950" t="s">
        <v>3606</v>
      </c>
      <c r="C278" s="2948" t="s">
        <v>3685</v>
      </c>
      <c r="D278" s="2949">
        <v>1</v>
      </c>
      <c r="E278" s="2949">
        <v>34.380000000000003</v>
      </c>
    </row>
    <row r="279" spans="1:5" ht="27">
      <c r="A279" s="2949">
        <v>50</v>
      </c>
      <c r="B279" s="2950" t="s">
        <v>3607</v>
      </c>
      <c r="C279" s="2948" t="s">
        <v>3686</v>
      </c>
      <c r="D279" s="2949">
        <v>1</v>
      </c>
      <c r="E279" s="2949">
        <v>33.94</v>
      </c>
    </row>
    <row r="280" spans="1:5" ht="27">
      <c r="A280" s="2949">
        <v>51</v>
      </c>
      <c r="B280" s="2950" t="s">
        <v>3608</v>
      </c>
      <c r="C280" s="2948" t="s">
        <v>3687</v>
      </c>
      <c r="D280" s="2949">
        <v>1</v>
      </c>
      <c r="E280" s="2949">
        <v>33.94</v>
      </c>
    </row>
    <row r="281" spans="1:5" ht="27">
      <c r="A281" s="2949">
        <v>52</v>
      </c>
      <c r="B281" s="2950" t="s">
        <v>3609</v>
      </c>
      <c r="C281" s="2948" t="s">
        <v>3688</v>
      </c>
      <c r="D281" s="2949">
        <v>1</v>
      </c>
      <c r="E281" s="2949">
        <v>32.86</v>
      </c>
    </row>
    <row r="282" spans="1:5" ht="27">
      <c r="A282" s="2949">
        <v>53</v>
      </c>
      <c r="B282" s="2950" t="s">
        <v>3610</v>
      </c>
      <c r="C282" s="2948" t="s">
        <v>3689</v>
      </c>
      <c r="D282" s="2949">
        <v>1</v>
      </c>
      <c r="E282" s="2949">
        <v>30.7</v>
      </c>
    </row>
    <row r="283" spans="1:5" ht="27">
      <c r="A283" s="2949">
        <v>54</v>
      </c>
      <c r="B283" s="2950" t="s">
        <v>3611</v>
      </c>
      <c r="C283" s="2948" t="s">
        <v>3690</v>
      </c>
      <c r="D283" s="2949">
        <v>1</v>
      </c>
      <c r="E283" s="2949">
        <v>28.26</v>
      </c>
    </row>
    <row r="284" spans="1:5" ht="27">
      <c r="A284" s="2949">
        <v>55</v>
      </c>
      <c r="B284" s="2950" t="s">
        <v>3612</v>
      </c>
      <c r="C284" s="2948" t="s">
        <v>3691</v>
      </c>
      <c r="D284" s="2949">
        <v>1</v>
      </c>
      <c r="E284" s="2949">
        <v>95.61</v>
      </c>
    </row>
    <row r="285" spans="1:5" ht="27">
      <c r="A285" s="2949">
        <v>56</v>
      </c>
      <c r="B285" s="2950" t="s">
        <v>3613</v>
      </c>
      <c r="C285" s="2948" t="s">
        <v>3692</v>
      </c>
      <c r="D285" s="2949">
        <v>1</v>
      </c>
      <c r="E285" s="2949">
        <v>115.16</v>
      </c>
    </row>
    <row r="286" spans="1:5" ht="27">
      <c r="A286" s="2949">
        <v>57</v>
      </c>
      <c r="B286" s="2950" t="s">
        <v>3614</v>
      </c>
      <c r="C286" s="2948" t="s">
        <v>3693</v>
      </c>
      <c r="D286" s="2949">
        <v>1</v>
      </c>
      <c r="E286" s="2949">
        <v>76</v>
      </c>
    </row>
    <row r="287" spans="1:5" ht="27">
      <c r="A287" s="2949">
        <v>58</v>
      </c>
      <c r="B287" s="2950" t="s">
        <v>3615</v>
      </c>
      <c r="C287" s="2948" t="s">
        <v>3694</v>
      </c>
      <c r="D287" s="2949">
        <v>1</v>
      </c>
      <c r="E287" s="2949">
        <v>76</v>
      </c>
    </row>
    <row r="288" spans="1:5" ht="27">
      <c r="A288" s="2949">
        <v>59</v>
      </c>
      <c r="B288" s="2950" t="s">
        <v>3616</v>
      </c>
      <c r="C288" s="2948" t="s">
        <v>3695</v>
      </c>
      <c r="D288" s="2949">
        <v>1</v>
      </c>
      <c r="E288" s="2949">
        <v>76.95</v>
      </c>
    </row>
    <row r="289" spans="1:5" ht="27">
      <c r="A289" s="2949">
        <v>60</v>
      </c>
      <c r="B289" s="2950" t="s">
        <v>3617</v>
      </c>
      <c r="C289" s="2948" t="s">
        <v>3696</v>
      </c>
      <c r="D289" s="2949">
        <v>1</v>
      </c>
      <c r="E289" s="2949">
        <v>75.040000000000006</v>
      </c>
    </row>
    <row r="290" spans="1:5" ht="27">
      <c r="A290" s="2949">
        <v>61</v>
      </c>
      <c r="B290" s="2950" t="s">
        <v>3618</v>
      </c>
      <c r="C290" s="2948" t="s">
        <v>3697</v>
      </c>
      <c r="D290" s="2949">
        <v>1</v>
      </c>
      <c r="E290" s="2949">
        <v>69.63</v>
      </c>
    </row>
    <row r="291" spans="1:5" ht="27">
      <c r="A291" s="2949">
        <v>62</v>
      </c>
      <c r="B291" s="2950" t="s">
        <v>3619</v>
      </c>
      <c r="C291" s="2948" t="s">
        <v>3698</v>
      </c>
      <c r="D291" s="2949">
        <v>1</v>
      </c>
      <c r="E291" s="2949">
        <v>64.22</v>
      </c>
    </row>
    <row r="292" spans="1:5" ht="27">
      <c r="A292" s="2949">
        <v>63</v>
      </c>
      <c r="B292" s="2950" t="s">
        <v>3620</v>
      </c>
      <c r="C292" s="2948" t="s">
        <v>3699</v>
      </c>
      <c r="D292" s="2949">
        <v>1</v>
      </c>
      <c r="E292" s="2949">
        <v>60.82</v>
      </c>
    </row>
    <row r="293" spans="1:5" ht="27">
      <c r="A293" s="2949">
        <v>64</v>
      </c>
      <c r="B293" s="2950" t="s">
        <v>3621</v>
      </c>
      <c r="C293" s="2948" t="s">
        <v>3700</v>
      </c>
      <c r="D293" s="2949">
        <v>1</v>
      </c>
      <c r="E293" s="2949">
        <v>54.1</v>
      </c>
    </row>
    <row r="294" spans="1:5" ht="27">
      <c r="A294" s="2949">
        <v>65</v>
      </c>
      <c r="B294" s="2950" t="s">
        <v>3622</v>
      </c>
      <c r="C294" s="2948" t="s">
        <v>3701</v>
      </c>
      <c r="D294" s="2949">
        <v>1</v>
      </c>
      <c r="E294" s="2949">
        <v>56.11</v>
      </c>
    </row>
    <row r="295" spans="1:5" ht="27">
      <c r="A295" s="2949">
        <v>66</v>
      </c>
      <c r="B295" s="2950" t="s">
        <v>3623</v>
      </c>
      <c r="C295" s="2948" t="s">
        <v>3702</v>
      </c>
      <c r="D295" s="2949">
        <v>1</v>
      </c>
      <c r="E295" s="2949">
        <v>56.11</v>
      </c>
    </row>
    <row r="296" spans="1:5" ht="27">
      <c r="A296" s="2949">
        <v>67</v>
      </c>
      <c r="B296" s="2950" t="s">
        <v>3624</v>
      </c>
      <c r="C296" s="2948" t="s">
        <v>3703</v>
      </c>
      <c r="D296" s="2949">
        <v>1</v>
      </c>
      <c r="E296" s="2949">
        <v>56.11</v>
      </c>
    </row>
    <row r="297" spans="1:5" ht="27">
      <c r="A297" s="2949">
        <v>68</v>
      </c>
      <c r="B297" s="2950" t="s">
        <v>3625</v>
      </c>
      <c r="C297" s="2948" t="s">
        <v>3704</v>
      </c>
      <c r="D297" s="2949">
        <v>1</v>
      </c>
      <c r="E297" s="2949">
        <v>56.11</v>
      </c>
    </row>
    <row r="298" spans="1:5" ht="27">
      <c r="A298" s="2949">
        <v>69</v>
      </c>
      <c r="B298" s="2950" t="s">
        <v>3626</v>
      </c>
      <c r="C298" s="2948" t="s">
        <v>3705</v>
      </c>
      <c r="D298" s="2949">
        <v>1</v>
      </c>
      <c r="E298" s="2949">
        <v>82.1</v>
      </c>
    </row>
    <row r="299" spans="1:5" ht="27">
      <c r="A299" s="2949">
        <v>70</v>
      </c>
      <c r="B299" s="2950" t="s">
        <v>3627</v>
      </c>
      <c r="C299" s="2948" t="s">
        <v>3706</v>
      </c>
      <c r="D299" s="2949">
        <v>1</v>
      </c>
      <c r="E299" s="2949">
        <v>80.31</v>
      </c>
    </row>
    <row r="300" spans="1:5" ht="27">
      <c r="A300" s="2949">
        <v>71</v>
      </c>
      <c r="B300" s="2950" t="s">
        <v>3628</v>
      </c>
      <c r="C300" s="2948" t="s">
        <v>3707</v>
      </c>
      <c r="D300" s="2949">
        <v>1</v>
      </c>
      <c r="E300" s="2949">
        <v>50.8</v>
      </c>
    </row>
    <row r="301" spans="1:5" ht="27">
      <c r="A301" s="2949">
        <v>72</v>
      </c>
      <c r="B301" s="2950" t="s">
        <v>3629</v>
      </c>
      <c r="C301" s="2948" t="s">
        <v>3708</v>
      </c>
      <c r="D301" s="2949">
        <v>1</v>
      </c>
      <c r="E301" s="2949">
        <v>48.49</v>
      </c>
    </row>
    <row r="302" spans="1:5" ht="27">
      <c r="A302" s="2949">
        <v>73</v>
      </c>
      <c r="B302" s="2950" t="s">
        <v>3630</v>
      </c>
      <c r="C302" s="2948" t="s">
        <v>3709</v>
      </c>
      <c r="D302" s="2949">
        <v>1</v>
      </c>
      <c r="E302" s="2949">
        <v>33.270000000000003</v>
      </c>
    </row>
    <row r="303" spans="1:5" ht="27">
      <c r="A303" s="2949">
        <v>74</v>
      </c>
      <c r="B303" s="2950" t="s">
        <v>3631</v>
      </c>
      <c r="C303" s="2948" t="s">
        <v>3710</v>
      </c>
      <c r="D303" s="2949">
        <v>1</v>
      </c>
      <c r="E303" s="2949">
        <v>33.270000000000003</v>
      </c>
    </row>
    <row r="304" spans="1:5" ht="27">
      <c r="A304" s="2949">
        <v>75</v>
      </c>
      <c r="B304" s="2950" t="s">
        <v>3632</v>
      </c>
      <c r="C304" s="2948" t="s">
        <v>3711</v>
      </c>
      <c r="D304" s="2949">
        <v>1</v>
      </c>
      <c r="E304" s="2949">
        <v>47.6</v>
      </c>
    </row>
    <row r="305" spans="1:5" ht="27">
      <c r="A305" s="2949">
        <v>76</v>
      </c>
      <c r="B305" s="2950" t="s">
        <v>3633</v>
      </c>
      <c r="C305" s="2948" t="s">
        <v>3712</v>
      </c>
      <c r="D305" s="2949">
        <v>1</v>
      </c>
      <c r="E305" s="2949">
        <v>52.36</v>
      </c>
    </row>
    <row r="306" spans="1:5" ht="27">
      <c r="A306" s="2949">
        <v>77</v>
      </c>
      <c r="B306" s="2950" t="s">
        <v>3634</v>
      </c>
      <c r="C306" s="2948" t="s">
        <v>3713</v>
      </c>
      <c r="D306" s="2949">
        <v>1</v>
      </c>
      <c r="E306" s="2949">
        <v>27.38</v>
      </c>
    </row>
    <row r="307" spans="1:5" ht="27">
      <c r="A307" s="2949">
        <v>78</v>
      </c>
      <c r="B307" s="2950" t="s">
        <v>3635</v>
      </c>
      <c r="C307" s="2948" t="s">
        <v>3714</v>
      </c>
      <c r="D307" s="2949">
        <v>1</v>
      </c>
      <c r="E307" s="2949">
        <v>41.91</v>
      </c>
    </row>
    <row r="308" spans="1:5" ht="27">
      <c r="A308" s="2949">
        <v>79</v>
      </c>
      <c r="B308" s="2950" t="s">
        <v>3636</v>
      </c>
      <c r="C308" s="2948" t="s">
        <v>3715</v>
      </c>
      <c r="D308" s="2949">
        <v>1</v>
      </c>
      <c r="E308" s="2949">
        <v>42.81</v>
      </c>
    </row>
    <row r="309" spans="1:5" ht="27">
      <c r="A309" s="2949">
        <v>80</v>
      </c>
      <c r="B309" s="2950" t="s">
        <v>3637</v>
      </c>
      <c r="C309" s="2948" t="s">
        <v>3716</v>
      </c>
      <c r="D309" s="2949">
        <v>1</v>
      </c>
      <c r="E309" s="2949">
        <v>58.96</v>
      </c>
    </row>
    <row r="310" spans="1:5" ht="27">
      <c r="A310" s="2949">
        <v>81</v>
      </c>
      <c r="B310" s="2950" t="s">
        <v>3717</v>
      </c>
      <c r="C310" s="2948" t="s">
        <v>3718</v>
      </c>
      <c r="D310" s="2949">
        <v>2</v>
      </c>
      <c r="E310" s="2949">
        <v>234.81</v>
      </c>
    </row>
    <row r="311" spans="1:5" ht="27">
      <c r="A311" s="2949">
        <v>82</v>
      </c>
      <c r="B311" s="2950" t="s">
        <v>3719</v>
      </c>
      <c r="C311" s="2948" t="s">
        <v>3802</v>
      </c>
      <c r="D311" s="2949">
        <v>2</v>
      </c>
      <c r="E311" s="2949">
        <v>48.13</v>
      </c>
    </row>
    <row r="312" spans="1:5" ht="27">
      <c r="A312" s="2949">
        <v>83</v>
      </c>
      <c r="B312" s="2950" t="s">
        <v>3720</v>
      </c>
      <c r="C312" s="2948" t="s">
        <v>3803</v>
      </c>
      <c r="D312" s="2949">
        <v>2</v>
      </c>
      <c r="E312" s="2949">
        <v>46.05</v>
      </c>
    </row>
    <row r="313" spans="1:5" ht="27">
      <c r="A313" s="2949">
        <v>84</v>
      </c>
      <c r="B313" s="2950" t="s">
        <v>3721</v>
      </c>
      <c r="C313" s="2948" t="s">
        <v>3804</v>
      </c>
      <c r="D313" s="2949">
        <v>2</v>
      </c>
      <c r="E313" s="2949">
        <v>46.05</v>
      </c>
    </row>
    <row r="314" spans="1:5" ht="27">
      <c r="A314" s="2949">
        <v>85</v>
      </c>
      <c r="B314" s="2950" t="s">
        <v>3722</v>
      </c>
      <c r="C314" s="2948" t="s">
        <v>3805</v>
      </c>
      <c r="D314" s="2949">
        <v>2</v>
      </c>
      <c r="E314" s="2949">
        <v>46.53</v>
      </c>
    </row>
    <row r="315" spans="1:5" ht="27">
      <c r="A315" s="2949">
        <v>86</v>
      </c>
      <c r="B315" s="2950" t="s">
        <v>3723</v>
      </c>
      <c r="C315" s="2948" t="s">
        <v>3806</v>
      </c>
      <c r="D315" s="2949">
        <v>2</v>
      </c>
      <c r="E315" s="2949">
        <v>51.74</v>
      </c>
    </row>
    <row r="316" spans="1:5" ht="27">
      <c r="A316" s="2949">
        <v>87</v>
      </c>
      <c r="B316" s="2950" t="s">
        <v>3724</v>
      </c>
      <c r="C316" s="2948" t="s">
        <v>3807</v>
      </c>
      <c r="D316" s="2949">
        <v>2</v>
      </c>
      <c r="E316" s="2949">
        <v>51.74</v>
      </c>
    </row>
    <row r="317" spans="1:5" ht="27">
      <c r="A317" s="2949">
        <v>88</v>
      </c>
      <c r="B317" s="2950" t="s">
        <v>3725</v>
      </c>
      <c r="C317" s="2948" t="s">
        <v>3808</v>
      </c>
      <c r="D317" s="2949">
        <v>2</v>
      </c>
      <c r="E317" s="2949">
        <v>40</v>
      </c>
    </row>
    <row r="318" spans="1:5" ht="27">
      <c r="A318" s="2949">
        <v>89</v>
      </c>
      <c r="B318" s="2950" t="s">
        <v>3726</v>
      </c>
      <c r="C318" s="2948" t="s">
        <v>3809</v>
      </c>
      <c r="D318" s="2949">
        <v>2</v>
      </c>
      <c r="E318" s="2949">
        <v>40.85</v>
      </c>
    </row>
    <row r="319" spans="1:5" ht="27">
      <c r="A319" s="2949">
        <v>90</v>
      </c>
      <c r="B319" s="2950" t="s">
        <v>3727</v>
      </c>
      <c r="C319" s="2948" t="s">
        <v>3810</v>
      </c>
      <c r="D319" s="2949">
        <v>2</v>
      </c>
      <c r="E319" s="2949">
        <v>38.21</v>
      </c>
    </row>
    <row r="320" spans="1:5" ht="27">
      <c r="A320" s="2949">
        <v>91</v>
      </c>
      <c r="B320" s="2950" t="s">
        <v>3728</v>
      </c>
      <c r="C320" s="2948" t="s">
        <v>3811</v>
      </c>
      <c r="D320" s="2949">
        <v>2</v>
      </c>
      <c r="E320" s="2949">
        <v>39.53</v>
      </c>
    </row>
    <row r="321" spans="1:5" ht="27">
      <c r="A321" s="2949">
        <v>92</v>
      </c>
      <c r="B321" s="2950" t="s">
        <v>3729</v>
      </c>
      <c r="C321" s="2948" t="s">
        <v>3812</v>
      </c>
      <c r="D321" s="2949">
        <v>2</v>
      </c>
      <c r="E321" s="2949">
        <v>56.2</v>
      </c>
    </row>
    <row r="322" spans="1:5" ht="27">
      <c r="A322" s="2949">
        <v>93</v>
      </c>
      <c r="B322" s="2950" t="s">
        <v>3730</v>
      </c>
      <c r="C322" s="2948" t="s">
        <v>3813</v>
      </c>
      <c r="D322" s="2949">
        <v>2</v>
      </c>
      <c r="E322" s="2949">
        <v>377.65</v>
      </c>
    </row>
    <row r="323" spans="1:5" ht="27">
      <c r="A323" s="2949">
        <v>94</v>
      </c>
      <c r="B323" s="2950" t="s">
        <v>3731</v>
      </c>
      <c r="C323" s="2948" t="s">
        <v>3814</v>
      </c>
      <c r="D323" s="2949">
        <v>2</v>
      </c>
      <c r="E323" s="2949">
        <v>45.87</v>
      </c>
    </row>
    <row r="324" spans="1:5" ht="27">
      <c r="A324" s="2949">
        <v>95</v>
      </c>
      <c r="B324" s="2950" t="s">
        <v>3732</v>
      </c>
      <c r="C324" s="2948" t="s">
        <v>3815</v>
      </c>
      <c r="D324" s="2949">
        <v>2</v>
      </c>
      <c r="E324" s="2949">
        <v>32.380000000000003</v>
      </c>
    </row>
    <row r="325" spans="1:5" ht="27">
      <c r="A325" s="2949">
        <v>96</v>
      </c>
      <c r="B325" s="2950" t="s">
        <v>3733</v>
      </c>
      <c r="C325" s="2948" t="s">
        <v>3816</v>
      </c>
      <c r="D325" s="2949">
        <v>2</v>
      </c>
      <c r="E325" s="2949">
        <v>31.22</v>
      </c>
    </row>
    <row r="326" spans="1:5" ht="27">
      <c r="A326" s="2949">
        <v>97</v>
      </c>
      <c r="B326" s="2950" t="s">
        <v>3734</v>
      </c>
      <c r="C326" s="2948" t="s">
        <v>3817</v>
      </c>
      <c r="D326" s="2949">
        <v>2</v>
      </c>
      <c r="E326" s="2949">
        <v>33.54</v>
      </c>
    </row>
    <row r="327" spans="1:5" ht="27">
      <c r="A327" s="2949">
        <v>98</v>
      </c>
      <c r="B327" s="2950" t="s">
        <v>3735</v>
      </c>
      <c r="C327" s="2948" t="s">
        <v>3818</v>
      </c>
      <c r="D327" s="2949">
        <v>2</v>
      </c>
      <c r="E327" s="2949">
        <v>32.380000000000003</v>
      </c>
    </row>
    <row r="328" spans="1:5" ht="27">
      <c r="A328" s="2949">
        <v>99</v>
      </c>
      <c r="B328" s="2950" t="s">
        <v>3736</v>
      </c>
      <c r="C328" s="2948" t="s">
        <v>3819</v>
      </c>
      <c r="D328" s="2949">
        <v>2</v>
      </c>
      <c r="E328" s="2949">
        <v>64.760000000000005</v>
      </c>
    </row>
    <row r="329" spans="1:5" ht="27">
      <c r="A329" s="2949">
        <v>100</v>
      </c>
      <c r="B329" s="2950" t="s">
        <v>3737</v>
      </c>
      <c r="C329" s="2948" t="s">
        <v>3820</v>
      </c>
      <c r="D329" s="2949">
        <v>2</v>
      </c>
      <c r="E329" s="2949">
        <v>21.59</v>
      </c>
    </row>
    <row r="330" spans="1:5" ht="27">
      <c r="A330" s="2949">
        <v>101</v>
      </c>
      <c r="B330" s="2950" t="s">
        <v>3738</v>
      </c>
      <c r="C330" s="2948" t="s">
        <v>3821</v>
      </c>
      <c r="D330" s="2949">
        <v>2</v>
      </c>
      <c r="E330" s="2949">
        <v>21.59</v>
      </c>
    </row>
    <row r="331" spans="1:5" ht="27">
      <c r="A331" s="2949">
        <v>102</v>
      </c>
      <c r="B331" s="2950" t="s">
        <v>3739</v>
      </c>
      <c r="C331" s="2948" t="s">
        <v>3822</v>
      </c>
      <c r="D331" s="2949">
        <v>2</v>
      </c>
      <c r="E331" s="2949">
        <v>21.59</v>
      </c>
    </row>
    <row r="332" spans="1:5" ht="27">
      <c r="A332" s="2949">
        <v>103</v>
      </c>
      <c r="B332" s="2950" t="s">
        <v>3740</v>
      </c>
      <c r="C332" s="2948" t="s">
        <v>3823</v>
      </c>
      <c r="D332" s="2949">
        <v>2</v>
      </c>
      <c r="E332" s="2949">
        <v>22.61</v>
      </c>
    </row>
    <row r="333" spans="1:5" ht="27">
      <c r="A333" s="2949">
        <v>104</v>
      </c>
      <c r="B333" s="2950" t="s">
        <v>3741</v>
      </c>
      <c r="C333" s="2948" t="s">
        <v>3824</v>
      </c>
      <c r="D333" s="2949">
        <v>2</v>
      </c>
      <c r="E333" s="2949">
        <v>51.26</v>
      </c>
    </row>
    <row r="334" spans="1:5" ht="27">
      <c r="A334" s="2949">
        <v>105</v>
      </c>
      <c r="B334" s="2950" t="s">
        <v>3742</v>
      </c>
      <c r="C334" s="2948" t="s">
        <v>3825</v>
      </c>
      <c r="D334" s="2949">
        <v>2</v>
      </c>
      <c r="E334" s="2949">
        <v>48.93</v>
      </c>
    </row>
    <row r="335" spans="1:5" ht="27">
      <c r="A335" s="2949">
        <v>106</v>
      </c>
      <c r="B335" s="2950" t="s">
        <v>3743</v>
      </c>
      <c r="C335" s="2948" t="s">
        <v>3826</v>
      </c>
      <c r="D335" s="2949">
        <v>2</v>
      </c>
      <c r="E335" s="2949">
        <v>48.93</v>
      </c>
    </row>
    <row r="336" spans="1:5" ht="27">
      <c r="A336" s="2949">
        <v>107</v>
      </c>
      <c r="B336" s="2950" t="s">
        <v>3744</v>
      </c>
      <c r="C336" s="2948" t="s">
        <v>3827</v>
      </c>
      <c r="D336" s="2949">
        <v>2</v>
      </c>
      <c r="E336" s="2949">
        <v>48.93</v>
      </c>
    </row>
    <row r="337" spans="1:5" ht="27">
      <c r="A337" s="2949">
        <v>108</v>
      </c>
      <c r="B337" s="2950" t="s">
        <v>3745</v>
      </c>
      <c r="C337" s="2948" t="s">
        <v>3828</v>
      </c>
      <c r="D337" s="2949">
        <v>2</v>
      </c>
      <c r="E337" s="2949">
        <v>48.93</v>
      </c>
    </row>
    <row r="338" spans="1:5" ht="27">
      <c r="A338" s="2949">
        <v>109</v>
      </c>
      <c r="B338" s="2950" t="s">
        <v>3746</v>
      </c>
      <c r="C338" s="2948" t="s">
        <v>3829</v>
      </c>
      <c r="D338" s="2949">
        <v>2</v>
      </c>
      <c r="E338" s="2949">
        <v>48.93</v>
      </c>
    </row>
    <row r="339" spans="1:5" ht="27">
      <c r="A339" s="2949">
        <v>110</v>
      </c>
      <c r="B339" s="2950" t="s">
        <v>3747</v>
      </c>
      <c r="C339" s="2948" t="s">
        <v>3830</v>
      </c>
      <c r="D339" s="2949">
        <v>2</v>
      </c>
      <c r="E339" s="2949">
        <v>48.93</v>
      </c>
    </row>
    <row r="340" spans="1:5" ht="27">
      <c r="A340" s="2949">
        <v>111</v>
      </c>
      <c r="B340" s="2950" t="s">
        <v>3748</v>
      </c>
      <c r="C340" s="2948" t="s">
        <v>3831</v>
      </c>
      <c r="D340" s="2949">
        <v>2</v>
      </c>
      <c r="E340" s="2949">
        <v>61.67</v>
      </c>
    </row>
    <row r="341" spans="1:5" ht="27">
      <c r="A341" s="2949">
        <v>112</v>
      </c>
      <c r="B341" s="2950" t="s">
        <v>3749</v>
      </c>
      <c r="C341" s="2948" t="s">
        <v>3832</v>
      </c>
      <c r="D341" s="2949">
        <v>2</v>
      </c>
      <c r="E341" s="2949">
        <v>26.02</v>
      </c>
    </row>
    <row r="342" spans="1:5" ht="27">
      <c r="A342" s="2949">
        <v>113</v>
      </c>
      <c r="B342" s="2950" t="s">
        <v>3750</v>
      </c>
      <c r="C342" s="2948" t="s">
        <v>3833</v>
      </c>
      <c r="D342" s="2949">
        <v>2</v>
      </c>
      <c r="E342" s="2949">
        <v>26.34</v>
      </c>
    </row>
    <row r="343" spans="1:5" ht="27">
      <c r="A343" s="2949">
        <v>114</v>
      </c>
      <c r="B343" s="2950" t="s">
        <v>3751</v>
      </c>
      <c r="C343" s="2948" t="s">
        <v>3834</v>
      </c>
      <c r="D343" s="2949">
        <v>2</v>
      </c>
      <c r="E343" s="2949">
        <v>44.51</v>
      </c>
    </row>
    <row r="344" spans="1:5" ht="27">
      <c r="A344" s="2949">
        <v>115</v>
      </c>
      <c r="B344" s="2950" t="s">
        <v>3752</v>
      </c>
      <c r="C344" s="2948" t="s">
        <v>3835</v>
      </c>
      <c r="D344" s="2949">
        <v>2</v>
      </c>
      <c r="E344" s="2949">
        <v>31.49</v>
      </c>
    </row>
    <row r="345" spans="1:5" ht="27">
      <c r="A345" s="2949">
        <v>116</v>
      </c>
      <c r="B345" s="2950" t="s">
        <v>3753</v>
      </c>
      <c r="C345" s="2948" t="s">
        <v>3836</v>
      </c>
      <c r="D345" s="2949">
        <v>2</v>
      </c>
      <c r="E345" s="2949">
        <v>28.93</v>
      </c>
    </row>
    <row r="346" spans="1:5" ht="27">
      <c r="A346" s="2949">
        <v>117</v>
      </c>
      <c r="B346" s="2950" t="s">
        <v>3754</v>
      </c>
      <c r="C346" s="2948" t="s">
        <v>3837</v>
      </c>
      <c r="D346" s="2949">
        <v>2</v>
      </c>
      <c r="E346" s="2949">
        <v>38.450000000000003</v>
      </c>
    </row>
    <row r="347" spans="1:5" ht="27">
      <c r="A347" s="2949">
        <v>118</v>
      </c>
      <c r="B347" s="2950" t="s">
        <v>3755</v>
      </c>
      <c r="C347" s="2948" t="s">
        <v>3838</v>
      </c>
      <c r="D347" s="2949">
        <v>2</v>
      </c>
      <c r="E347" s="2949">
        <v>33.76</v>
      </c>
    </row>
    <row r="348" spans="1:5" ht="27">
      <c r="A348" s="2949">
        <v>119</v>
      </c>
      <c r="B348" s="2950" t="s">
        <v>3756</v>
      </c>
      <c r="C348" s="2948" t="s">
        <v>3839</v>
      </c>
      <c r="D348" s="2949">
        <v>2</v>
      </c>
      <c r="E348" s="2949">
        <v>42.13</v>
      </c>
    </row>
    <row r="349" spans="1:5" ht="27">
      <c r="A349" s="2949">
        <v>120</v>
      </c>
      <c r="B349" s="2950" t="s">
        <v>3757</v>
      </c>
      <c r="C349" s="2948" t="s">
        <v>3840</v>
      </c>
      <c r="D349" s="2949">
        <v>2</v>
      </c>
      <c r="E349" s="2949">
        <v>44.41</v>
      </c>
    </row>
    <row r="350" spans="1:5" ht="27">
      <c r="A350" s="2949">
        <v>121</v>
      </c>
      <c r="B350" s="2950" t="s">
        <v>3758</v>
      </c>
      <c r="C350" s="2948" t="s">
        <v>3841</v>
      </c>
      <c r="D350" s="2949">
        <v>2</v>
      </c>
      <c r="E350" s="2949">
        <v>47.27</v>
      </c>
    </row>
    <row r="351" spans="1:5" ht="27">
      <c r="A351" s="2949">
        <v>122</v>
      </c>
      <c r="B351" s="2950" t="s">
        <v>3759</v>
      </c>
      <c r="C351" s="2948" t="s">
        <v>3842</v>
      </c>
      <c r="D351" s="2949">
        <v>2</v>
      </c>
      <c r="E351" s="2949">
        <v>48.69</v>
      </c>
    </row>
    <row r="352" spans="1:5" ht="27">
      <c r="A352" s="2949">
        <v>123</v>
      </c>
      <c r="B352" s="2950" t="s">
        <v>3760</v>
      </c>
      <c r="C352" s="2948" t="s">
        <v>3843</v>
      </c>
      <c r="D352" s="2949">
        <v>2</v>
      </c>
      <c r="E352" s="2949">
        <v>48.69</v>
      </c>
    </row>
    <row r="353" spans="1:5" ht="27">
      <c r="A353" s="2949">
        <v>124</v>
      </c>
      <c r="B353" s="2950" t="s">
        <v>3761</v>
      </c>
      <c r="C353" s="2948" t="s">
        <v>3844</v>
      </c>
      <c r="D353" s="2949">
        <v>2</v>
      </c>
      <c r="E353" s="2949">
        <v>47.27</v>
      </c>
    </row>
    <row r="354" spans="1:5" ht="27">
      <c r="A354" s="2949">
        <v>125</v>
      </c>
      <c r="B354" s="2950" t="s">
        <v>3762</v>
      </c>
      <c r="C354" s="2948" t="s">
        <v>3845</v>
      </c>
      <c r="D354" s="2949">
        <v>2</v>
      </c>
      <c r="E354" s="2949">
        <v>44.41</v>
      </c>
    </row>
    <row r="355" spans="1:5" ht="27">
      <c r="A355" s="2949">
        <v>126</v>
      </c>
      <c r="B355" s="2950" t="s">
        <v>3763</v>
      </c>
      <c r="C355" s="2948" t="s">
        <v>3846</v>
      </c>
      <c r="D355" s="2949">
        <v>2</v>
      </c>
      <c r="E355" s="2949">
        <v>41.88</v>
      </c>
    </row>
    <row r="356" spans="1:5" ht="27">
      <c r="A356" s="2949">
        <v>127</v>
      </c>
      <c r="B356" s="2950" t="s">
        <v>3764</v>
      </c>
      <c r="C356" s="2948" t="s">
        <v>3847</v>
      </c>
      <c r="D356" s="2949">
        <v>2</v>
      </c>
      <c r="E356" s="2949">
        <v>27.87</v>
      </c>
    </row>
    <row r="357" spans="1:5" ht="27">
      <c r="A357" s="2949">
        <v>128</v>
      </c>
      <c r="B357" s="2950" t="s">
        <v>3765</v>
      </c>
      <c r="C357" s="2948" t="s">
        <v>3848</v>
      </c>
      <c r="D357" s="2949">
        <v>2</v>
      </c>
      <c r="E357" s="2949">
        <v>25.38</v>
      </c>
    </row>
    <row r="358" spans="1:5" ht="27">
      <c r="A358" s="2949">
        <v>129</v>
      </c>
      <c r="B358" s="2950" t="s">
        <v>3766</v>
      </c>
      <c r="C358" s="2948" t="s">
        <v>3849</v>
      </c>
      <c r="D358" s="2949">
        <v>2</v>
      </c>
      <c r="E358" s="2949">
        <v>25.38</v>
      </c>
    </row>
    <row r="359" spans="1:5" ht="27">
      <c r="A359" s="2949">
        <v>130</v>
      </c>
      <c r="B359" s="2950" t="s">
        <v>3767</v>
      </c>
      <c r="C359" s="2948" t="s">
        <v>3850</v>
      </c>
      <c r="D359" s="2949">
        <v>2</v>
      </c>
      <c r="E359" s="2949">
        <v>26.56</v>
      </c>
    </row>
    <row r="360" spans="1:5" ht="27">
      <c r="A360" s="2949">
        <v>131</v>
      </c>
      <c r="B360" s="2950" t="s">
        <v>3768</v>
      </c>
      <c r="C360" s="2948" t="s">
        <v>3851</v>
      </c>
      <c r="D360" s="2949">
        <v>2</v>
      </c>
      <c r="E360" s="2949">
        <v>28.93</v>
      </c>
    </row>
    <row r="361" spans="1:5" ht="27">
      <c r="A361" s="2949">
        <v>132</v>
      </c>
      <c r="B361" s="2950" t="s">
        <v>3769</v>
      </c>
      <c r="C361" s="2948" t="s">
        <v>3852</v>
      </c>
      <c r="D361" s="2949">
        <v>2</v>
      </c>
      <c r="E361" s="2949">
        <v>32.49</v>
      </c>
    </row>
    <row r="362" spans="1:5" ht="27">
      <c r="A362" s="2949">
        <v>133</v>
      </c>
      <c r="B362" s="2950" t="s">
        <v>3770</v>
      </c>
      <c r="C362" s="2948" t="s">
        <v>3853</v>
      </c>
      <c r="D362" s="2949">
        <v>2</v>
      </c>
      <c r="E362" s="2949">
        <v>37.26</v>
      </c>
    </row>
    <row r="363" spans="1:5" ht="27">
      <c r="A363" s="2949">
        <v>134</v>
      </c>
      <c r="B363" s="2950" t="s">
        <v>3771</v>
      </c>
      <c r="C363" s="2948" t="s">
        <v>3854</v>
      </c>
      <c r="D363" s="2949">
        <v>2</v>
      </c>
      <c r="E363" s="2949">
        <v>41.61</v>
      </c>
    </row>
    <row r="364" spans="1:5" ht="27">
      <c r="A364" s="2949">
        <v>135</v>
      </c>
      <c r="B364" s="2950" t="s">
        <v>3772</v>
      </c>
      <c r="C364" s="2948" t="s">
        <v>3855</v>
      </c>
      <c r="D364" s="2949">
        <v>2</v>
      </c>
      <c r="E364" s="2949">
        <v>47.25</v>
      </c>
    </row>
    <row r="365" spans="1:5" ht="27">
      <c r="A365" s="2949">
        <v>136</v>
      </c>
      <c r="B365" s="2950" t="s">
        <v>3773</v>
      </c>
      <c r="C365" s="2948" t="s">
        <v>3856</v>
      </c>
      <c r="D365" s="2949">
        <v>2</v>
      </c>
      <c r="E365" s="2949">
        <v>57.18</v>
      </c>
    </row>
    <row r="366" spans="1:5" ht="27">
      <c r="A366" s="2949">
        <v>137</v>
      </c>
      <c r="B366" s="2950" t="s">
        <v>3774</v>
      </c>
      <c r="C366" s="2948" t="s">
        <v>3857</v>
      </c>
      <c r="D366" s="2949">
        <v>2</v>
      </c>
      <c r="E366" s="2949">
        <v>68.510000000000005</v>
      </c>
    </row>
    <row r="367" spans="1:5" ht="27">
      <c r="A367" s="2949">
        <v>138</v>
      </c>
      <c r="B367" s="2950" t="s">
        <v>3775</v>
      </c>
      <c r="C367" s="2948" t="s">
        <v>3858</v>
      </c>
      <c r="D367" s="2949">
        <v>2</v>
      </c>
      <c r="E367" s="2949">
        <v>81.319999999999993</v>
      </c>
    </row>
    <row r="368" spans="1:5" ht="27">
      <c r="A368" s="2949">
        <v>139</v>
      </c>
      <c r="B368" s="2950" t="s">
        <v>3776</v>
      </c>
      <c r="C368" s="2948" t="s">
        <v>3859</v>
      </c>
      <c r="D368" s="2949">
        <v>2</v>
      </c>
      <c r="E368" s="2949">
        <v>62.24</v>
      </c>
    </row>
    <row r="369" spans="1:5" ht="27">
      <c r="A369" s="2949">
        <v>140</v>
      </c>
      <c r="B369" s="2950" t="s">
        <v>3777</v>
      </c>
      <c r="C369" s="2948" t="s">
        <v>3860</v>
      </c>
      <c r="D369" s="2949">
        <v>2</v>
      </c>
      <c r="E369" s="2949">
        <v>33.44</v>
      </c>
    </row>
    <row r="370" spans="1:5" ht="27">
      <c r="A370" s="2949">
        <v>141</v>
      </c>
      <c r="B370" s="2950" t="s">
        <v>3778</v>
      </c>
      <c r="C370" s="2948" t="s">
        <v>3861</v>
      </c>
      <c r="D370" s="2949">
        <v>2</v>
      </c>
      <c r="E370" s="2949">
        <v>49.97</v>
      </c>
    </row>
    <row r="371" spans="1:5" ht="27">
      <c r="A371" s="2949">
        <v>142</v>
      </c>
      <c r="B371" s="2950" t="s">
        <v>3779</v>
      </c>
      <c r="C371" s="2948" t="s">
        <v>3862</v>
      </c>
      <c r="D371" s="2949">
        <v>2</v>
      </c>
      <c r="E371" s="2949">
        <v>69.680000000000007</v>
      </c>
    </row>
    <row r="372" spans="1:5" ht="27">
      <c r="A372" s="2949">
        <v>143</v>
      </c>
      <c r="B372" s="2950" t="s">
        <v>3780</v>
      </c>
      <c r="C372" s="2948" t="s">
        <v>3863</v>
      </c>
      <c r="D372" s="2949">
        <v>2</v>
      </c>
      <c r="E372" s="2949">
        <v>91.49</v>
      </c>
    </row>
    <row r="373" spans="1:5" ht="27">
      <c r="A373" s="2949">
        <v>144</v>
      </c>
      <c r="B373" s="2950" t="s">
        <v>3781</v>
      </c>
      <c r="C373" s="2948" t="s">
        <v>3864</v>
      </c>
      <c r="D373" s="2949">
        <v>2</v>
      </c>
      <c r="E373" s="2949">
        <v>98.72</v>
      </c>
    </row>
    <row r="374" spans="1:5" ht="27">
      <c r="A374" s="2949">
        <v>145</v>
      </c>
      <c r="B374" s="2950" t="s">
        <v>3782</v>
      </c>
      <c r="C374" s="2948" t="s">
        <v>3865</v>
      </c>
      <c r="D374" s="2949">
        <v>2</v>
      </c>
      <c r="E374" s="2949">
        <v>39.25</v>
      </c>
    </row>
    <row r="375" spans="1:5" ht="27">
      <c r="A375" s="2949">
        <v>146</v>
      </c>
      <c r="B375" s="2950" t="s">
        <v>3783</v>
      </c>
      <c r="C375" s="2948" t="s">
        <v>3866</v>
      </c>
      <c r="D375" s="2949">
        <v>2</v>
      </c>
      <c r="E375" s="2949">
        <v>53.66</v>
      </c>
    </row>
    <row r="376" spans="1:5" ht="27">
      <c r="A376" s="2949">
        <v>147</v>
      </c>
      <c r="B376" s="2950" t="s">
        <v>3784</v>
      </c>
      <c r="C376" s="2948" t="s">
        <v>3867</v>
      </c>
      <c r="D376" s="2949">
        <v>2</v>
      </c>
      <c r="E376" s="2949">
        <v>41.73</v>
      </c>
    </row>
    <row r="377" spans="1:5" ht="27">
      <c r="A377" s="2949">
        <v>148</v>
      </c>
      <c r="B377" s="2950" t="s">
        <v>3785</v>
      </c>
      <c r="C377" s="2948" t="s">
        <v>3868</v>
      </c>
      <c r="D377" s="2949">
        <v>2</v>
      </c>
      <c r="E377" s="2949">
        <v>77.48</v>
      </c>
    </row>
    <row r="378" spans="1:5" ht="27">
      <c r="A378" s="2949">
        <v>149</v>
      </c>
      <c r="B378" s="2950" t="s">
        <v>3786</v>
      </c>
      <c r="C378" s="2948" t="s">
        <v>3869</v>
      </c>
      <c r="D378" s="2949">
        <v>2</v>
      </c>
      <c r="E378" s="2949">
        <v>77.349999999999994</v>
      </c>
    </row>
    <row r="379" spans="1:5" ht="27">
      <c r="A379" s="2949">
        <v>150</v>
      </c>
      <c r="B379" s="2950" t="s">
        <v>3787</v>
      </c>
      <c r="C379" s="2948" t="s">
        <v>3870</v>
      </c>
      <c r="D379" s="2949">
        <v>2</v>
      </c>
      <c r="E379" s="2949">
        <v>40.65</v>
      </c>
    </row>
    <row r="380" spans="1:5" ht="27">
      <c r="A380" s="2949">
        <v>151</v>
      </c>
      <c r="B380" s="2950" t="s">
        <v>3788</v>
      </c>
      <c r="C380" s="2948" t="s">
        <v>3871</v>
      </c>
      <c r="D380" s="2949">
        <v>2</v>
      </c>
      <c r="E380" s="2949">
        <v>40.65</v>
      </c>
    </row>
    <row r="381" spans="1:5" ht="27">
      <c r="A381" s="2949">
        <v>152</v>
      </c>
      <c r="B381" s="2950" t="s">
        <v>3789</v>
      </c>
      <c r="C381" s="2948" t="s">
        <v>3872</v>
      </c>
      <c r="D381" s="2949">
        <v>2</v>
      </c>
      <c r="E381" s="2949">
        <v>40.65</v>
      </c>
    </row>
    <row r="382" spans="1:5" ht="27">
      <c r="A382" s="2949">
        <v>153</v>
      </c>
      <c r="B382" s="2950" t="s">
        <v>3790</v>
      </c>
      <c r="C382" s="2948" t="s">
        <v>3873</v>
      </c>
      <c r="D382" s="2949">
        <v>2</v>
      </c>
      <c r="E382" s="2949">
        <v>40.65</v>
      </c>
    </row>
    <row r="383" spans="1:5" ht="27">
      <c r="A383" s="2949">
        <v>154</v>
      </c>
      <c r="B383" s="2950" t="s">
        <v>3791</v>
      </c>
      <c r="C383" s="2948" t="s">
        <v>3874</v>
      </c>
      <c r="D383" s="2949">
        <v>2</v>
      </c>
      <c r="E383" s="2949">
        <v>40.65</v>
      </c>
    </row>
    <row r="384" spans="1:5" ht="27">
      <c r="A384" s="2949">
        <v>155</v>
      </c>
      <c r="B384" s="2950" t="s">
        <v>3792</v>
      </c>
      <c r="C384" s="2948" t="s">
        <v>3875</v>
      </c>
      <c r="D384" s="2949">
        <v>2</v>
      </c>
      <c r="E384" s="2949">
        <v>40.65</v>
      </c>
    </row>
    <row r="385" spans="1:5" ht="27">
      <c r="A385" s="2949">
        <v>156</v>
      </c>
      <c r="B385" s="2950" t="s">
        <v>3793</v>
      </c>
      <c r="C385" s="2948" t="s">
        <v>3876</v>
      </c>
      <c r="D385" s="2949">
        <v>2</v>
      </c>
      <c r="E385" s="2949">
        <v>30.18</v>
      </c>
    </row>
    <row r="386" spans="1:5" ht="27">
      <c r="A386" s="2949">
        <v>157</v>
      </c>
      <c r="B386" s="2950" t="s">
        <v>3794</v>
      </c>
      <c r="C386" s="2948" t="s">
        <v>3877</v>
      </c>
      <c r="D386" s="2949">
        <v>2</v>
      </c>
      <c r="E386" s="2949">
        <v>28.1</v>
      </c>
    </row>
    <row r="387" spans="1:5" ht="27">
      <c r="A387" s="2949">
        <v>158</v>
      </c>
      <c r="B387" s="2950" t="s">
        <v>3795</v>
      </c>
      <c r="C387" s="2948" t="s">
        <v>3878</v>
      </c>
      <c r="D387" s="2949">
        <v>2</v>
      </c>
      <c r="E387" s="2949">
        <v>29.14</v>
      </c>
    </row>
    <row r="388" spans="1:5" ht="27">
      <c r="A388" s="2949">
        <v>159</v>
      </c>
      <c r="B388" s="2950" t="s">
        <v>3796</v>
      </c>
      <c r="C388" s="2948" t="s">
        <v>3879</v>
      </c>
      <c r="D388" s="2949">
        <v>2</v>
      </c>
      <c r="E388" s="2949">
        <v>29.14</v>
      </c>
    </row>
    <row r="389" spans="1:5" ht="27">
      <c r="A389" s="2949">
        <v>160</v>
      </c>
      <c r="B389" s="2950" t="s">
        <v>3797</v>
      </c>
      <c r="C389" s="2948" t="s">
        <v>3880</v>
      </c>
      <c r="D389" s="2949">
        <v>2</v>
      </c>
      <c r="E389" s="2949">
        <v>29.14</v>
      </c>
    </row>
    <row r="390" spans="1:5" ht="27">
      <c r="A390" s="2949">
        <v>161</v>
      </c>
      <c r="B390" s="2950" t="s">
        <v>3798</v>
      </c>
      <c r="C390" s="2948" t="s">
        <v>3881</v>
      </c>
      <c r="D390" s="2949">
        <v>2</v>
      </c>
      <c r="E390" s="2949">
        <v>29.14</v>
      </c>
    </row>
    <row r="391" spans="1:5" ht="27">
      <c r="A391" s="2949">
        <v>162</v>
      </c>
      <c r="B391" s="2950" t="s">
        <v>3799</v>
      </c>
      <c r="C391" s="2948" t="s">
        <v>3882</v>
      </c>
      <c r="D391" s="2949">
        <v>2</v>
      </c>
      <c r="E391" s="2949">
        <v>29.14</v>
      </c>
    </row>
    <row r="392" spans="1:5" ht="27">
      <c r="A392" s="2949">
        <v>163</v>
      </c>
      <c r="B392" s="2950" t="s">
        <v>3800</v>
      </c>
      <c r="C392" s="2948" t="s">
        <v>3883</v>
      </c>
      <c r="D392" s="2949">
        <v>2</v>
      </c>
      <c r="E392" s="2949">
        <v>29.14</v>
      </c>
    </row>
    <row r="393" spans="1:5" ht="27">
      <c r="A393" s="2949">
        <v>164</v>
      </c>
      <c r="B393" s="2950" t="s">
        <v>3801</v>
      </c>
      <c r="C393" s="2948" t="s">
        <v>3884</v>
      </c>
      <c r="D393" s="2949">
        <v>2</v>
      </c>
      <c r="E393" s="2949">
        <v>30.53</v>
      </c>
    </row>
    <row r="394" spans="1:5" ht="27">
      <c r="A394" s="2949">
        <v>165</v>
      </c>
      <c r="B394" s="2950" t="s">
        <v>3885</v>
      </c>
      <c r="C394" s="2948" t="s">
        <v>3886</v>
      </c>
      <c r="D394" s="2949">
        <v>3</v>
      </c>
      <c r="E394" s="2949">
        <v>194.79</v>
      </c>
    </row>
    <row r="395" spans="1:5" ht="27">
      <c r="A395" s="2949">
        <v>166</v>
      </c>
      <c r="B395" s="2950" t="s">
        <v>3887</v>
      </c>
      <c r="C395" s="2948" t="s">
        <v>3953</v>
      </c>
      <c r="D395" s="2949">
        <v>3</v>
      </c>
      <c r="E395" s="2949">
        <v>188.12</v>
      </c>
    </row>
    <row r="396" spans="1:5" ht="27">
      <c r="A396" s="2949">
        <v>167</v>
      </c>
      <c r="B396" s="2950" t="s">
        <v>3888</v>
      </c>
      <c r="C396" s="2948" t="s">
        <v>3954</v>
      </c>
      <c r="D396" s="2949">
        <v>3</v>
      </c>
      <c r="E396" s="2949">
        <v>162.9</v>
      </c>
    </row>
    <row r="397" spans="1:5" ht="27">
      <c r="A397" s="2949">
        <v>168</v>
      </c>
      <c r="B397" s="2950" t="s">
        <v>3889</v>
      </c>
      <c r="C397" s="2948" t="s">
        <v>3955</v>
      </c>
      <c r="D397" s="2949">
        <v>3</v>
      </c>
      <c r="E397" s="2949">
        <v>195.78</v>
      </c>
    </row>
    <row r="398" spans="1:5" ht="27">
      <c r="A398" s="2949">
        <v>169</v>
      </c>
      <c r="B398" s="2950" t="s">
        <v>3890</v>
      </c>
      <c r="C398" s="2948" t="s">
        <v>3956</v>
      </c>
      <c r="D398" s="2949">
        <v>3</v>
      </c>
      <c r="E398" s="2949">
        <v>165.67</v>
      </c>
    </row>
    <row r="399" spans="1:5" ht="27">
      <c r="A399" s="2949">
        <v>170</v>
      </c>
      <c r="B399" s="2950" t="s">
        <v>3891</v>
      </c>
      <c r="C399" s="2948" t="s">
        <v>3957</v>
      </c>
      <c r="D399" s="2949">
        <v>3</v>
      </c>
      <c r="E399" s="2949">
        <v>159.47999999999999</v>
      </c>
    </row>
    <row r="400" spans="1:5" ht="27">
      <c r="A400" s="2949">
        <v>171</v>
      </c>
      <c r="B400" s="2950" t="s">
        <v>3892</v>
      </c>
      <c r="C400" s="2948" t="s">
        <v>3958</v>
      </c>
      <c r="D400" s="2949">
        <v>3</v>
      </c>
      <c r="E400" s="2949">
        <v>165.09</v>
      </c>
    </row>
    <row r="401" spans="1:5" ht="27">
      <c r="A401" s="2949">
        <v>172</v>
      </c>
      <c r="B401" s="2950" t="s">
        <v>3893</v>
      </c>
      <c r="C401" s="2948" t="s">
        <v>3959</v>
      </c>
      <c r="D401" s="2949">
        <v>3</v>
      </c>
      <c r="E401" s="2949">
        <v>198.38</v>
      </c>
    </row>
    <row r="402" spans="1:5" ht="27">
      <c r="A402" s="2949">
        <v>173</v>
      </c>
      <c r="B402" s="2950" t="s">
        <v>3894</v>
      </c>
      <c r="C402" s="2948" t="s">
        <v>3960</v>
      </c>
      <c r="D402" s="2949">
        <v>3</v>
      </c>
      <c r="E402" s="2949">
        <v>26.12</v>
      </c>
    </row>
    <row r="403" spans="1:5" ht="27">
      <c r="A403" s="2949">
        <v>174</v>
      </c>
      <c r="B403" s="2950" t="s">
        <v>3895</v>
      </c>
      <c r="C403" s="2948" t="s">
        <v>3961</v>
      </c>
      <c r="D403" s="2949">
        <v>3</v>
      </c>
      <c r="E403" s="2949">
        <v>36.93</v>
      </c>
    </row>
    <row r="404" spans="1:5" ht="27">
      <c r="A404" s="2949">
        <v>175</v>
      </c>
      <c r="B404" s="2950" t="s">
        <v>3896</v>
      </c>
      <c r="C404" s="2948" t="s">
        <v>3962</v>
      </c>
      <c r="D404" s="2949">
        <v>3</v>
      </c>
      <c r="E404" s="2949">
        <v>21.85</v>
      </c>
    </row>
    <row r="405" spans="1:5" ht="27">
      <c r="A405" s="2949">
        <v>176</v>
      </c>
      <c r="B405" s="2950" t="s">
        <v>3897</v>
      </c>
      <c r="C405" s="2948" t="s">
        <v>3963</v>
      </c>
      <c r="D405" s="2949">
        <v>3</v>
      </c>
      <c r="E405" s="2949">
        <v>21.58</v>
      </c>
    </row>
    <row r="406" spans="1:5" ht="27">
      <c r="A406" s="2949">
        <v>177</v>
      </c>
      <c r="B406" s="2950" t="s">
        <v>3898</v>
      </c>
      <c r="C406" s="2948" t="s">
        <v>3964</v>
      </c>
      <c r="D406" s="2949">
        <v>3</v>
      </c>
      <c r="E406" s="2949">
        <v>51.16</v>
      </c>
    </row>
    <row r="407" spans="1:5" ht="27">
      <c r="A407" s="2949">
        <v>178</v>
      </c>
      <c r="B407" s="2950" t="s">
        <v>3899</v>
      </c>
      <c r="C407" s="2948" t="s">
        <v>3965</v>
      </c>
      <c r="D407" s="2949">
        <v>3</v>
      </c>
      <c r="E407" s="2949">
        <v>40.590000000000003</v>
      </c>
    </row>
    <row r="408" spans="1:5" ht="27">
      <c r="A408" s="2949">
        <v>179</v>
      </c>
      <c r="B408" s="2950" t="s">
        <v>3900</v>
      </c>
      <c r="C408" s="2948" t="s">
        <v>3966</v>
      </c>
      <c r="D408" s="2949">
        <v>3</v>
      </c>
      <c r="E408" s="2949">
        <v>40.590000000000003</v>
      </c>
    </row>
    <row r="409" spans="1:5" ht="27">
      <c r="A409" s="2949">
        <v>180</v>
      </c>
      <c r="B409" s="2950" t="s">
        <v>3901</v>
      </c>
      <c r="C409" s="2948" t="s">
        <v>3967</v>
      </c>
      <c r="D409" s="2949">
        <v>3</v>
      </c>
      <c r="E409" s="2949">
        <v>40.590000000000003</v>
      </c>
    </row>
    <row r="410" spans="1:5" ht="27">
      <c r="A410" s="2949">
        <v>181</v>
      </c>
      <c r="B410" s="2950" t="s">
        <v>3902</v>
      </c>
      <c r="C410" s="2948" t="s">
        <v>3968</v>
      </c>
      <c r="D410" s="2949">
        <v>3</v>
      </c>
      <c r="E410" s="2949">
        <v>40.590000000000003</v>
      </c>
    </row>
    <row r="411" spans="1:5" ht="27">
      <c r="A411" s="2949">
        <v>182</v>
      </c>
      <c r="B411" s="2950" t="s">
        <v>3903</v>
      </c>
      <c r="C411" s="2948" t="s">
        <v>3969</v>
      </c>
      <c r="D411" s="2949">
        <v>3</v>
      </c>
      <c r="E411" s="2949">
        <v>40.590000000000003</v>
      </c>
    </row>
    <row r="412" spans="1:5" ht="27">
      <c r="A412" s="2949">
        <v>183</v>
      </c>
      <c r="B412" s="2950" t="s">
        <v>3904</v>
      </c>
      <c r="C412" s="2948" t="s">
        <v>3970</v>
      </c>
      <c r="D412" s="2949">
        <v>3</v>
      </c>
      <c r="E412" s="2949">
        <v>40.590000000000003</v>
      </c>
    </row>
    <row r="413" spans="1:5" ht="27">
      <c r="A413" s="2949">
        <v>184</v>
      </c>
      <c r="B413" s="2950" t="s">
        <v>3905</v>
      </c>
      <c r="C413" s="2948" t="s">
        <v>3971</v>
      </c>
      <c r="D413" s="2949">
        <v>3</v>
      </c>
      <c r="E413" s="2949">
        <v>42.52</v>
      </c>
    </row>
    <row r="414" spans="1:5" ht="27">
      <c r="A414" s="2949">
        <v>185</v>
      </c>
      <c r="B414" s="2950" t="s">
        <v>3906</v>
      </c>
      <c r="C414" s="2948" t="s">
        <v>3972</v>
      </c>
      <c r="D414" s="2949">
        <v>3</v>
      </c>
      <c r="E414" s="2949">
        <v>34.74</v>
      </c>
    </row>
    <row r="415" spans="1:5" ht="27">
      <c r="A415" s="2949">
        <v>186</v>
      </c>
      <c r="B415" s="2950" t="s">
        <v>3907</v>
      </c>
      <c r="C415" s="2948" t="s">
        <v>3973</v>
      </c>
      <c r="D415" s="2949">
        <v>3</v>
      </c>
      <c r="E415" s="2949">
        <v>36.840000000000003</v>
      </c>
    </row>
    <row r="416" spans="1:5" ht="27">
      <c r="A416" s="2949">
        <v>187</v>
      </c>
      <c r="B416" s="2950" t="s">
        <v>3908</v>
      </c>
      <c r="C416" s="2948" t="s">
        <v>3974</v>
      </c>
      <c r="D416" s="2949">
        <v>3</v>
      </c>
      <c r="E416" s="2949">
        <v>39.21</v>
      </c>
    </row>
    <row r="417" spans="1:5" ht="27">
      <c r="A417" s="2949">
        <v>188</v>
      </c>
      <c r="B417" s="2950" t="s">
        <v>3909</v>
      </c>
      <c r="C417" s="2948" t="s">
        <v>3975</v>
      </c>
      <c r="D417" s="2949">
        <v>3</v>
      </c>
      <c r="E417" s="2949">
        <v>40.39</v>
      </c>
    </row>
    <row r="418" spans="1:5" ht="27">
      <c r="A418" s="2949">
        <v>189</v>
      </c>
      <c r="B418" s="2950" t="s">
        <v>3910</v>
      </c>
      <c r="C418" s="2948" t="s">
        <v>3976</v>
      </c>
      <c r="D418" s="2949">
        <v>3</v>
      </c>
      <c r="E418" s="2949">
        <v>40.39</v>
      </c>
    </row>
    <row r="419" spans="1:5" ht="27">
      <c r="A419" s="2949">
        <v>190</v>
      </c>
      <c r="B419" s="2950" t="s">
        <v>3911</v>
      </c>
      <c r="C419" s="2948" t="s">
        <v>3977</v>
      </c>
      <c r="D419" s="2949">
        <v>3</v>
      </c>
      <c r="E419" s="2949">
        <v>39.21</v>
      </c>
    </row>
    <row r="420" spans="1:5" ht="27">
      <c r="A420" s="2949">
        <v>191</v>
      </c>
      <c r="B420" s="2950" t="s">
        <v>3912</v>
      </c>
      <c r="C420" s="2948" t="s">
        <v>3978</v>
      </c>
      <c r="D420" s="2949">
        <v>3</v>
      </c>
      <c r="E420" s="2949">
        <v>36.840000000000003</v>
      </c>
    </row>
    <row r="421" spans="1:5" ht="27">
      <c r="A421" s="2949">
        <v>192</v>
      </c>
      <c r="B421" s="2950" t="s">
        <v>3913</v>
      </c>
      <c r="C421" s="2948" t="s">
        <v>3979</v>
      </c>
      <c r="D421" s="2949">
        <v>3</v>
      </c>
      <c r="E421" s="2949">
        <v>34.950000000000003</v>
      </c>
    </row>
    <row r="422" spans="1:5" ht="27">
      <c r="A422" s="2949">
        <v>193</v>
      </c>
      <c r="B422" s="2950" t="s">
        <v>3914</v>
      </c>
      <c r="C422" s="2948" t="s">
        <v>3980</v>
      </c>
      <c r="D422" s="2949">
        <v>3</v>
      </c>
      <c r="E422" s="2949">
        <v>28.01</v>
      </c>
    </row>
    <row r="423" spans="1:5" ht="27">
      <c r="A423" s="2949">
        <v>194</v>
      </c>
      <c r="B423" s="2950" t="s">
        <v>3915</v>
      </c>
      <c r="C423" s="2948" t="s">
        <v>3981</v>
      </c>
      <c r="D423" s="2949">
        <v>3</v>
      </c>
      <c r="E423" s="2949">
        <v>31.9</v>
      </c>
    </row>
    <row r="424" spans="1:5" ht="27">
      <c r="A424" s="2949">
        <v>195</v>
      </c>
      <c r="B424" s="2950" t="s">
        <v>3916</v>
      </c>
      <c r="C424" s="2948" t="s">
        <v>3982</v>
      </c>
      <c r="D424" s="2949">
        <v>3</v>
      </c>
      <c r="E424" s="2949">
        <v>24</v>
      </c>
    </row>
    <row r="425" spans="1:5" ht="27">
      <c r="A425" s="2949">
        <v>196</v>
      </c>
      <c r="B425" s="2950" t="s">
        <v>3556</v>
      </c>
      <c r="C425" s="2948" t="s">
        <v>3983</v>
      </c>
      <c r="D425" s="2949">
        <v>3</v>
      </c>
      <c r="E425" s="2949">
        <v>81.900000000000006</v>
      </c>
    </row>
    <row r="426" spans="1:5" ht="27">
      <c r="A426" s="2949">
        <v>197</v>
      </c>
      <c r="B426" s="2950" t="s">
        <v>3917</v>
      </c>
      <c r="C426" s="2948" t="s">
        <v>3984</v>
      </c>
      <c r="D426" s="2949">
        <v>3</v>
      </c>
      <c r="E426" s="2949">
        <v>75.900000000000006</v>
      </c>
    </row>
    <row r="427" spans="1:5" ht="27">
      <c r="A427" s="2949">
        <v>198</v>
      </c>
      <c r="B427" s="2950" t="s">
        <v>3918</v>
      </c>
      <c r="C427" s="2948" t="s">
        <v>3985</v>
      </c>
      <c r="D427" s="2949">
        <v>3</v>
      </c>
      <c r="E427" s="2949">
        <v>57.8</v>
      </c>
    </row>
    <row r="428" spans="1:5" ht="27">
      <c r="A428" s="2949">
        <v>199</v>
      </c>
      <c r="B428" s="2950" t="s">
        <v>3919</v>
      </c>
      <c r="C428" s="2948" t="s">
        <v>3986</v>
      </c>
      <c r="D428" s="2949">
        <v>3</v>
      </c>
      <c r="E428" s="2949">
        <v>41.45</v>
      </c>
    </row>
    <row r="429" spans="1:5" ht="27">
      <c r="A429" s="2949">
        <v>200</v>
      </c>
      <c r="B429" s="2950" t="s">
        <v>3920</v>
      </c>
      <c r="C429" s="2948" t="s">
        <v>3987</v>
      </c>
      <c r="D429" s="2949">
        <v>3</v>
      </c>
      <c r="E429" s="2949">
        <v>27.74</v>
      </c>
    </row>
    <row r="430" spans="1:5" ht="27">
      <c r="A430" s="2949">
        <v>201</v>
      </c>
      <c r="B430" s="2950" t="s">
        <v>3921</v>
      </c>
      <c r="C430" s="2948" t="s">
        <v>3988</v>
      </c>
      <c r="D430" s="2949">
        <v>3</v>
      </c>
      <c r="E430" s="2949">
        <v>51.63</v>
      </c>
    </row>
    <row r="431" spans="1:5" ht="27">
      <c r="A431" s="2949">
        <v>202</v>
      </c>
      <c r="B431" s="2950" t="s">
        <v>3922</v>
      </c>
      <c r="C431" s="2948" t="s">
        <v>3989</v>
      </c>
      <c r="D431" s="2949">
        <v>3</v>
      </c>
      <c r="E431" s="2949">
        <v>67.459999999999994</v>
      </c>
    </row>
    <row r="432" spans="1:5" ht="27">
      <c r="A432" s="2949">
        <v>203</v>
      </c>
      <c r="B432" s="2950" t="s">
        <v>3923</v>
      </c>
      <c r="C432" s="2948" t="s">
        <v>3990</v>
      </c>
      <c r="D432" s="2949">
        <v>3</v>
      </c>
      <c r="E432" s="2949">
        <v>56.84</v>
      </c>
    </row>
    <row r="433" spans="1:5" ht="27">
      <c r="A433" s="2949">
        <v>204</v>
      </c>
      <c r="B433" s="2950" t="s">
        <v>3924</v>
      </c>
      <c r="C433" s="2948" t="s">
        <v>3991</v>
      </c>
      <c r="D433" s="2949">
        <v>3</v>
      </c>
      <c r="E433" s="2949">
        <v>47.44</v>
      </c>
    </row>
    <row r="434" spans="1:5" ht="27">
      <c r="A434" s="2949">
        <v>205</v>
      </c>
      <c r="B434" s="2950" t="s">
        <v>3925</v>
      </c>
      <c r="C434" s="2948" t="s">
        <v>3992</v>
      </c>
      <c r="D434" s="2949">
        <v>3</v>
      </c>
      <c r="E434" s="2949">
        <v>39.200000000000003</v>
      </c>
    </row>
    <row r="435" spans="1:5" ht="27">
      <c r="A435" s="2949">
        <v>206</v>
      </c>
      <c r="B435" s="2950" t="s">
        <v>3926</v>
      </c>
      <c r="C435" s="2948" t="s">
        <v>3993</v>
      </c>
      <c r="D435" s="2949">
        <v>3</v>
      </c>
      <c r="E435" s="2949">
        <v>34.520000000000003</v>
      </c>
    </row>
    <row r="436" spans="1:5" ht="27">
      <c r="A436" s="2949">
        <v>207</v>
      </c>
      <c r="B436" s="2950" t="s">
        <v>3927</v>
      </c>
      <c r="C436" s="2948" t="s">
        <v>3994</v>
      </c>
      <c r="D436" s="2949">
        <v>3</v>
      </c>
      <c r="E436" s="2949">
        <v>30.91</v>
      </c>
    </row>
    <row r="437" spans="1:5" ht="27">
      <c r="A437" s="2949">
        <v>208</v>
      </c>
      <c r="B437" s="2950" t="s">
        <v>3928</v>
      </c>
      <c r="C437" s="2948" t="s">
        <v>3995</v>
      </c>
      <c r="D437" s="2949">
        <v>3</v>
      </c>
      <c r="E437" s="2949">
        <v>26.95</v>
      </c>
    </row>
    <row r="438" spans="1:5" ht="27">
      <c r="A438" s="2949">
        <v>209</v>
      </c>
      <c r="B438" s="2950" t="s">
        <v>3929</v>
      </c>
      <c r="C438" s="2948" t="s">
        <v>3996</v>
      </c>
      <c r="D438" s="2949">
        <v>3</v>
      </c>
      <c r="E438" s="2949">
        <v>23.99</v>
      </c>
    </row>
    <row r="439" spans="1:5" ht="27">
      <c r="A439" s="2949">
        <v>210</v>
      </c>
      <c r="B439" s="2950" t="s">
        <v>3930</v>
      </c>
      <c r="C439" s="2948" t="s">
        <v>3997</v>
      </c>
      <c r="D439" s="2949">
        <v>3</v>
      </c>
      <c r="E439" s="2949">
        <v>22.03</v>
      </c>
    </row>
    <row r="440" spans="1:5" ht="27">
      <c r="A440" s="2949">
        <v>211</v>
      </c>
      <c r="B440" s="2950" t="s">
        <v>3931</v>
      </c>
      <c r="C440" s="2948" t="s">
        <v>3998</v>
      </c>
      <c r="D440" s="2949">
        <v>3</v>
      </c>
      <c r="E440" s="2949">
        <v>21.05</v>
      </c>
    </row>
    <row r="441" spans="1:5" ht="27">
      <c r="A441" s="2949">
        <v>212</v>
      </c>
      <c r="B441" s="2950" t="s">
        <v>3932</v>
      </c>
      <c r="C441" s="2948" t="s">
        <v>3999</v>
      </c>
      <c r="D441" s="2949">
        <v>3</v>
      </c>
      <c r="E441" s="2949">
        <v>21.05</v>
      </c>
    </row>
    <row r="442" spans="1:5" ht="27">
      <c r="A442" s="2949">
        <v>213</v>
      </c>
      <c r="B442" s="2950" t="s">
        <v>3933</v>
      </c>
      <c r="C442" s="2948" t="s">
        <v>4000</v>
      </c>
      <c r="D442" s="2949">
        <v>3</v>
      </c>
      <c r="E442" s="2949">
        <v>23.12</v>
      </c>
    </row>
    <row r="443" spans="1:5" ht="27">
      <c r="A443" s="2949">
        <v>214</v>
      </c>
      <c r="B443" s="2950" t="s">
        <v>3934</v>
      </c>
      <c r="C443" s="2948" t="s">
        <v>4001</v>
      </c>
      <c r="D443" s="2949">
        <v>3</v>
      </c>
      <c r="E443" s="2949">
        <v>25.32</v>
      </c>
    </row>
    <row r="444" spans="1:5" ht="27">
      <c r="A444" s="2949">
        <v>215</v>
      </c>
      <c r="B444" s="2950" t="s">
        <v>3935</v>
      </c>
      <c r="C444" s="2948" t="s">
        <v>4002</v>
      </c>
      <c r="D444" s="2949">
        <v>3</v>
      </c>
      <c r="E444" s="2949">
        <v>24.17</v>
      </c>
    </row>
    <row r="445" spans="1:5" ht="27">
      <c r="A445" s="2949">
        <v>216</v>
      </c>
      <c r="B445" s="2950" t="s">
        <v>3936</v>
      </c>
      <c r="C445" s="2948" t="s">
        <v>4003</v>
      </c>
      <c r="D445" s="2949">
        <v>3</v>
      </c>
      <c r="E445" s="2949">
        <v>24.17</v>
      </c>
    </row>
    <row r="446" spans="1:5" ht="27">
      <c r="A446" s="2949">
        <v>217</v>
      </c>
      <c r="B446" s="2950" t="s">
        <v>3937</v>
      </c>
      <c r="C446" s="2948" t="s">
        <v>4004</v>
      </c>
      <c r="D446" s="2949">
        <v>3</v>
      </c>
      <c r="E446" s="2949">
        <v>24.17</v>
      </c>
    </row>
    <row r="447" spans="1:5" ht="27">
      <c r="A447" s="2949">
        <v>218</v>
      </c>
      <c r="B447" s="2950" t="s">
        <v>3938</v>
      </c>
      <c r="C447" s="2948" t="s">
        <v>4005</v>
      </c>
      <c r="D447" s="2949">
        <v>3</v>
      </c>
      <c r="E447" s="2949">
        <v>24.17</v>
      </c>
    </row>
    <row r="448" spans="1:5" ht="27">
      <c r="A448" s="2949">
        <v>219</v>
      </c>
      <c r="B448" s="2950" t="s">
        <v>3939</v>
      </c>
      <c r="C448" s="2948" t="s">
        <v>4006</v>
      </c>
      <c r="D448" s="2949">
        <v>3</v>
      </c>
      <c r="E448" s="2949">
        <v>24.17</v>
      </c>
    </row>
    <row r="449" spans="1:5" ht="27">
      <c r="A449" s="2949">
        <v>220</v>
      </c>
      <c r="B449" s="2950" t="s">
        <v>3940</v>
      </c>
      <c r="C449" s="2948" t="s">
        <v>4007</v>
      </c>
      <c r="D449" s="2949">
        <v>3</v>
      </c>
      <c r="E449" s="2949">
        <v>24.17</v>
      </c>
    </row>
    <row r="450" spans="1:5" ht="27">
      <c r="A450" s="2949">
        <v>221</v>
      </c>
      <c r="B450" s="2950" t="s">
        <v>3941</v>
      </c>
      <c r="C450" s="2948" t="s">
        <v>4008</v>
      </c>
      <c r="D450" s="2949">
        <v>3</v>
      </c>
      <c r="E450" s="2949">
        <v>23.31</v>
      </c>
    </row>
    <row r="451" spans="1:5" ht="27">
      <c r="A451" s="2949">
        <v>222</v>
      </c>
      <c r="B451" s="2950" t="s">
        <v>3942</v>
      </c>
      <c r="C451" s="2948" t="s">
        <v>4009</v>
      </c>
      <c r="D451" s="2949">
        <v>3</v>
      </c>
      <c r="E451" s="2949">
        <v>33.72</v>
      </c>
    </row>
    <row r="452" spans="1:5" ht="27">
      <c r="A452" s="2949">
        <v>223</v>
      </c>
      <c r="B452" s="2950" t="s">
        <v>3943</v>
      </c>
      <c r="C452" s="2948" t="s">
        <v>4010</v>
      </c>
      <c r="D452" s="2949">
        <v>3</v>
      </c>
      <c r="E452" s="2949">
        <v>33.72</v>
      </c>
    </row>
    <row r="453" spans="1:5" ht="27">
      <c r="A453" s="2949">
        <v>224</v>
      </c>
      <c r="B453" s="2950" t="s">
        <v>3944</v>
      </c>
      <c r="C453" s="2948" t="s">
        <v>4011</v>
      </c>
      <c r="D453" s="2949">
        <v>3</v>
      </c>
      <c r="E453" s="2949">
        <v>33.72</v>
      </c>
    </row>
    <row r="454" spans="1:5" ht="27">
      <c r="A454" s="2949">
        <v>225</v>
      </c>
      <c r="B454" s="2950" t="s">
        <v>3945</v>
      </c>
      <c r="C454" s="2948" t="s">
        <v>4012</v>
      </c>
      <c r="D454" s="2949">
        <v>3</v>
      </c>
      <c r="E454" s="2949">
        <v>33.72</v>
      </c>
    </row>
    <row r="455" spans="1:5" ht="27">
      <c r="A455" s="2949">
        <v>226</v>
      </c>
      <c r="B455" s="2950" t="s">
        <v>3946</v>
      </c>
      <c r="C455" s="2948" t="s">
        <v>4013</v>
      </c>
      <c r="D455" s="2949">
        <v>3</v>
      </c>
      <c r="E455" s="2949">
        <v>33.72</v>
      </c>
    </row>
    <row r="456" spans="1:5" ht="27">
      <c r="A456" s="2949">
        <v>227</v>
      </c>
      <c r="B456" s="2950" t="s">
        <v>3947</v>
      </c>
      <c r="C456" s="2948" t="s">
        <v>4014</v>
      </c>
      <c r="D456" s="2949">
        <v>3</v>
      </c>
      <c r="E456" s="2949">
        <v>33.72</v>
      </c>
    </row>
    <row r="457" spans="1:5" ht="27">
      <c r="A457" s="2949">
        <v>228</v>
      </c>
      <c r="B457" s="2950" t="s">
        <v>3948</v>
      </c>
      <c r="C457" s="2948" t="s">
        <v>4015</v>
      </c>
      <c r="D457" s="2949">
        <v>3</v>
      </c>
      <c r="E457" s="2949">
        <v>64.17</v>
      </c>
    </row>
    <row r="458" spans="1:5" ht="27">
      <c r="A458" s="2949">
        <v>229</v>
      </c>
      <c r="B458" s="2950" t="s">
        <v>3949</v>
      </c>
      <c r="C458" s="2948" t="s">
        <v>4016</v>
      </c>
      <c r="D458" s="2949">
        <v>3</v>
      </c>
      <c r="E458" s="2949">
        <v>64.28</v>
      </c>
    </row>
    <row r="459" spans="1:5" ht="27">
      <c r="A459" s="2949">
        <v>230</v>
      </c>
      <c r="B459" s="2950" t="s">
        <v>3950</v>
      </c>
      <c r="C459" s="2948" t="s">
        <v>4017</v>
      </c>
      <c r="D459" s="2949">
        <v>3</v>
      </c>
      <c r="E459" s="2949">
        <v>32.56</v>
      </c>
    </row>
    <row r="460" spans="1:5" ht="27">
      <c r="A460" s="2949">
        <v>231</v>
      </c>
      <c r="B460" s="2950" t="s">
        <v>3951</v>
      </c>
      <c r="C460" s="2948" t="s">
        <v>4018</v>
      </c>
      <c r="D460" s="2949">
        <v>3</v>
      </c>
      <c r="E460" s="2949">
        <v>44.51</v>
      </c>
    </row>
    <row r="461" spans="1:5" ht="27">
      <c r="A461" s="2949">
        <v>232</v>
      </c>
      <c r="B461" s="2950" t="s">
        <v>3952</v>
      </c>
      <c r="C461" s="2948" t="s">
        <v>4019</v>
      </c>
      <c r="D461" s="2949">
        <v>3</v>
      </c>
      <c r="E461" s="2949">
        <v>34.619999999999997</v>
      </c>
    </row>
    <row r="462" spans="1:5">
      <c r="B462" s="2950"/>
      <c r="E462">
        <f>SUM(E230:E461)</f>
        <v>11350.859999999999</v>
      </c>
    </row>
    <row r="463" spans="1:5">
      <c r="B463" s="2950"/>
    </row>
    <row r="464" spans="1:5">
      <c r="B464" s="2950"/>
    </row>
    <row r="465" spans="2:2">
      <c r="B465" s="2950"/>
    </row>
    <row r="466" spans="2:2">
      <c r="B466" s="2950"/>
    </row>
    <row r="467" spans="2:2">
      <c r="B467" s="2950"/>
    </row>
    <row r="468" spans="2:2">
      <c r="B468" s="2950"/>
    </row>
    <row r="469" spans="2:2">
      <c r="B469" s="2950"/>
    </row>
    <row r="470" spans="2:2">
      <c r="B470" s="2950"/>
    </row>
    <row r="471" spans="2:2">
      <c r="B471" s="2950"/>
    </row>
    <row r="472" spans="2:2">
      <c r="B472" s="2950"/>
    </row>
    <row r="473" spans="2:2">
      <c r="B473" s="2950"/>
    </row>
    <row r="474" spans="2:2">
      <c r="B474" s="2950"/>
    </row>
    <row r="475" spans="2:2">
      <c r="B475" s="2950"/>
    </row>
    <row r="476" spans="2:2">
      <c r="B476" s="2950"/>
    </row>
    <row r="477" spans="2:2">
      <c r="B477" s="2950"/>
    </row>
    <row r="478" spans="2:2">
      <c r="B478" s="2950"/>
    </row>
    <row r="479" spans="2:2">
      <c r="B479" s="2950"/>
    </row>
    <row r="480" spans="2:2">
      <c r="B480" s="2950"/>
    </row>
    <row r="481" spans="2:2">
      <c r="B481" s="2950"/>
    </row>
  </sheetData>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0" sqref="K20"/>
    </sheetView>
  </sheetViews>
  <sheetFormatPr defaultRowHeight="13.5"/>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1641</v>
      </c>
      <c r="B2" s="3004" t="s">
        <v>1642</v>
      </c>
      <c r="C2" s="3004" t="s">
        <v>1643</v>
      </c>
      <c r="D2" s="3004" t="str">
        <f>结果表!D116</f>
        <v>出让国有建设用地使用权价值</v>
      </c>
      <c r="E2" s="3004"/>
      <c r="F2" s="3004" t="str">
        <f>结果表!F116</f>
        <v>建筑物价值</v>
      </c>
      <c r="G2" s="3004"/>
      <c r="H2" s="3004" t="str">
        <f>IF(项目基本情况!B9="房地产市场价值","房地产市场价值","房地产价值")</f>
        <v>房地产价值</v>
      </c>
      <c r="I2" s="3004"/>
    </row>
    <row r="3" spans="1:9" ht="15">
      <c r="A3" s="2998"/>
      <c r="B3" s="2998"/>
      <c r="C3" s="2998"/>
      <c r="D3" s="1046" t="s">
        <v>1638</v>
      </c>
      <c r="E3" s="1046" t="s">
        <v>1644</v>
      </c>
      <c r="F3" s="1046" t="s">
        <v>1638</v>
      </c>
      <c r="G3" s="1046" t="s">
        <v>1639</v>
      </c>
      <c r="H3" s="1046" t="s">
        <v>1638</v>
      </c>
      <c r="I3" s="1046" t="s">
        <v>1639</v>
      </c>
    </row>
    <row r="4" spans="1:9" ht="60">
      <c r="A4" s="1974" t="str">
        <f>项目基本情况!S2</f>
        <v>河南省信阳市浉河区车站街道办事处工区路135号富丽华城市花园南虹广场1、2、3号商业楼房地产</v>
      </c>
      <c r="B4" s="1046">
        <f>项目基本情况!C17</f>
        <v>34044.230000000003</v>
      </c>
      <c r="C4" s="1046">
        <f>项目基本情况!C18</f>
        <v>0</v>
      </c>
      <c r="D4" s="1046">
        <f ca="1">结果表!D118</f>
        <v>186</v>
      </c>
      <c r="E4" s="1046">
        <f ca="1">结果表!E118</f>
        <v>18260</v>
      </c>
      <c r="F4" s="1046">
        <f ca="1">结果表!F118</f>
        <v>75</v>
      </c>
      <c r="G4" s="1046">
        <f ca="1">结果表!G118</f>
        <v>7363</v>
      </c>
      <c r="H4" s="1046">
        <f ca="1">结果表!H118</f>
        <v>261</v>
      </c>
      <c r="I4" s="1046">
        <f ca="1">结果表!I118</f>
        <v>25623</v>
      </c>
    </row>
    <row r="5" spans="1:9" ht="30" customHeight="1">
      <c r="A5" s="2998" t="s">
        <v>1640</v>
      </c>
      <c r="B5" s="2998"/>
      <c r="C5" s="2998"/>
      <c r="D5" s="2999" t="str">
        <f ca="1">结果表!D119</f>
        <v>壹佰捌拾陆万元整</v>
      </c>
      <c r="E5" s="2999"/>
      <c r="F5" s="2999" t="str">
        <f ca="1">结果表!F119</f>
        <v>柒拾伍万元整</v>
      </c>
      <c r="G5" s="2999"/>
      <c r="H5" s="2999" t="str">
        <f ca="1">结果表!H119</f>
        <v>贰佰陆拾壹万元整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1640</v>
      </c>
      <c r="B7" s="2998"/>
      <c r="C7" s="2998"/>
      <c r="D7" s="3000" t="str">
        <f>结果表!D121</f>
        <v>零元整</v>
      </c>
      <c r="E7" s="3001"/>
      <c r="F7" s="3001"/>
      <c r="G7" s="3001"/>
      <c r="H7" s="3001"/>
      <c r="I7" s="3002"/>
    </row>
    <row r="8" spans="1:9" ht="15.75">
      <c r="A8" s="2997" t="str">
        <f>结果表!A122</f>
        <v>房地产抵押价值</v>
      </c>
      <c r="B8" s="2997"/>
      <c r="C8" s="2997"/>
      <c r="D8" s="2997">
        <f ca="1">结果表!D122</f>
        <v>261</v>
      </c>
      <c r="E8" s="2997"/>
      <c r="F8" s="2997"/>
      <c r="G8" s="2997"/>
      <c r="H8" s="2997"/>
      <c r="I8" s="2997"/>
    </row>
    <row r="9" spans="1:9" ht="15">
      <c r="A9" s="2998" t="s">
        <v>1640</v>
      </c>
      <c r="B9" s="2998"/>
      <c r="C9" s="2998"/>
      <c r="D9" s="2999" t="str">
        <f ca="1">结果表!D123</f>
        <v>贰佰陆拾壹万元整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1640</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1640</v>
      </c>
      <c r="B13" s="2994"/>
      <c r="C13" s="2994"/>
      <c r="D13" s="2995" t="e">
        <f>结果表!D127</f>
        <v>#VALUE!</v>
      </c>
      <c r="E13" s="2995"/>
      <c r="F13" s="2995"/>
      <c r="G13" s="2995"/>
      <c r="H13" s="2995"/>
      <c r="I13" s="2995"/>
    </row>
    <row r="14" spans="1:9" ht="15" thickTop="1">
      <c r="A14" s="2996" t="s">
        <v>1645</v>
      </c>
      <c r="B14" s="2996"/>
      <c r="C14" s="2996"/>
      <c r="D14" s="2996"/>
      <c r="E14" s="2996"/>
      <c r="F14" s="2996"/>
      <c r="G14" s="2996"/>
      <c r="H14" s="2996"/>
      <c r="I14" s="2996"/>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1" t="s">
        <v>1662</v>
      </c>
      <c r="B1" s="3011"/>
      <c r="C1" s="3011"/>
      <c r="D1" s="3011"/>
    </row>
    <row r="2" spans="1:4" ht="18">
      <c r="A2" s="3012" t="s">
        <v>1646</v>
      </c>
      <c r="B2" s="3012"/>
      <c r="C2" s="3012"/>
      <c r="D2" s="3012"/>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3012" t="s">
        <v>1652</v>
      </c>
      <c r="B6" s="3012"/>
      <c r="C6" s="3012"/>
      <c r="D6" s="3012"/>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13"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（1）根据估价对象《不动产权证书》原件、《国有土地使用权》复印件，截至价值时点，估价对象抵押权未见登记。</v>
      </c>
      <c r="B15" s="3005"/>
      <c r="C15" s="3005"/>
      <c r="D15" s="3005"/>
    </row>
    <row r="16" spans="1:4" ht="30" customHeight="1">
      <c r="A16" s="3007" t="s">
        <v>1656</v>
      </c>
      <c r="B16" s="3007"/>
      <c r="C16" s="3007"/>
      <c r="D16" s="3007"/>
    </row>
    <row r="17" spans="1:4" ht="144" customHeight="1">
      <c r="A17" s="3007" t="s">
        <v>1657</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1658</v>
      </c>
      <c r="B22" s="3009"/>
      <c r="C22" s="3009"/>
      <c r="D22" s="3009"/>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19" t="s">
        <v>1669</v>
      </c>
      <c r="B15" s="3014" t="s">
        <v>136</v>
      </c>
      <c r="C15" s="3015"/>
    </row>
    <row r="16" spans="1:7" ht="13.5">
      <c r="A16" s="3020"/>
      <c r="B16" s="3014" t="s">
        <v>69</v>
      </c>
      <c r="C16" s="3015"/>
    </row>
    <row r="17" spans="1:3" ht="13.5">
      <c r="A17" s="3020"/>
      <c r="B17" s="3017" t="s">
        <v>1670</v>
      </c>
      <c r="C17" s="2001" t="s">
        <v>1669</v>
      </c>
    </row>
    <row r="18" spans="1:3" ht="13.5">
      <c r="A18" s="3020"/>
      <c r="B18" s="3017"/>
      <c r="C18" s="2001" t="s">
        <v>1671</v>
      </c>
    </row>
    <row r="19" spans="1:3" ht="13.5">
      <c r="A19" s="3020"/>
      <c r="B19" s="3017"/>
      <c r="C19" s="2001" t="s">
        <v>1672</v>
      </c>
    </row>
    <row r="20" spans="1:3" ht="13.5">
      <c r="A20" s="3021"/>
      <c r="B20" s="3016" t="s">
        <v>1673</v>
      </c>
      <c r="C20" s="3015"/>
    </row>
    <row r="21" spans="1:3" ht="13.5">
      <c r="A21" s="2002" t="s">
        <v>1674</v>
      </c>
      <c r="B21" s="2003"/>
      <c r="C21" s="2004"/>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1" t="s">
        <v>1680</v>
      </c>
    </row>
    <row r="26" spans="1:3" ht="13.5">
      <c r="A26" s="3018"/>
      <c r="B26" s="3017"/>
      <c r="C26" s="2001" t="s">
        <v>1681</v>
      </c>
    </row>
    <row r="27" spans="1:3" ht="13.5">
      <c r="A27" s="3018"/>
      <c r="B27" s="3017"/>
      <c r="C27" s="2001" t="s">
        <v>1682</v>
      </c>
    </row>
    <row r="28" spans="1:3" ht="13.5">
      <c r="A28" s="3018"/>
      <c r="B28" s="3017"/>
      <c r="C28" s="2001" t="s">
        <v>1683</v>
      </c>
    </row>
    <row r="29" spans="1:3" ht="13.5">
      <c r="A29" s="3018"/>
      <c r="B29" s="3017"/>
      <c r="C29" s="2001" t="s">
        <v>1684</v>
      </c>
    </row>
    <row r="30" spans="1:3" ht="13.5">
      <c r="A30" s="3018"/>
      <c r="B30" s="3017"/>
      <c r="C30" s="2001" t="s">
        <v>1685</v>
      </c>
    </row>
    <row r="31" spans="1:3" ht="13.5">
      <c r="A31" s="3018"/>
      <c r="B31" s="3017"/>
      <c r="C31" s="2001" t="s">
        <v>1686</v>
      </c>
    </row>
    <row r="32" spans="1:3" ht="13.5">
      <c r="A32" s="3018"/>
      <c r="B32" s="3017"/>
      <c r="C32" s="2001" t="s">
        <v>1687</v>
      </c>
    </row>
    <row r="33" spans="1:3" ht="13.5">
      <c r="A33" s="3018"/>
      <c r="B33" s="301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43313</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41">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41">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抵押物清单</vt:lpstr>
      <vt:lpstr>Sheet3</vt:lpstr>
      <vt:lpstr>房号清单（全部）</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2018-08-01T05:42:29Z</dcterms:modified>
</cp:coreProperties>
</file>