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2" i="77" l="1"/>
  <c r="G4" i="77"/>
  <c r="H4" i="77" s="1"/>
  <c r="G3" i="77"/>
  <c r="H3" i="77" s="1"/>
  <c r="D5" i="77"/>
  <c r="Y6" i="1"/>
  <c r="F2" i="77"/>
  <c r="E4" i="77"/>
  <c r="F4" i="77" s="1"/>
  <c r="E3" i="77"/>
  <c r="F3" i="77" s="1"/>
  <c r="C5" i="77"/>
  <c r="C3" i="77"/>
  <c r="C4" i="77"/>
  <c r="C2" i="77"/>
  <c r="B26" i="31"/>
  <c r="B25" i="31"/>
  <c r="B24" i="31"/>
  <c r="C6" i="68"/>
  <c r="D3" i="39"/>
  <c r="I7" i="39"/>
  <c r="G7" i="39"/>
  <c r="E7" i="39"/>
  <c r="N6" i="1"/>
  <c r="F5" i="77" l="1"/>
  <c r="E5" i="77" s="1"/>
  <c r="U6" i="1" s="1"/>
  <c r="H5" i="77"/>
  <c r="G5" i="77" s="1"/>
  <c r="F19" i="6" l="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s="1"/>
  <c r="F11" i="39"/>
  <c r="AA11" i="39" s="1"/>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BA13" i="3"/>
  <c r="E10" i="6"/>
  <c r="BA5" i="3"/>
  <c r="E11" i="6"/>
  <c r="E61" i="39" s="1"/>
  <c r="BL17" i="3"/>
  <c r="AZ17" i="3"/>
  <c r="BL13" i="3"/>
  <c r="G30" i="6"/>
  <c r="G31" i="6" s="1"/>
  <c r="J56" i="9"/>
  <c r="J57" i="9"/>
  <c r="A24" i="51"/>
  <c r="B18" i="72" s="1"/>
  <c r="U29" i="34"/>
  <c r="E14" i="6"/>
  <c r="E64" i="39" s="1"/>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T11" i="1"/>
  <c r="D19" i="12"/>
  <c r="C19" i="12" s="1"/>
  <c r="AQ9" i="1"/>
  <c r="AR11" i="1"/>
  <c r="T9" i="1"/>
  <c r="T13" i="1"/>
  <c r="E260" i="3"/>
  <c r="E445" i="3"/>
  <c r="E550" i="3"/>
  <c r="E535" i="3"/>
  <c r="C77" i="9"/>
  <c r="C74" i="9" s="1"/>
  <c r="S7" i="1"/>
  <c r="AR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96" i="3"/>
  <c r="E247" i="3"/>
  <c r="E229" i="3"/>
  <c r="E201" i="3"/>
  <c r="E151" i="3"/>
  <c r="K14" i="1"/>
  <c r="M14" i="1" s="1"/>
  <c r="O14" i="1" s="1"/>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E52" i="37"/>
  <c r="F52" i="37" s="1"/>
  <c r="E48" i="35"/>
  <c r="F48" i="35"/>
  <c r="G48" i="35" s="1"/>
  <c r="E59" i="34"/>
  <c r="F59" i="34" s="1"/>
  <c r="C65" i="40"/>
  <c r="D63" i="40"/>
  <c r="B5" i="62"/>
  <c r="B73" i="72"/>
  <c r="AP7" i="1"/>
  <c r="C36" i="69" s="1"/>
  <c r="Q16" i="1"/>
  <c r="F27" i="69" s="1"/>
  <c r="AB45" i="21"/>
  <c r="AC33" i="21"/>
  <c r="W33" i="21"/>
  <c r="S33" i="21"/>
  <c r="AA33" i="21"/>
  <c r="W32" i="21"/>
  <c r="AC32" i="21"/>
  <c r="AB9" i="21"/>
  <c r="U9" i="21"/>
  <c r="AA32" i="21"/>
  <c r="S32" i="21"/>
  <c r="W9" i="21"/>
  <c r="AC9" i="21"/>
  <c r="AB32" i="21"/>
  <c r="U32" i="21"/>
  <c r="AA10" i="21"/>
  <c r="S10" i="21"/>
  <c r="T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F34" i="11"/>
  <c r="C36" i="11" s="1"/>
  <c r="F11" i="12"/>
  <c r="F34" i="68"/>
  <c r="F63" i="40"/>
  <c r="E65" i="40"/>
  <c r="R8" i="1"/>
  <c r="G63" i="40"/>
  <c r="F65" i="40"/>
  <c r="H63" i="40"/>
  <c r="G65" i="40"/>
  <c r="I63" i="40"/>
  <c r="H65" i="40"/>
  <c r="J63" i="40"/>
  <c r="I65" i="40"/>
  <c r="K63" i="40"/>
  <c r="L63" i="40" s="1"/>
  <c r="J65" i="40"/>
  <c r="K65" i="40"/>
  <c r="E2" i="70"/>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G52" i="33"/>
  <c r="H52" i="33" s="1"/>
  <c r="AA7" i="33"/>
  <c r="R48" i="33" s="1"/>
  <c r="E48" i="33" s="1"/>
  <c r="U7" i="33"/>
  <c r="R49" i="33"/>
  <c r="C49" i="33" s="1"/>
  <c r="E53" i="33"/>
  <c r="F53" i="33" s="1"/>
  <c r="E52" i="33"/>
  <c r="F52" i="33" s="1"/>
  <c r="C48" i="33"/>
  <c r="H112" i="9"/>
  <c r="D21" i="53"/>
  <c r="B39" i="72"/>
  <c r="H111" i="9"/>
  <c r="D126" i="9"/>
  <c r="D19" i="53"/>
  <c r="D59" i="9"/>
  <c r="M55" i="9"/>
  <c r="B38" i="72"/>
  <c r="D20" i="53"/>
  <c r="B40" i="72"/>
  <c r="I14" i="74"/>
  <c r="B8" i="74"/>
  <c r="D127" i="9"/>
  <c r="D13" i="52"/>
  <c r="D12" i="52"/>
  <c r="AD3" i="71"/>
  <c r="B4" i="62"/>
  <c r="B71" i="72"/>
  <c r="D9" i="68"/>
  <c r="C36" i="68"/>
  <c r="E9" i="76"/>
  <c r="F6" i="73"/>
  <c r="F38" i="15"/>
  <c r="D2" i="37"/>
  <c r="E10" i="76"/>
  <c r="F35" i="67"/>
  <c r="F42" i="15"/>
  <c r="AO12" i="1"/>
  <c r="M26" i="15"/>
  <c r="F6" i="67"/>
  <c r="M27" i="67"/>
  <c r="M24" i="15"/>
  <c r="F7" i="67"/>
  <c r="M28" i="67"/>
  <c r="M21" i="67"/>
  <c r="F16" i="67"/>
  <c r="D4" i="73"/>
  <c r="F5" i="73"/>
  <c r="E7" i="76"/>
  <c r="M8" i="15"/>
  <c r="F16" i="15"/>
  <c r="D2" i="36"/>
  <c r="M29" i="67"/>
  <c r="F37" i="67"/>
  <c r="D2" i="34"/>
  <c r="F20" i="31"/>
  <c r="M24" i="67"/>
  <c r="D35" i="9"/>
  <c r="F3" i="73"/>
  <c r="F9" i="15"/>
  <c r="C76" i="15"/>
  <c r="F6" i="15"/>
  <c r="L47" i="15"/>
  <c r="E11" i="76"/>
  <c r="M9" i="15"/>
  <c r="AO11" i="1"/>
  <c r="F36" i="67"/>
  <c r="AO8" i="1"/>
  <c r="M29" i="15"/>
  <c r="D3" i="73"/>
  <c r="F41" i="67"/>
  <c r="J15" i="15"/>
  <c r="D7" i="73"/>
  <c r="AO7" i="1"/>
  <c r="B9" i="76"/>
  <c r="F4" i="73"/>
  <c r="F40" i="15"/>
  <c r="E8" i="76"/>
  <c r="F40" i="67"/>
  <c r="D2" i="33"/>
  <c r="M22" i="15"/>
  <c r="F43" i="15"/>
  <c r="J15" i="67"/>
  <c r="C76" i="67"/>
  <c r="F7" i="73"/>
  <c r="E12" i="76"/>
  <c r="E2" i="69"/>
  <c r="M23" i="67"/>
  <c r="F13" i="67"/>
  <c r="D2" i="21"/>
  <c r="B12" i="76"/>
  <c r="F8" i="67"/>
  <c r="M6" i="15"/>
  <c r="D5" i="73"/>
  <c r="F43" i="67"/>
  <c r="F13" i="15"/>
  <c r="AO10" i="1"/>
  <c r="M9" i="67"/>
  <c r="B10" i="76"/>
  <c r="F38" i="67"/>
  <c r="E2" i="68"/>
  <c r="L48" i="15"/>
  <c r="E13" i="76"/>
  <c r="F7" i="15"/>
  <c r="M22" i="67"/>
  <c r="B7" i="76"/>
  <c r="M23" i="15"/>
  <c r="D34" i="9"/>
  <c r="F8" i="15"/>
  <c r="M28" i="15"/>
  <c r="L47" i="67"/>
  <c r="B13" i="76"/>
  <c r="F9" i="67"/>
  <c r="D6" i="73"/>
  <c r="F37" i="15"/>
  <c r="F26" i="15"/>
  <c r="B11" i="76"/>
  <c r="AO13" i="1"/>
  <c r="F26" i="67"/>
  <c r="B8" i="76"/>
  <c r="M8" i="67"/>
  <c r="L48" i="67"/>
  <c r="F42" i="67"/>
  <c r="M6" i="67"/>
  <c r="M27" i="15"/>
  <c r="D2" i="35"/>
  <c r="AO9" i="1"/>
  <c r="F36" i="15"/>
  <c r="M26" i="67"/>
  <c r="P61" i="15" l="1"/>
  <c r="J53" i="15"/>
  <c r="F1" i="15" s="1"/>
  <c r="R25" i="31"/>
  <c r="S25" i="31" s="1"/>
  <c r="R26" i="31"/>
  <c r="S26" i="31" s="1"/>
  <c r="C9" i="68"/>
  <c r="AC11" i="39"/>
  <c r="C94" i="9"/>
  <c r="C92" i="9"/>
  <c r="F32" i="15"/>
  <c r="F60" i="15" s="1"/>
  <c r="F31" i="12"/>
  <c r="C31" i="12" s="1"/>
  <c r="F32" i="67"/>
  <c r="F60" i="67" s="1"/>
  <c r="F30" i="11"/>
  <c r="C48" i="11" s="1"/>
  <c r="D93" i="9"/>
  <c r="C30" i="11"/>
  <c r="F54" i="9"/>
  <c r="M18" i="15"/>
  <c r="F30" i="69"/>
  <c r="C48" i="69" s="1"/>
  <c r="F28" i="67"/>
  <c r="C28" i="67" s="1"/>
  <c r="F30" i="68"/>
  <c r="C30" i="68" s="1"/>
  <c r="C13" i="12"/>
  <c r="D68" i="9"/>
  <c r="C30" i="69"/>
  <c r="C48" i="68"/>
  <c r="F28" i="15"/>
  <c r="C28" i="15" s="1"/>
  <c r="M18" i="67"/>
  <c r="F52" i="9"/>
  <c r="C40" i="69"/>
  <c r="C47" i="69" s="1"/>
  <c r="D45" i="69" s="1"/>
  <c r="L27" i="6"/>
  <c r="AZ15" i="3"/>
  <c r="O7" i="1"/>
  <c r="P7" i="1" s="1"/>
  <c r="C34" i="69"/>
  <c r="C38" i="69" s="1"/>
  <c r="H16" i="1"/>
  <c r="AZ5" i="3"/>
  <c r="F27" i="11"/>
  <c r="E59" i="40"/>
  <c r="E13" i="6"/>
  <c r="E15" i="6"/>
  <c r="E16" i="6" s="1"/>
  <c r="E12"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F27" i="6"/>
  <c r="F31" i="6" s="1"/>
  <c r="E51" i="40"/>
  <c r="E56" i="39"/>
  <c r="E97" i="3"/>
  <c r="E143" i="3"/>
  <c r="E285" i="3"/>
  <c r="E337" i="3"/>
  <c r="E359" i="3"/>
  <c r="E410" i="3"/>
  <c r="E574" i="3"/>
  <c r="E555" i="3"/>
  <c r="O6" i="3"/>
  <c r="E388" i="3"/>
  <c r="E302" i="3"/>
  <c r="E503" i="3"/>
  <c r="E17" i="3"/>
  <c r="E361" i="3"/>
  <c r="D9" i="69"/>
  <c r="C9" i="69" s="1"/>
  <c r="O12" i="1"/>
  <c r="P12" i="1" s="1"/>
  <c r="M16" i="1"/>
  <c r="L16" i="1" s="1"/>
  <c r="B113" i="43"/>
  <c r="G101" i="43"/>
  <c r="J101" i="43"/>
  <c r="L101" i="43"/>
  <c r="D101" i="43"/>
  <c r="M101" i="43"/>
  <c r="I101" i="43"/>
  <c r="E101" i="43"/>
  <c r="S2" i="43"/>
  <c r="S5" i="43"/>
  <c r="C23" i="43"/>
  <c r="C21" i="43" s="1"/>
  <c r="S4" i="43"/>
  <c r="S7"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J22" i="43"/>
  <c r="F28" i="12"/>
  <c r="C29" i="12" s="1"/>
  <c r="D28" i="12" s="1"/>
  <c r="P14" i="1"/>
  <c r="AY6" i="3"/>
  <c r="E3" i="6"/>
  <c r="E30" i="6"/>
  <c r="K15" i="1"/>
  <c r="K16" i="1" s="1"/>
  <c r="O9" i="1"/>
  <c r="P9" i="1" s="1"/>
  <c r="O8" i="1"/>
  <c r="T35" i="4"/>
  <c r="A19" i="51" s="1"/>
  <c r="B14" i="72" s="1"/>
  <c r="G16" i="1"/>
  <c r="H10" i="40" s="1"/>
  <c r="M63" i="40"/>
  <c r="L65" i="40"/>
  <c r="G59" i="34"/>
  <c r="E46" i="36"/>
  <c r="F46" i="36" s="1"/>
  <c r="G46" i="36" s="1"/>
  <c r="H46" i="36" s="1"/>
  <c r="I46" i="36" s="1"/>
  <c r="J46" i="36" s="1"/>
  <c r="K46" i="36" s="1"/>
  <c r="L46" i="36" s="1"/>
  <c r="M46" i="36" s="1"/>
  <c r="N46" i="36" s="1"/>
  <c r="O46" i="36" s="1"/>
  <c r="F7" i="36"/>
  <c r="J7" i="36"/>
  <c r="H7" i="36"/>
  <c r="D58" i="21"/>
  <c r="AC7" i="33"/>
  <c r="V48" i="33" s="1"/>
  <c r="I48" i="33" s="1"/>
  <c r="H48" i="35"/>
  <c r="I48" i="35" s="1"/>
  <c r="J48" i="35" s="1"/>
  <c r="K48" i="35" s="1"/>
  <c r="L48" i="35" s="1"/>
  <c r="M48" i="35" s="1"/>
  <c r="N48" i="35" s="1"/>
  <c r="O48" i="35" s="1"/>
  <c r="J7" i="35"/>
  <c r="H7" i="35"/>
  <c r="F7" i="35"/>
  <c r="G52" i="37"/>
  <c r="H52" i="37" s="1"/>
  <c r="I52" i="37" s="1"/>
  <c r="J52" i="37" s="1"/>
  <c r="K52" i="37" s="1"/>
  <c r="L52" i="37" s="1"/>
  <c r="M52" i="37" s="1"/>
  <c r="N52" i="37" s="1"/>
  <c r="O52" i="37" s="1"/>
  <c r="H7" i="37"/>
  <c r="F7" i="37"/>
  <c r="J7" i="37"/>
  <c r="C70" i="39"/>
  <c r="D68" i="39"/>
  <c r="C20" i="43"/>
  <c r="F7" i="71"/>
  <c r="F6" i="71" s="1"/>
  <c r="F5" i="71" s="1"/>
  <c r="Y6" i="71"/>
  <c r="Z6" i="71" s="1"/>
  <c r="B7" i="49"/>
  <c r="E7" i="49"/>
  <c r="B15" i="49"/>
  <c r="AB3" i="71"/>
  <c r="X3" i="71"/>
  <c r="C7" i="71"/>
  <c r="E7" i="71"/>
  <c r="E6" i="71" s="1"/>
  <c r="E5"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AE6" i="1"/>
  <c r="F41" i="15" s="1"/>
  <c r="F27" i="68"/>
  <c r="C34" i="68"/>
  <c r="C14" i="15"/>
  <c r="C16" i="67"/>
  <c r="F31" i="15"/>
  <c r="M17" i="15"/>
  <c r="C16" i="15"/>
  <c r="F59" i="67"/>
  <c r="C17" i="67"/>
  <c r="F59" i="15"/>
  <c r="F31" i="67"/>
  <c r="C17" i="15"/>
  <c r="M17" i="67"/>
  <c r="C14" i="67"/>
  <c r="G1" i="73"/>
  <c r="Q52" i="15" l="1"/>
  <c r="F69" i="15"/>
  <c r="S22" i="31"/>
  <c r="R22" i="31" s="1"/>
  <c r="B21" i="31" s="1"/>
  <c r="B20" i="31"/>
  <c r="C29" i="68"/>
  <c r="D27" i="68" s="1"/>
  <c r="C47" i="68"/>
  <c r="D45" i="68" s="1"/>
  <c r="O16" i="1"/>
  <c r="E60" i="40"/>
  <c r="E65" i="39"/>
  <c r="E58" i="40"/>
  <c r="E63" i="39"/>
  <c r="C47" i="11"/>
  <c r="D45" i="11" s="1"/>
  <c r="C29" i="11"/>
  <c r="D27" i="11" s="1"/>
  <c r="AC6" i="3"/>
  <c r="E57" i="40"/>
  <c r="E62" i="39"/>
  <c r="H6" i="3"/>
  <c r="E27" i="6"/>
  <c r="D22" i="43"/>
  <c r="N16" i="1"/>
  <c r="F50" i="68" s="1"/>
  <c r="C34" i="11"/>
  <c r="C38" i="11" s="1"/>
  <c r="H107" i="43"/>
  <c r="H106" i="43"/>
  <c r="H105" i="43"/>
  <c r="H102" i="43"/>
  <c r="H103" i="43"/>
  <c r="H104" i="43"/>
  <c r="H109" i="43"/>
  <c r="F104" i="43"/>
  <c r="F107" i="43"/>
  <c r="F106" i="43"/>
  <c r="F105" i="43"/>
  <c r="F109" i="43"/>
  <c r="F102" i="43"/>
  <c r="F103" i="43"/>
  <c r="E104" i="43"/>
  <c r="E107" i="43"/>
  <c r="E105" i="43"/>
  <c r="E109" i="43"/>
  <c r="E102" i="43"/>
  <c r="E106" i="43"/>
  <c r="E103" i="43"/>
  <c r="M104" i="43"/>
  <c r="M107" i="43"/>
  <c r="M105" i="43"/>
  <c r="M109" i="43"/>
  <c r="M102" i="43"/>
  <c r="M106" i="43"/>
  <c r="M103" i="43"/>
  <c r="L109" i="43"/>
  <c r="L102" i="43"/>
  <c r="L105" i="43"/>
  <c r="L104" i="43"/>
  <c r="L106" i="43"/>
  <c r="L107" i="43"/>
  <c r="L103" i="43"/>
  <c r="G105" i="43"/>
  <c r="G102" i="43"/>
  <c r="G103" i="43"/>
  <c r="G106" i="43"/>
  <c r="G107" i="43"/>
  <c r="G104" i="43"/>
  <c r="G109" i="43"/>
  <c r="P8" i="1"/>
  <c r="P16" i="1" s="1"/>
  <c r="C11" i="12" s="1"/>
  <c r="C104" i="43"/>
  <c r="C105" i="43"/>
  <c r="C106" i="43"/>
  <c r="C107" i="43"/>
  <c r="C103" i="43"/>
  <c r="C102" i="43"/>
  <c r="C109" i="43"/>
  <c r="N102" i="43"/>
  <c r="N103" i="43"/>
  <c r="N106" i="43"/>
  <c r="N104" i="43"/>
  <c r="N109" i="43"/>
  <c r="N105" i="43"/>
  <c r="N107" i="43"/>
  <c r="K103" i="43"/>
  <c r="K107" i="43"/>
  <c r="K104" i="43"/>
  <c r="K105" i="43"/>
  <c r="K109" i="43"/>
  <c r="K102" i="43"/>
  <c r="K106" i="43"/>
  <c r="I102" i="43"/>
  <c r="I106" i="43"/>
  <c r="I103" i="43"/>
  <c r="I109" i="43"/>
  <c r="I104" i="43"/>
  <c r="I107" i="43"/>
  <c r="I105" i="43"/>
  <c r="D103" i="43"/>
  <c r="D104" i="43"/>
  <c r="D107" i="43"/>
  <c r="D109" i="43"/>
  <c r="D105" i="43"/>
  <c r="D106" i="43"/>
  <c r="D102"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F50" i="11"/>
  <c r="C18" i="15"/>
  <c r="C15" i="15"/>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103" i="3"/>
  <c r="AY50" i="3"/>
  <c r="AY160"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20" i="3"/>
  <c r="AY518" i="3"/>
  <c r="AY552" i="3"/>
  <c r="AY559" i="3"/>
  <c r="AY67" i="3"/>
  <c r="AY19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C17" i="4"/>
  <c r="B4" i="52" s="1"/>
  <c r="B43" i="72" s="1"/>
  <c r="L18" i="9"/>
  <c r="D3" i="37"/>
  <c r="D37" i="11"/>
  <c r="C37" i="11" s="1"/>
  <c r="M18" i="9"/>
  <c r="B118" i="9" s="1"/>
  <c r="B14" i="74" s="1"/>
  <c r="B1" i="74" s="1"/>
  <c r="D3" i="21"/>
  <c r="D19" i="11"/>
  <c r="C19" i="11" s="1"/>
  <c r="D14" i="12"/>
  <c r="J10" i="39"/>
  <c r="W10" i="39" s="1"/>
  <c r="H10" i="39"/>
  <c r="AB10" i="39" s="1"/>
  <c r="F10" i="39"/>
  <c r="S10" i="39" s="1"/>
  <c r="F10" i="40"/>
  <c r="S10" i="40" s="1"/>
  <c r="J10" i="40"/>
  <c r="W10" i="40" s="1"/>
  <c r="D70" i="39"/>
  <c r="E68" i="39"/>
  <c r="AC7" i="37"/>
  <c r="V42" i="37" s="1"/>
  <c r="I42" i="37" s="1"/>
  <c r="W7" i="37"/>
  <c r="AB7" i="37"/>
  <c r="T42" i="37" s="1"/>
  <c r="G42" i="37" s="1"/>
  <c r="U7" i="37"/>
  <c r="AA7" i="35"/>
  <c r="R38" i="35" s="1"/>
  <c r="S7" i="35"/>
  <c r="AC7" i="35"/>
  <c r="V38" i="35" s="1"/>
  <c r="I38" i="35" s="1"/>
  <c r="W7" i="35"/>
  <c r="I52" i="33"/>
  <c r="J52" i="33" s="1"/>
  <c r="G53" i="33"/>
  <c r="H53" i="33" s="1"/>
  <c r="I53" i="33"/>
  <c r="J53" i="33" s="1"/>
  <c r="U7" i="36"/>
  <c r="AB7" i="36"/>
  <c r="T36" i="36" s="1"/>
  <c r="G36" i="36" s="1"/>
  <c r="S7" i="36"/>
  <c r="AA7" i="36"/>
  <c r="R36" i="36" s="1"/>
  <c r="H59" i="34"/>
  <c r="U10" i="40"/>
  <c r="AB10" i="40"/>
  <c r="S7" i="37"/>
  <c r="AA7" i="37"/>
  <c r="R42" i="37" s="1"/>
  <c r="AB7" i="35"/>
  <c r="T38" i="35" s="1"/>
  <c r="G38" i="35" s="1"/>
  <c r="U7" i="35"/>
  <c r="E58" i="21"/>
  <c r="W7" i="36"/>
  <c r="AC7" i="36"/>
  <c r="V36" i="36" s="1"/>
  <c r="I36" i="36" s="1"/>
  <c r="N63" i="40"/>
  <c r="M65" i="40"/>
  <c r="P23" i="43"/>
  <c r="B71" i="39" s="1"/>
  <c r="C6" i="71"/>
  <c r="C5" i="71" s="1"/>
  <c r="D5" i="71" s="1"/>
  <c r="D7" i="71"/>
  <c r="P25" i="43"/>
  <c r="C49" i="67"/>
  <c r="C49" i="15"/>
  <c r="C38" i="68"/>
  <c r="C35" i="68"/>
  <c r="B40" i="1"/>
  <c r="C18" i="67"/>
  <c r="C15" i="67"/>
  <c r="M11" i="15"/>
  <c r="J10" i="15" s="1"/>
  <c r="J5" i="15" s="1"/>
  <c r="F11" i="67"/>
  <c r="F11" i="15"/>
  <c r="M11" i="67"/>
  <c r="J10" i="67" s="1"/>
  <c r="J5" i="67" s="1"/>
  <c r="Q73" i="67"/>
  <c r="Q60" i="67"/>
  <c r="P28" i="43"/>
  <c r="M28" i="43"/>
  <c r="N28" i="43"/>
  <c r="O28" i="43"/>
  <c r="Q60" i="15"/>
  <c r="Q73" i="15"/>
  <c r="Q74" i="15"/>
  <c r="Q61" i="15"/>
  <c r="Q61" i="67"/>
  <c r="Q74" i="67"/>
  <c r="U10" i="39" l="1"/>
  <c r="C19" i="15"/>
  <c r="C20" i="15" s="1"/>
  <c r="C26" i="15" s="1"/>
  <c r="C35" i="11"/>
  <c r="C33" i="11" s="1"/>
  <c r="C39" i="11" s="1"/>
  <c r="C46" i="11" s="1"/>
  <c r="C45" i="11" s="1"/>
  <c r="F50" i="69"/>
  <c r="E66" i="39"/>
  <c r="E6" i="3"/>
  <c r="AA10" i="40"/>
  <c r="K21" i="6"/>
  <c r="M21" i="6" s="1"/>
  <c r="I21" i="6" s="1"/>
  <c r="S21" i="6" s="1"/>
  <c r="K22" i="6"/>
  <c r="M22" i="6" s="1"/>
  <c r="I22" i="6" s="1"/>
  <c r="S22" i="6" s="1"/>
  <c r="K25" i="6"/>
  <c r="M25" i="6" s="1"/>
  <c r="I25" i="6" s="1"/>
  <c r="S25" i="6" s="1"/>
  <c r="K23" i="6"/>
  <c r="M23" i="6" s="1"/>
  <c r="I23" i="6" s="1"/>
  <c r="S23" i="6" s="1"/>
  <c r="K20" i="6"/>
  <c r="M20" i="6" s="1"/>
  <c r="I20" i="6" s="1"/>
  <c r="S20" i="6" s="1"/>
  <c r="K26" i="6"/>
  <c r="M26" i="6" s="1"/>
  <c r="I26" i="6" s="1"/>
  <c r="S26" i="6" s="1"/>
  <c r="K24" i="6"/>
  <c r="M24" i="6" s="1"/>
  <c r="I24" i="6" s="1"/>
  <c r="S24" i="6" s="1"/>
  <c r="K19" i="6"/>
  <c r="S6" i="1" s="1"/>
  <c r="E31" i="6"/>
  <c r="C115" i="43"/>
  <c r="D113" i="43"/>
  <c r="C15" i="12"/>
  <c r="C12" i="12"/>
  <c r="AC10" i="40"/>
  <c r="AA10" i="39"/>
  <c r="AC10" i="39"/>
  <c r="C20" i="11"/>
  <c r="C28" i="11" s="1"/>
  <c r="C27" i="11" s="1"/>
  <c r="C7" i="74"/>
  <c r="C8" i="74"/>
  <c r="M19" i="9"/>
  <c r="C118" i="9" s="1"/>
  <c r="C14" i="74" s="1"/>
  <c r="B2" i="74" s="1"/>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D17" i="12"/>
  <c r="C17" i="12" s="1"/>
  <c r="C14" i="12"/>
  <c r="D10" i="11"/>
  <c r="C10" i="11" s="1"/>
  <c r="D20" i="12"/>
  <c r="C20" i="12" s="1"/>
  <c r="D10" i="69"/>
  <c r="O63" i="40"/>
  <c r="O65" i="40" s="1"/>
  <c r="N65" i="40"/>
  <c r="F7" i="40" s="1"/>
  <c r="F58" i="21"/>
  <c r="G42" i="35"/>
  <c r="H42" i="35" s="1"/>
  <c r="G43" i="35"/>
  <c r="H43" i="35" s="1"/>
  <c r="J7" i="40"/>
  <c r="H7" i="40"/>
  <c r="I59" i="34"/>
  <c r="F68" i="39"/>
  <c r="E70" i="39"/>
  <c r="I40" i="36"/>
  <c r="J40" i="36" s="1"/>
  <c r="E42" i="37"/>
  <c r="R43" i="37"/>
  <c r="E36" i="36"/>
  <c r="R37" i="36"/>
  <c r="G40" i="36"/>
  <c r="H40" i="36" s="1"/>
  <c r="G41" i="36"/>
  <c r="H41" i="36" s="1"/>
  <c r="I42" i="35"/>
  <c r="J42" i="35" s="1"/>
  <c r="I43" i="35"/>
  <c r="J43" i="35" s="1"/>
  <c r="E38" i="35"/>
  <c r="R39" i="35"/>
  <c r="G46" i="37"/>
  <c r="H46" i="37" s="1"/>
  <c r="G47" i="37"/>
  <c r="H47" i="37" s="1"/>
  <c r="I47" i="37"/>
  <c r="J47" i="37" s="1"/>
  <c r="I46" i="37"/>
  <c r="J46" i="37" s="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D10" i="68"/>
  <c r="AQ6" i="1" l="1"/>
  <c r="AR6" i="1"/>
  <c r="S16" i="1"/>
  <c r="T6" i="1"/>
  <c r="T16" i="1" s="1"/>
  <c r="R20" i="6"/>
  <c r="H24" i="6"/>
  <c r="R24" i="6" s="1"/>
  <c r="D16" i="6"/>
  <c r="D30" i="6"/>
  <c r="M19" i="6"/>
  <c r="K27" i="6"/>
  <c r="C16" i="12"/>
  <c r="R25" i="6"/>
  <c r="C10" i="68"/>
  <c r="D19" i="68"/>
  <c r="C10" i="69"/>
  <c r="C8" i="69" s="1"/>
  <c r="C5" i="69" s="1"/>
  <c r="C23" i="69" s="1"/>
  <c r="D19" i="69"/>
  <c r="R21" i="6"/>
  <c r="R26" i="6"/>
  <c r="D7" i="74"/>
  <c r="D8" i="74"/>
  <c r="R22" i="6"/>
  <c r="R23" i="6"/>
  <c r="A7" i="51"/>
  <c r="B7" i="72" s="1"/>
  <c r="C4" i="52"/>
  <c r="B45" i="72" s="1"/>
  <c r="A10" i="51"/>
  <c r="B9" i="72" s="1"/>
  <c r="D27" i="6"/>
  <c r="S7" i="40"/>
  <c r="AA7" i="40"/>
  <c r="R42" i="40" s="1"/>
  <c r="E43" i="35"/>
  <c r="F43" i="35" s="1"/>
  <c r="E42" i="35"/>
  <c r="F42" i="35" s="1"/>
  <c r="E40" i="36"/>
  <c r="F40" i="36" s="1"/>
  <c r="E41" i="36"/>
  <c r="F41" i="36" s="1"/>
  <c r="E47" i="37"/>
  <c r="F47" i="37" s="1"/>
  <c r="E46" i="37"/>
  <c r="F46" i="37" s="1"/>
  <c r="I41" i="36"/>
  <c r="J41" i="36" s="1"/>
  <c r="G68" i="39"/>
  <c r="F70" i="39"/>
  <c r="U7" i="40"/>
  <c r="AB7" i="40"/>
  <c r="T42" i="40" s="1"/>
  <c r="G42" i="40" s="1"/>
  <c r="G58" i="21"/>
  <c r="C38" i="35"/>
  <c r="C39" i="35"/>
  <c r="B2" i="35" s="1"/>
  <c r="B3" i="35" s="1"/>
  <c r="C36" i="36"/>
  <c r="C37" i="36"/>
  <c r="B2" i="36" s="1"/>
  <c r="B3" i="36" s="1"/>
  <c r="C42" i="37"/>
  <c r="C43" i="37"/>
  <c r="B2" i="37" s="1"/>
  <c r="B3" i="37" s="1"/>
  <c r="J59" i="34"/>
  <c r="W7" i="40"/>
  <c r="AC7" i="40"/>
  <c r="V42" i="40" s="1"/>
  <c r="I42" i="40"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C8" i="68" l="1"/>
  <c r="C5" i="68" s="1"/>
  <c r="C23" i="68" s="1"/>
  <c r="B29" i="1"/>
  <c r="C18" i="12" s="1"/>
  <c r="C21" i="12" s="1"/>
  <c r="C22" i="12" s="1"/>
  <c r="C30" i="12" s="1"/>
  <c r="C28" i="12" s="1"/>
  <c r="D31" i="6"/>
  <c r="I6" i="6" s="1"/>
  <c r="I19" i="6"/>
  <c r="M27" i="6"/>
  <c r="C19" i="69"/>
  <c r="C24" i="69" s="1"/>
  <c r="D37" i="69"/>
  <c r="C37" i="69" s="1"/>
  <c r="C33" i="69" s="1"/>
  <c r="C19" i="68"/>
  <c r="D37" i="68"/>
  <c r="C37" i="68" s="1"/>
  <c r="C33" i="68" s="1"/>
  <c r="K59" i="34"/>
  <c r="G46" i="40"/>
  <c r="H46" i="40" s="1"/>
  <c r="G47" i="40"/>
  <c r="H47" i="40" s="1"/>
  <c r="I46" i="40"/>
  <c r="J46" i="40" s="1"/>
  <c r="H58" i="21"/>
  <c r="H68" i="39"/>
  <c r="G70" i="39"/>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C20" i="69" l="1"/>
  <c r="C25" i="69" s="1"/>
  <c r="C22" i="69" s="1"/>
  <c r="C27" i="12"/>
  <c r="C25" i="12" s="1"/>
  <c r="C32" i="12" s="1"/>
  <c r="B2" i="12" s="1"/>
  <c r="B3" i="12" s="1"/>
  <c r="I5" i="6"/>
  <c r="H19" i="6"/>
  <c r="S19" i="6"/>
  <c r="S27" i="6" s="1"/>
  <c r="I27" i="6"/>
  <c r="C39" i="68"/>
  <c r="C43" i="68" s="1"/>
  <c r="C42" i="68"/>
  <c r="C39" i="69"/>
  <c r="C42" i="69"/>
  <c r="C20" i="68"/>
  <c r="C24" i="68"/>
  <c r="E46" i="40"/>
  <c r="F46" i="40" s="1"/>
  <c r="E47" i="40"/>
  <c r="F47" i="40" s="1"/>
  <c r="I68" i="39"/>
  <c r="H70" i="39"/>
  <c r="I47" i="40"/>
  <c r="J47" i="40" s="1"/>
  <c r="C42" i="40"/>
  <c r="C43" i="40"/>
  <c r="I58" i="21"/>
  <c r="L59" i="34"/>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28" i="69" l="1"/>
  <c r="C27" i="69" s="1"/>
  <c r="C31" i="69" s="1"/>
  <c r="C41" i="68"/>
  <c r="H27" i="6"/>
  <c r="R19" i="6"/>
  <c r="C56" i="11"/>
  <c r="C57" i="11" s="1"/>
  <c r="C46" i="68"/>
  <c r="C45" i="68" s="1"/>
  <c r="C28" i="68"/>
  <c r="C27" i="68" s="1"/>
  <c r="C25" i="68"/>
  <c r="C22" i="68" s="1"/>
  <c r="C46" i="69"/>
  <c r="C45" i="69" s="1"/>
  <c r="C43" i="69"/>
  <c r="C41" i="69" s="1"/>
  <c r="M59" i="34"/>
  <c r="N59" i="34" s="1"/>
  <c r="O59" i="34" s="1"/>
  <c r="J7" i="34" s="1"/>
  <c r="J58" i="21"/>
  <c r="K58" i="21" s="1"/>
  <c r="L58" i="21" s="1"/>
  <c r="M58" i="21" s="1"/>
  <c r="N58" i="21" s="1"/>
  <c r="O58" i="21" s="1"/>
  <c r="H7" i="2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J68" i="39"/>
  <c r="I70" i="39"/>
  <c r="H7" i="34"/>
  <c r="E2" i="76"/>
  <c r="B2" i="76"/>
  <c r="B3" i="43"/>
  <c r="J16" i="67"/>
  <c r="J25" i="67" s="1"/>
  <c r="C40" i="67"/>
  <c r="Q69" i="67"/>
  <c r="Q68" i="67" s="1"/>
  <c r="C58" i="67"/>
  <c r="C67" i="67" s="1"/>
  <c r="C68" i="67" s="1"/>
  <c r="C80" i="67"/>
  <c r="C79" i="67" s="1"/>
  <c r="L51" i="67"/>
  <c r="C49" i="68" l="1"/>
  <c r="C51" i="68" s="1"/>
  <c r="C31" i="68"/>
  <c r="C49" i="69"/>
  <c r="C51" i="69" s="1"/>
  <c r="C52" i="69" s="1"/>
  <c r="B2" i="69" s="1"/>
  <c r="B3" i="69" s="1"/>
  <c r="R27" i="6"/>
  <c r="R6" i="1"/>
  <c r="U7" i="34"/>
  <c r="AB7" i="34"/>
  <c r="T49" i="34" s="1"/>
  <c r="G49" i="34" s="1"/>
  <c r="K68" i="39"/>
  <c r="J70" i="39"/>
  <c r="F7" i="21"/>
  <c r="J7" i="21"/>
  <c r="F7" i="34"/>
  <c r="U7" i="21"/>
  <c r="AB7" i="21"/>
  <c r="T48" i="21" s="1"/>
  <c r="G48" i="21" s="1"/>
  <c r="AC7" i="34"/>
  <c r="V49" i="34" s="1"/>
  <c r="I49" i="34" s="1"/>
  <c r="W7" i="34"/>
  <c r="B3" i="76"/>
  <c r="Q67" i="67"/>
  <c r="L57" i="67"/>
  <c r="L60" i="67" s="1"/>
  <c r="C71" i="67"/>
  <c r="C45" i="67"/>
  <c r="C46" i="67" s="1"/>
  <c r="Q56" i="67"/>
  <c r="Q47" i="67"/>
  <c r="Q53" i="67" s="1"/>
  <c r="Q65" i="67"/>
  <c r="C43" i="67"/>
  <c r="D2" i="67"/>
  <c r="C83" i="67"/>
  <c r="C82" i="67" s="1"/>
  <c r="M21" i="15"/>
  <c r="F35" i="15"/>
  <c r="F63" i="15" l="1"/>
  <c r="C62" i="15" s="1"/>
  <c r="C59" i="15" s="1"/>
  <c r="C58" i="15" s="1"/>
  <c r="C67" i="15" s="1"/>
  <c r="C68" i="15" s="1"/>
  <c r="C34" i="15"/>
  <c r="C31" i="15" s="1"/>
  <c r="C30" i="15" s="1"/>
  <c r="C39" i="15" s="1"/>
  <c r="J20" i="15"/>
  <c r="J17" i="15" s="1"/>
  <c r="J16" i="15" s="1"/>
  <c r="J25" i="15" s="1"/>
  <c r="R16" i="1"/>
  <c r="C52" i="68"/>
  <c r="B2" i="68" s="1"/>
  <c r="C57" i="69"/>
  <c r="C56" i="69" s="1"/>
  <c r="G52" i="21"/>
  <c r="H52" i="21" s="1"/>
  <c r="S7" i="34"/>
  <c r="AA7" i="34"/>
  <c r="R49" i="34" s="1"/>
  <c r="G53" i="34"/>
  <c r="H53" i="34" s="1"/>
  <c r="G54" i="34"/>
  <c r="H54" i="34" s="1"/>
  <c r="I53" i="34"/>
  <c r="J53" i="34" s="1"/>
  <c r="AC7" i="21"/>
  <c r="V48" i="21" s="1"/>
  <c r="I48" i="21" s="1"/>
  <c r="G53" i="21" s="1"/>
  <c r="H53" i="21" s="1"/>
  <c r="W7" i="21"/>
  <c r="S7" i="21"/>
  <c r="AA7" i="21"/>
  <c r="R48" i="21" s="1"/>
  <c r="L68" i="39"/>
  <c r="K70" i="39"/>
  <c r="Q66" i="67"/>
  <c r="Q75" i="67" s="1"/>
  <c r="Q57" i="67"/>
  <c r="Q62" i="67" s="1"/>
  <c r="B2" i="67"/>
  <c r="B3" i="67"/>
  <c r="L51" i="15"/>
  <c r="C19" i="9"/>
  <c r="Q67" i="15" l="1"/>
  <c r="L57" i="15"/>
  <c r="L60" i="15" s="1"/>
  <c r="C40" i="15"/>
  <c r="C80" i="15"/>
  <c r="C79" i="15" s="1"/>
  <c r="Q69" i="15"/>
  <c r="Q68" i="15" s="1"/>
  <c r="C71" i="15"/>
  <c r="C46" i="15"/>
  <c r="C102" i="9"/>
  <c r="C21" i="9"/>
  <c r="C57" i="68"/>
  <c r="C56" i="68" s="1"/>
  <c r="E48" i="21"/>
  <c r="R49" i="21"/>
  <c r="R50" i="34"/>
  <c r="E49" i="34"/>
  <c r="M68" i="39"/>
  <c r="L70" i="39"/>
  <c r="I52" i="21"/>
  <c r="J52" i="21" s="1"/>
  <c r="I53" i="21"/>
  <c r="J53" i="21" s="1"/>
  <c r="B3" i="68"/>
  <c r="C20" i="9"/>
  <c r="L46" i="15" l="1"/>
  <c r="Q57" i="15"/>
  <c r="Q66" i="15"/>
  <c r="Q65" i="15"/>
  <c r="C43" i="15"/>
  <c r="Q56" i="15"/>
  <c r="Q62" i="15" s="1"/>
  <c r="B2" i="15"/>
  <c r="Q47" i="15"/>
  <c r="Q53" i="15" s="1"/>
  <c r="C83" i="15"/>
  <c r="C82" i="15" s="1"/>
  <c r="C103" i="9"/>
  <c r="N68" i="39"/>
  <c r="M70" i="39"/>
  <c r="C50" i="34"/>
  <c r="B2" i="34" s="1"/>
  <c r="B3" i="34" s="1"/>
  <c r="C49" i="34"/>
  <c r="E52" i="21"/>
  <c r="F52" i="21" s="1"/>
  <c r="E53" i="21"/>
  <c r="F53" i="21" s="1"/>
  <c r="E54" i="34"/>
  <c r="F54" i="34" s="1"/>
  <c r="E53" i="34"/>
  <c r="F53" i="34" s="1"/>
  <c r="I54" i="34"/>
  <c r="J54" i="34" s="1"/>
  <c r="C48" i="21"/>
  <c r="C49" i="21"/>
  <c r="B2" i="21" s="1"/>
  <c r="B3" i="21" s="1"/>
  <c r="D19" i="9"/>
  <c r="AO6" i="1"/>
  <c r="B6" i="70" l="1"/>
  <c r="B2" i="70" s="1"/>
  <c r="B3" i="70" s="1"/>
  <c r="D21" i="9"/>
  <c r="D102" i="9"/>
  <c r="D22" i="9"/>
  <c r="G19" i="9"/>
  <c r="I5" i="77" s="1"/>
  <c r="B3" i="15"/>
  <c r="Q75" i="15"/>
  <c r="O68" i="39"/>
  <c r="O70" i="39" s="1"/>
  <c r="N70" i="39"/>
  <c r="D20" i="9"/>
  <c r="D103" i="9" l="1"/>
  <c r="G20" i="9"/>
  <c r="G21" i="9"/>
  <c r="C32" i="9"/>
  <c r="J7" i="39"/>
  <c r="F7" i="39"/>
  <c r="H7" i="39"/>
  <c r="H118" i="9" l="1"/>
  <c r="C35" i="9"/>
  <c r="F118" i="9" s="1"/>
  <c r="AB7" i="39"/>
  <c r="T47" i="39" s="1"/>
  <c r="G47" i="39" s="1"/>
  <c r="U7" i="39"/>
  <c r="S7" i="39"/>
  <c r="AA7" i="39"/>
  <c r="R47" i="39" s="1"/>
  <c r="AC7" i="39"/>
  <c r="V47" i="39" s="1"/>
  <c r="I47" i="39" s="1"/>
  <c r="W7" i="39"/>
  <c r="F4" i="52" l="1"/>
  <c r="B51" i="72" s="1"/>
  <c r="F119" i="9"/>
  <c r="F5" i="52" s="1"/>
  <c r="B53" i="72" s="1"/>
  <c r="G118" i="9"/>
  <c r="G4" i="52" s="1"/>
  <c r="B52" i="72" s="1"/>
  <c r="C34" i="9"/>
  <c r="D118" i="9" s="1"/>
  <c r="I118" i="9"/>
  <c r="H4" i="52"/>
  <c r="H119" i="9"/>
  <c r="H5" i="52" s="1"/>
  <c r="H101" i="9"/>
  <c r="D14" i="74"/>
  <c r="C104" i="9"/>
  <c r="I51" i="39"/>
  <c r="J51" i="39" s="1"/>
  <c r="G51" i="39"/>
  <c r="H51" i="39" s="1"/>
  <c r="G52" i="39"/>
  <c r="H52" i="39" s="1"/>
  <c r="E47" i="39"/>
  <c r="R48" i="39"/>
  <c r="D45" i="9" l="1"/>
  <c r="D5" i="53"/>
  <c r="M48" i="9"/>
  <c r="H107" i="9"/>
  <c r="D119" i="9"/>
  <c r="D5" i="52" s="1"/>
  <c r="B49" i="72" s="1"/>
  <c r="D4" i="52"/>
  <c r="B47" i="72" s="1"/>
  <c r="F14" i="74"/>
  <c r="E14" i="74"/>
  <c r="B5" i="74"/>
  <c r="I4" i="52"/>
  <c r="C105" i="9"/>
  <c r="E118" i="9"/>
  <c r="E4" i="52" s="1"/>
  <c r="B48" i="72" s="1"/>
  <c r="H102" i="9"/>
  <c r="D7" i="53" s="1"/>
  <c r="B21" i="72" s="1"/>
  <c r="E52" i="39"/>
  <c r="F52" i="39" s="1"/>
  <c r="E51" i="39"/>
  <c r="F51" i="39" s="1"/>
  <c r="C48" i="39"/>
  <c r="C47" i="39"/>
  <c r="I52" i="39"/>
  <c r="J52" i="39" s="1"/>
  <c r="H108" i="9" l="1"/>
  <c r="D15" i="53" s="1"/>
  <c r="B31" i="72" s="1"/>
  <c r="D13" i="53"/>
  <c r="D122" i="9"/>
  <c r="D6" i="53"/>
  <c r="B22" i="72" s="1"/>
  <c r="B20" i="72"/>
  <c r="C5" i="74"/>
  <c r="D5" i="74"/>
  <c r="D52" i="9"/>
  <c r="C72" i="9"/>
  <c r="D55" i="9"/>
  <c r="M53" i="9" s="1"/>
  <c r="D53" i="9"/>
  <c r="C64" i="9"/>
  <c r="C63" i="9" s="1"/>
  <c r="C67" i="9" s="1"/>
  <c r="C68" i="9" s="1"/>
  <c r="D54" i="9" s="1"/>
  <c r="C85" i="9"/>
  <c r="C78" i="9"/>
  <c r="C73" i="9" s="1"/>
  <c r="C93" i="9"/>
  <c r="C86" i="9" s="1"/>
  <c r="B61" i="39"/>
  <c r="F61" i="39" s="1"/>
  <c r="B56" i="39"/>
  <c r="F56" i="39" s="1"/>
  <c r="B59" i="39"/>
  <c r="F59" i="39" s="1"/>
  <c r="B65" i="39"/>
  <c r="F65" i="39" s="1"/>
  <c r="B63" i="39"/>
  <c r="F63" i="39" s="1"/>
  <c r="B60" i="39"/>
  <c r="F60" i="39" s="1"/>
  <c r="B58" i="39"/>
  <c r="F58" i="39" s="1"/>
  <c r="B64" i="39"/>
  <c r="F64" i="39" s="1"/>
  <c r="B57" i="39"/>
  <c r="F57" i="39" s="1"/>
  <c r="B62" i="39"/>
  <c r="F62" i="39" s="1"/>
  <c r="D14" i="53" l="1"/>
  <c r="B32" i="72" s="1"/>
  <c r="B30" i="72"/>
  <c r="C95" i="9"/>
  <c r="C79" i="9"/>
  <c r="D8" i="52"/>
  <c r="D123" i="9"/>
  <c r="D9" i="52" s="1"/>
  <c r="G14" i="74"/>
  <c r="B6" i="74" s="1"/>
  <c r="F66" i="39"/>
  <c r="B2" i="39" s="1"/>
  <c r="B3" i="39" s="1"/>
  <c r="C6" i="74" l="1"/>
  <c r="D6" i="74"/>
  <c r="C96" i="9"/>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<sst xmlns="http://schemas.openxmlformats.org/spreadsheetml/2006/main" count="7302" uniqueCount="3088">
  <si>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</si>
  <si>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</si>
  <si>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</si>
  <si>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</si>
  <si>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</si>
  <si>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</si>
  <si>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</si>
  <si>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</si>
  <si>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</si>
  <si>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</si>
  <si>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</si>
  <si>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</si>
  <si>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</si>
  <si>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</si>
  <si>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</si>
  <si>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</si>
  <si>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</si>
  <si>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</si>
  <si>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</si>
  <si>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</si>
  <si>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</si>
  <si>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</si>
  <si>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</si>
  <si>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</si>
  <si>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</si>
  <si>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</si>
  <si>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</si>
  <si>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</si>
  <si>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</si>
  <si>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</si>
  <si>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</si>
  <si>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</si>
  <si>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</si>
  <si>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</si>
  <si>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</si>
  <si>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</si>
  <si>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</si>
  <si>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</si>
  <si>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</si>
  <si>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</si>
  <si>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</si>
  <si>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</si>
  <si>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</si>
  <si>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</si>
  <si>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</si>
  <si>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</si>
  <si>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</si>
  <si>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</si>
  <si>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</si>
  <si>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</si>
  <si>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</si>
  <si>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</si>
  <si>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</si>
  <si>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</si>
  <si>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</si>
  <si>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</si>
  <si>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</si>
  <si>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</si>
  <si>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</si>
  <si>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</si>
  <si>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</si>
  <si>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</si>
  <si>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</si>
  <si>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</si>
  <si>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</si>
  <si>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</si>
  <si>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</si>
  <si>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</si>
  <si>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</si>
  <si>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</si>
  <si>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</si>
  <si>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</si>
  <si>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</si>
  <si>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</si>
  <si>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</si>
  <si>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</si>
  <si>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</si>
  <si>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</si>
  <si>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</si>
  <si>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</si>
  <si>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</si>
  <si>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</si>
  <si>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</si>
  <si>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</si>
  <si>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</si>
  <si>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</si>
  <si>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</si>
  <si>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</si>
  <si>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</si>
  <si>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</si>
  <si>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</si>
  <si>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</si>
  <si>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</si>
  <si>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</si>
  <si>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</si>
  <si>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</si>
  <si>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</si>
  <si>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</si>
  <si>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</si>
  <si>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</si>
  <si>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</si>
  <si>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</si>
  <si>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</si>
  <si>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</si>
  <si>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</si>
  <si>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</si>
  <si>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</si>
  <si>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</si>
  <si>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</si>
  <si>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</si>
  <si>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</si>
  <si>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</si>
  <si>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</si>
  <si>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</si>
  <si>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</si>
  <si>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</si>
  <si>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</si>
  <si>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</si>
  <si>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</si>
  <si>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</si>
  <si>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</si>
  <si>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</si>
  <si>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</si>
  <si>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</si>
  <si>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</si>
  <si>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</si>
  <si>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</si>
  <si>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</si>
  <si>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</si>
  <si>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</si>
  <si>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</si>
  <si>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</si>
  <si>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</si>
  <si>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</si>
  <si>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</si>
  <si>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</si>
  <si>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</si>
  <si>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</si>
  <si>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</si>
  <si>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</si>
  <si>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</si>
  <si>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</si>
  <si>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</si>
  <si>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</si>
  <si>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</si>
  <si>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</si>
  <si>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</si>
  <si>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</si>
  <si>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</si>
  <si>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</si>
  <si>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</si>
  <si>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</si>
  <si>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</si>
  <si>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</si>
  <si>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</si>
  <si>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</si>
  <si>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</si>
  <si>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</si>
  <si>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</si>
  <si>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</si>
  <si>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</si>
  <si>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</si>
  <si>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</si>
  <si>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</si>
  <si>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</si>
  <si>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</si>
  <si>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</si>
  <si>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</si>
  <si>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</si>
  <si>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</si>
  <si>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</si>
  <si>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</si>
  <si>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</si>
  <si>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</si>
  <si>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</si>
  <si>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</si>
  <si>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</si>
  <si>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</si>
  <si>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</si>
  <si>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</si>
  <si>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</si>
  <si>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</si>
  <si>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</si>
  <si>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</si>
  <si>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</si>
  <si>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</si>
  <si>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</si>
  <si>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</si>
  <si>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</si>
  <si>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</si>
  <si>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</si>
  <si>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</si>
  <si>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</si>
  <si>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</si>
  <si>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</si>
  <si>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</si>
  <si>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</si>
  <si>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</si>
  <si>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</si>
  <si>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</si>
  <si>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</si>
  <si>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</si>
  <si>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</si>
  <si>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</si>
  <si>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</si>
  <si>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</si>
  <si>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</si>
  <si>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</si>
  <si>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</si>
  <si>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</si>
  <si>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</si>
  <si>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</si>
  <si>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</si>
  <si>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</si>
  <si>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</si>
  <si>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</si>
  <si>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</si>
  <si>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</si>
  <si>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</si>
  <si>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</si>
  <si>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</si>
  <si>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</si>
  <si>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</si>
  <si>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</si>
  <si>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</si>
  <si>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</si>
  <si>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</si>
  <si>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</si>
  <si>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</si>
  <si>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</si>
  <si>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</si>
  <si>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</si>
  <si>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</si>
  <si>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</si>
  <si>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</si>
  <si>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</si>
  <si>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</si>
  <si>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</si>
  <si>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</si>
  <si>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</si>
  <si>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</si>
  <si>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</si>
  <si>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</si>
  <si>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</si>
  <si>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</si>
  <si>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</si>
  <si>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</si>
  <si>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</si>
  <si>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</si>
  <si>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</si>
  <si>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</si>
  <si>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</si>
  <si>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</si>
  <si>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</si>
  <si>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</si>
  <si>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</si>
  <si>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</si>
  <si>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</si>
  <si>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</si>
  <si>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</si>
  <si>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</si>
  <si>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</si>
  <si>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</si>
  <si>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</si>
  <si>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</si>
  <si>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</si>
  <si>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</si>
  <si>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</si>
  <si>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</si>
  <si>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</si>
  <si>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</si>
  <si>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</si>
  <si>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</si>
  <si>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</si>
  <si>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</si>
  <si>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</si>
  <si>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</si>
  <si>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</si>
  <si>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</si>
  <si>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</si>
  <si>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</si>
  <si>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</si>
  <si>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</si>
  <si>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</si>
  <si>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</si>
  <si>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</si>
  <si>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</si>
  <si>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</si>
  <si>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</si>
  <si>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</si>
  <si>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</si>
  <si>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</si>
  <si>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</si>
  <si>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</si>
  <si>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</si>
  <si>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</si>
  <si>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</si>
  <si>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</si>
  <si>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</si>
  <si>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</si>
  <si>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</si>
  <si>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</si>
  <si>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</si>
  <si>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</si>
  <si>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</si>
  <si>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</si>
  <si>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</si>
  <si>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</si>
  <si>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</si>
  <si>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</si>
  <si>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</si>
  <si>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</si>
  <si>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</si>
  <si>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</si>
  <si>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</si>
  <si>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</si>
  <si>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</si>
  <si>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</si>
  <si>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</si>
  <si>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</si>
  <si>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</si>
  <si>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</si>
  <si>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</si>
  <si>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</si>
  <si>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</si>
  <si>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</si>
  <si>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</si>
  <si>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</si>
  <si>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</si>
  <si>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</si>
  <si>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</si>
  <si>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</si>
  <si>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</si>
  <si>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</si>
  <si>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</si>
  <si>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</si>
  <si>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</si>
  <si>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</si>
  <si>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</si>
  <si>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</si>
  <si>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</si>
  <si>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</si>
  <si>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</si>
  <si>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</si>
  <si>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</si>
  <si>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</si>
  <si>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</si>
  <si>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</si>
  <si>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</si>
  <si>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</si>
  <si>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</si>
  <si>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</si>
  <si>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</si>
  <si>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</si>
  <si>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</si>
  <si>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</si>
  <si>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</si>
  <si>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</si>
  <si>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</si>
  <si>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</si>
  <si>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</si>
  <si>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</si>
  <si>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</si>
  <si>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</si>
  <si>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</si>
  <si>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</si>
  <si>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</si>
  <si>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</si>
  <si>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</si>
  <si>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</si>
  <si>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</si>
  <si>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</si>
  <si>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</si>
  <si>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</si>
  <si>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</si>
  <si>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</si>
  <si>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</si>
  <si>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</si>
  <si>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</si>
  <si>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</si>
  <si>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</si>
  <si>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</si>
  <si>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</si>
  <si>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</si>
  <si>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</si>
  <si>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</si>
  <si>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</si>
  <si>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</si>
  <si>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</si>
  <si>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</si>
  <si>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</si>
  <si>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</si>
  <si>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</si>
  <si>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</si>
  <si>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</si>
  <si>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</si>
  <si>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</si>
  <si>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</si>
  <si>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</si>
  <si>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</si>
  <si>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</si>
  <si>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</si>
  <si>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</si>
  <si>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</si>
  <si>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</si>
  <si>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</si>
  <si>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</si>
  <si>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</si>
  <si>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</si>
  <si>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</si>
  <si>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</si>
  <si>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</si>
  <si>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</si>
  <si>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</si>
  <si>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</si>
  <si>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</si>
  <si>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</si>
  <si>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</si>
  <si>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</si>
  <si>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</si>
  <si>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</si>
  <si>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</si>
  <si>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</si>
  <si>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</si>
  <si>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</si>
  <si>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</si>
  <si>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</si>
  <si>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</si>
  <si>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</si>
  <si>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</si>
  <si>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</si>
  <si>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</si>
  <si>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</si>
  <si>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</si>
  <si>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</si>
  <si>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</si>
  <si>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</si>
  <si>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</si>
  <si>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</si>
  <si>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</si>
  <si>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</si>
  <si>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</si>
  <si>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</si>
  <si>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</si>
  <si>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</si>
  <si>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</si>
  <si>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</si>
  <si>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</si>
  <si>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</si>
  <si>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</si>
  <si>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</si>
  <si>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</si>
  <si>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</si>
  <si>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</si>
  <si>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</si>
  <si>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</si>
  <si>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</si>
  <si>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</si>
  <si>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</si>
  <si>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</si>
  <si>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</si>
  <si>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</si>
  <si>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</si>
  <si>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</si>
  <si>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</si>
  <si>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</si>
  <si>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</si>
  <si>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</si>
  <si>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</si>
  <si>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</si>
  <si>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</si>
  <si>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</si>
  <si>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</si>
  <si>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</si>
  <si>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</si>
  <si>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</si>
  <si>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</si>
  <si>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</si>
  <si>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</si>
  <si>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</si>
  <si>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</si>
  <si>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</si>
  <si>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</si>
  <si>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</si>
  <si>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</si>
  <si>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</si>
  <si>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</si>
  <si>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</si>
  <si>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</si>
  <si>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</si>
  <si>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</si>
  <si>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</si>
  <si>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</si>
  <si>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</si>
  <si>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</si>
  <si>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</si>
  <si>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</si>
  <si>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</si>
  <si>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</si>
  <si>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</si>
  <si>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</si>
  <si>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</si>
  <si>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</si>
  <si>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</si>
  <si>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</si>
  <si>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</si>
  <si>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</si>
  <si>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</si>
  <si>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</si>
  <si>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</si>
  <si>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</si>
  <si>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</si>
  <si>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</si>
  <si>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</si>
  <si>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</si>
  <si>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</si>
  <si>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</si>
  <si>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</si>
  <si>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</si>
  <si>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</si>
  <si>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</si>
  <si>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</si>
  <si>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</si>
  <si>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</si>
  <si>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</si>
  <si>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</si>
  <si>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</si>
  <si>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</si>
  <si>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</si>
  <si>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</si>
  <si>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</si>
  <si>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</si>
  <si>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</si>
  <si>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</si>
  <si>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</si>
  <si>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</si>
  <si>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</si>
  <si>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</si>
  <si>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</si>
  <si>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</si>
  <si>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</si>
  <si>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</si>
  <si>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</si>
  <si>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</si>
  <si>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</si>
  <si>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</si>
  <si>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</si>
  <si>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</si>
  <si>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</si>
  <si>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</si>
  <si>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</si>
  <si>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</si>
  <si>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</si>
  <si>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</si>
  <si>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</si>
  <si>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</si>
  <si>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</si>
  <si>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</si>
  <si>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</si>
  <si>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</si>
  <si>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</si>
  <si>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</si>
  <si>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</si>
  <si>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</si>
  <si>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</si>
  <si>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</si>
  <si>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</si>
  <si>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</si>
  <si>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</si>
  <si>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</si>
  <si>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</si>
  <si>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</si>
  <si>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</si>
  <si>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</si>
  <si>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</si>
  <si>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</si>
  <si>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</si>
  <si>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</si>
  <si>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</si>
  <si>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</si>
  <si>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</si>
  <si>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</si>
  <si>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</si>
  <si>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</si>
  <si>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</si>
  <si>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</si>
  <si>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</si>
  <si>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</si>
  <si>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</si>
  <si>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</si>
  <si>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</si>
  <si>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</si>
  <si>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</si>
  <si>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</si>
  <si>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</si>
  <si>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</si>
  <si>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</si>
  <si>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</si>
  <si>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</si>
  <si>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</si>
  <si>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</si>
  <si>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</si>
  <si>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</si>
  <si>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</si>
  <si>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</si>
  <si>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</si>
  <si>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</si>
  <si>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</si>
  <si>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</si>
  <si>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</si>
  <si>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</si>
  <si>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</si>
  <si>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</si>
  <si>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</si>
  <si>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</si>
  <si>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</si>
  <si>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</si>
  <si>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</si>
  <si>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</si>
  <si>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</si>
  <si>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</si>
  <si>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</si>
  <si>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</si>
  <si>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</si>
  <si>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</si>
  <si>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</si>
  <si>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</si>
  <si>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</si>
  <si>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</si>
  <si>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</si>
  <si>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</si>
  <si>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</si>
  <si>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</si>
  <si>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</si>
  <si>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</si>
  <si>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</si>
  <si>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</si>
  <si>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</si>
  <si>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</si>
  <si>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</si>
  <si>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</si>
  <si>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</si>
  <si>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</si>
  <si>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</si>
  <si>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</si>
  <si>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</si>
  <si>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</si>
  <si>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</si>
  <si>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</si>
  <si>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</si>
  <si>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</si>
  <si>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</si>
  <si>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</si>
  <si>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</si>
  <si>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</si>
  <si>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</si>
  <si>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</si>
  <si>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</si>
  <si>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</si>
  <si>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</si>
  <si>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</si>
  <si>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</si>
  <si>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</si>
  <si>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</si>
  <si>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</si>
  <si>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</si>
  <si>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</si>
  <si>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</si>
  <si>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</si>
  <si>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</si>
  <si>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</si>
  <si>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</si>
  <si>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</si>
  <si>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</si>
  <si>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</si>
  <si>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</si>
  <si>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</si>
  <si>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</si>
  <si>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</si>
  <si>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</si>
  <si>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</si>
  <si>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</si>
  <si>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</si>
  <si>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</si>
  <si>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</si>
  <si>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</si>
  <si>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</si>
  <si>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</si>
  <si>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</si>
  <si>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</si>
  <si>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</si>
  <si>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</si>
  <si>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</si>
  <si>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</si>
  <si>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</si>
  <si>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</si>
  <si>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</si>
  <si>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</si>
  <si>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</si>
  <si>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</si>
  <si>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</si>
  <si>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</si>
  <si>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</si>
  <si>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</si>
  <si>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</si>
  <si>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</si>
  <si>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</si>
  <si>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</si>
  <si>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</si>
  <si>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</si>
  <si>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</si>
  <si>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</si>
  <si>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</si>
  <si>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</si>
  <si>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</si>
  <si>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</si>
  <si>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</si>
  <si>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</si>
  <si>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</si>
  <si>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</si>
  <si>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</si>
  <si>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</si>
  <si>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</si>
  <si>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</si>
  <si>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</si>
  <si>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</si>
  <si>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</si>
  <si>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</si>
  <si>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</si>
  <si>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</si>
  <si>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</si>
  <si>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</si>
  <si>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</si>
  <si>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</si>
  <si>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</si>
  <si>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</si>
  <si>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</si>
  <si>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</si>
  <si>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</si>
  <si>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</si>
  <si>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</si>
  <si>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</si>
  <si>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</si>
  <si>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</si>
  <si>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</si>
  <si>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</si>
  <si>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</si>
  <si>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</si>
  <si>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</si>
  <si>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</si>
  <si>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</si>
  <si>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</si>
  <si>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</si>
  <si>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</si>
  <si>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</si>
  <si>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</si>
  <si>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</si>
  <si>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</si>
  <si>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</si>
  <si>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</si>
  <si>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</si>
  <si>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</si>
  <si>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</si>
  <si>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</si>
  <si>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</si>
  <si>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</si>
  <si>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</si>
  <si>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</si>
  <si>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</si>
  <si>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</si>
  <si>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</si>
  <si>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</si>
  <si>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</si>
  <si>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</si>
  <si>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</si>
  <si>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</si>
  <si>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</si>
  <si>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</si>
  <si>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</si>
  <si>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</si>
  <si>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</si>
  <si>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</si>
  <si>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</si>
  <si>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</si>
  <si>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</si>
  <si>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</si>
  <si>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</si>
  <si>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</si>
  <si>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</si>
  <si>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</si>
  <si>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</si>
  <si>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</si>
  <si>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</si>
  <si>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</si>
  <si>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</si>
  <si>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</si>
  <si>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</si>
  <si>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</si>
  <si>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</si>
  <si>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</si>
  <si>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</si>
  <si>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</si>
  <si>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</si>
  <si>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</si>
  <si>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</si>
  <si>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</si>
  <si>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</si>
  <si>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</si>
  <si>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</si>
  <si>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</si>
  <si>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</si>
  <si>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</si>
  <si>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</si>
  <si>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</si>
  <si>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</si>
  <si>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</si>
  <si>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</si>
  <si>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</si>
  <si>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</si>
  <si>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</si>
  <si>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</si>
  <si>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</si>
  <si>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</si>
  <si>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</si>
  <si>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</si>
  <si>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</si>
  <si>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</si>
  <si>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</si>
  <si>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</si>
  <si>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</si>
  <si>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</si>
  <si>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</si>
  <si>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</si>
  <si>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</si>
  <si>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</si>
  <si>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</si>
  <si>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</si>
  <si>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</si>
  <si>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</si>
  <si>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</si>
  <si>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</si>
  <si>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</si>
  <si>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</si>
  <si>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</si>
  <si>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</si>
  <si>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</si>
  <si>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</si>
  <si>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</si>
  <si>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</si>
  <si>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</si>
  <si>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</si>
  <si>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</si>
  <si>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</si>
  <si>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</si>
  <si>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</si>
  <si>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</si>
  <si>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</si>
  <si>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</si>
  <si>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</si>
  <si>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</si>
  <si>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</si>
  <si>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</si>
  <si>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</si>
  <si>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</si>
  <si>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</si>
  <si>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</si>
  <si>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</si>
  <si>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</si>
  <si>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</si>
  <si>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</si>
  <si>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</si>
  <si>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</si>
  <si>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</si>
  <si>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</si>
  <si>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</si>
  <si>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</si>
  <si>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</si>
  <si>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</si>
  <si>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</si>
  <si>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</si>
  <si>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</si>
  <si>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</si>
  <si>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</si>
  <si>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</si>
  <si>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</si>
  <si>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</si>
  <si>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</si>
  <si>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</si>
  <si>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</si>
  <si>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</si>
  <si>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</si>
  <si>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</si>
  <si>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</si>
  <si>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</si>
  <si>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</si>
  <si>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</si>
  <si>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</si>
  <si>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</si>
  <si>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</si>
  <si>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</si>
  <si>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</si>
  <si>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</si>
  <si>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</si>
  <si>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</si>
  <si>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</si>
  <si>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</si>
  <si>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</si>
  <si>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</si>
  <si>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</si>
  <si>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</si>
  <si>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</si>
  <si>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</si>
  <si>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</si>
  <si>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</si>
  <si>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</si>
  <si>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</si>
  <si>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</si>
  <si>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</si>
  <si>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</si>
  <si>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</si>
  <si>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</si>
  <si>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</si>
  <si>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</si>
  <si>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</si>
  <si>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</si>
  <si>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</si>
  <si>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</si>
  <si>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</si>
  <si>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</si>
  <si>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</si>
  <si>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</si>
  <si>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</si>
  <si>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</si>
  <si>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</si>
  <si>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</si>
  <si>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</si>
  <si>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</si>
  <si>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</si>
  <si>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</si>
  <si>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</si>
  <si>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</si>
  <si>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</si>
  <si>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</si>
  <si>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</si>
  <si>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</si>
  <si>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</si>
  <si>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</si>
  <si>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</si>
  <si>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</si>
  <si>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</si>
  <si>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</si>
  <si>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</si>
  <si>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</si>
  <si>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</si>
  <si>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</si>
  <si>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</si>
  <si>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</si>
  <si>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</si>
  <si>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</si>
  <si>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</si>
  <si>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</si>
  <si>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</si>
  <si>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</si>
  <si>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</si>
  <si>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</si>
  <si>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</si>
  <si>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</si>
  <si>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</si>
  <si>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</si>
  <si>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</si>
  <si>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</si>
  <si>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</si>
  <si>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</si>
  <si>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</si>
  <si>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</si>
  <si>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</si>
  <si>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</si>
  <si>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</si>
  <si>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</si>
  <si>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</si>
  <si>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</si>
  <si>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</si>
  <si>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</si>
  <si>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</si>
  <si>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</si>
  <si>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</si>
  <si>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</si>
  <si>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</si>
  <si>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</si>
  <si>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</si>
  <si>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</si>
  <si>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</si>
  <si>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</si>
  <si>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</si>
  <si>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</si>
  <si>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</si>
  <si>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</si>
  <si>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</si>
  <si>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</si>
  <si>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</si>
  <si>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</si>
  <si>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</si>
  <si>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</si>
  <si>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</si>
  <si>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</si>
  <si>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</si>
  <si>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</si>
  <si>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</si>
  <si>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</si>
  <si>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</si>
  <si>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</si>
  <si>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</si>
  <si>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</si>
  <si>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</si>
  <si>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</si>
  <si>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</si>
  <si>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</si>
  <si>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</si>
  <si>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</si>
  <si>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</si>
  <si>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</si>
  <si>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</si>
  <si>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</si>
  <si>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</si>
  <si>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</si>
  <si>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</si>
  <si>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</si>
  <si>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</si>
  <si>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</si>
  <si>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</si>
  <si>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</si>
  <si>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</si>
  <si>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</si>
  <si>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</si>
  <si>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</si>
  <si>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</si>
  <si>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</si>
  <si>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</si>
  <si>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</si>
  <si>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</si>
  <si>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</si>
  <si>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</si>
  <si>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</si>
  <si>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</si>
  <si>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</si>
  <si>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</si>
  <si>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</si>
  <si>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</si>
  <si>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</si>
  <si>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</si>
  <si>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</si>
  <si>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</si>
  <si>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</si>
  <si>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</si>
  <si>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</si>
  <si>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</si>
  <si>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</si>
  <si>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</si>
  <si>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</si>
  <si>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</si>
  <si>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</si>
  <si>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</si>
  <si>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</si>
  <si>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</si>
  <si>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</si>
  <si>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</si>
  <si>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</si>
  <si>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</si>
  <si>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</si>
  <si>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</si>
  <si>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</si>
  <si>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</si>
  <si>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</si>
  <si>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</si>
  <si>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</si>
  <si>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</si>
  <si>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</si>
  <si>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</si>
  <si>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</si>
  <si>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</si>
  <si>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</si>
  <si>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</si>
  <si>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</si>
  <si>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</si>
  <si>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</si>
  <si>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</si>
  <si>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</si>
  <si>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</si>
  <si>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</si>
  <si>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</si>
  <si>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</si>
  <si>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</si>
  <si>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</si>
  <si>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</si>
  <si>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</si>
  <si>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</si>
  <si>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</si>
  <si>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</si>
  <si>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</si>
  <si>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</si>
  <si>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</si>
  <si>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</si>
  <si>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</si>
  <si>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</si>
  <si>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</si>
  <si>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</si>
  <si>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</si>
  <si>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</si>
  <si>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</si>
  <si>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</si>
  <si>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</si>
  <si>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</si>
  <si>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</si>
  <si>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</si>
  <si>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</si>
  <si>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</si>
  <si>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</si>
  <si>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</si>
  <si>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</si>
  <si>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</si>
  <si>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</si>
  <si>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</si>
  <si>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</si>
  <si>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</si>
  <si>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</si>
  <si>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</si>
  <si>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</si>
  <si>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</si>
  <si>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</si>
  <si>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</si>
  <si>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</si>
  <si>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</si>
  <si>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</si>
  <si>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</si>
  <si>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</si>
  <si>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</si>
  <si>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</si>
  <si>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</si>
  <si>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</si>
  <si>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</si>
  <si>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</si>
  <si>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</si>
  <si>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</si>
  <si>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</si>
  <si>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</si>
  <si>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</si>
  <si>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</si>
  <si>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</si>
  <si>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</si>
  <si>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</si>
  <si>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</si>
  <si>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</si>
  <si>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</si>
  <si>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</si>
  <si>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</si>
  <si>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</si>
  <si>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</si>
  <si>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</si>
  <si>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</si>
  <si>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</si>
  <si>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</si>
  <si>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</si>
  <si>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</si>
  <si>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</si>
  <si>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</si>
  <si>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</si>
  <si>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</si>
  <si>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</si>
  <si>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</si>
  <si>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</si>
  <si>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</si>
  <si>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</si>
  <si>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</si>
  <si>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</si>
  <si>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</si>
  <si>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</si>
  <si>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</si>
  <si>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</si>
  <si>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</si>
  <si>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</si>
  <si>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</si>
  <si>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</si>
  <si>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</si>
  <si>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</si>
  <si>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</si>
  <si>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</si>
  <si>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</si>
  <si>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</si>
  <si>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</si>
  <si>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</si>
  <si>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</si>
  <si>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</si>
  <si>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</si>
  <si>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</si>
  <si>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</si>
  <si>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</si>
  <si>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</si>
  <si>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</si>
  <si>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</si>
  <si>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</si>
  <si>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</si>
  <si>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</si>
  <si>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</si>
  <si>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</si>
  <si>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</si>
  <si>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</si>
  <si>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</si>
  <si>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</si>
  <si>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</si>
  <si>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</si>
  <si>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</si>
  <si>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</si>
  <si>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</si>
  <si>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</si>
  <si>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</si>
  <si>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</si>
  <si>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</si>
  <si>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</si>
  <si>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</si>
  <si>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</si>
  <si>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</si>
  <si>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</si>
  <si>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</si>
  <si>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</si>
  <si>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</si>
  <si>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</si>
  <si>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</si>
  <si>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</si>
  <si>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</si>
  <si>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</si>
  <si>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</si>
  <si>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</si>
  <si>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</si>
  <si>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</si>
  <si>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</si>
  <si>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</si>
  <si>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</si>
  <si>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</si>
  <si>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</si>
  <si>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</si>
  <si>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</si>
  <si>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</si>
  <si>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</si>
  <si>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</si>
  <si>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</si>
  <si>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</si>
  <si>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</si>
  <si>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</si>
  <si>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</si>
  <si>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</si>
  <si>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</si>
  <si>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</si>
  <si>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</si>
  <si>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</si>
  <si>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</si>
  <si>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</si>
  <si>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</si>
  <si>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</si>
  <si>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</si>
  <si>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</si>
  <si>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</si>
  <si>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</si>
  <si>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</si>
  <si>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</si>
  <si>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</si>
  <si>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</si>
  <si>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</si>
  <si>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</si>
  <si>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</si>
  <si>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</si>
  <si>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</si>
  <si>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</si>
  <si>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</si>
  <si>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</si>
  <si>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</si>
  <si>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</si>
  <si>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</si>
  <si>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</si>
  <si>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</si>
  <si>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</si>
  <si>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</si>
  <si>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</si>
  <si>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</si>
  <si>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</si>
  <si>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</si>
  <si>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</si>
  <si>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</si>
  <si>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</si>
  <si>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</si>
  <si>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</si>
  <si>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</si>
  <si>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</si>
  <si>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</si>
  <si>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</si>
  <si>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</si>
  <si>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</si>
  <si>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</si>
  <si>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</si>
  <si>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</si>
  <si>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</si>
  <si>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</si>
  <si>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</si>
  <si>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</si>
  <si>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</si>
  <si>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</si>
  <si>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</si>
  <si>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</si>
  <si>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</si>
  <si>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</si>
  <si>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</si>
  <si>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</si>
  <si>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</si>
  <si>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</si>
  <si>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</si>
  <si>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</si>
  <si>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</si>
  <si>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</si>
  <si>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</si>
  <si>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</si>
  <si>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</si>
  <si>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</si>
  <si>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</si>
  <si>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</si>
  <si>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</si>
  <si>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</si>
  <si>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</si>
  <si>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</si>
  <si>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</si>
  <si>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</si>
  <si>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</si>
  <si>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</si>
  <si>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</si>
  <si>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</si>
  <si>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</si>
  <si>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</si>
  <si>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</si>
  <si>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</si>
  <si>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</si>
  <si>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</si>
  <si>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</si>
  <si>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</si>
  <si>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</si>
  <si>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</si>
  <si>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</si>
  <si>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</si>
  <si>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</si>
  <si>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</si>
  <si>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</si>
  <si>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</si>
  <si>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</si>
  <si>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</si>
  <si>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</si>
  <si>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</si>
  <si>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</si>
  <si>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</si>
  <si>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</si>
  <si>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</si>
  <si>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</si>
  <si>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</si>
  <si>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</si>
  <si>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</si>
  <si>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</si>
  <si>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</si>
  <si>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</si>
  <si>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</si>
  <si>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</si>
  <si>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</si>
  <si>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</si>
  <si>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</si>
  <si>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</si>
  <si>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</si>
  <si>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</si>
  <si>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</si>
  <si>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</si>
  <si>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</si>
  <si>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</si>
  <si>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</si>
  <si>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</si>
  <si>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</si>
  <si>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</si>
  <si>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</si>
  <si>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</si>
  <si>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</si>
  <si>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</si>
  <si>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</si>
  <si>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</si>
  <si>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</si>
  <si>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</si>
  <si>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</si>
  <si>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</si>
  <si>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</si>
  <si>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</si>
  <si>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</si>
  <si>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</si>
  <si>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</si>
  <si>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</si>
  <si>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</si>
  <si>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</si>
  <si>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</si>
  <si>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</si>
  <si>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</si>
  <si>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</si>
  <si>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</si>
  <si>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</si>
  <si>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</si>
  <si>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</si>
  <si>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</si>
  <si>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</si>
  <si>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</si>
  <si>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</si>
  <si>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</si>
  <si>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</si>
  <si>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</si>
  <si>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</si>
  <si>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</si>
  <si>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</si>
  <si>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</si>
  <si>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</si>
  <si>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</si>
  <si>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</si>
  <si>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</si>
  <si>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</si>
  <si>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</si>
  <si>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</si>
  <si>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</si>
  <si>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</si>
  <si>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</si>
  <si>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</si>
  <si>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</si>
  <si>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</si>
  <si>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</si>
  <si>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</si>
  <si>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</si>
  <si>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</si>
  <si>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</si>
  <si>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</si>
  <si>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</si>
  <si>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</si>
  <si>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</si>
  <si>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</si>
  <si>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</si>
  <si>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</si>
  <si>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</si>
  <si>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</si>
  <si>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</si>
  <si>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</si>
  <si>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</si>
  <si>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</si>
  <si>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</si>
  <si>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</si>
  <si>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</si>
  <si>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</si>
  <si>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</si>
  <si>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</si>
  <si>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</si>
  <si>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</si>
  <si>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</si>
  <si>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</si>
  <si>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</si>
  <si>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</si>
  <si>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</si>
  <si>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</si>
  <si>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</si>
  <si>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</si>
  <si>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</si>
  <si>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</si>
  <si>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</si>
  <si>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</si>
  <si>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</si>
  <si>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</si>
  <si>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</si>
  <si>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</si>
  <si>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</si>
  <si>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</si>
  <si>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</si>
  <si>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</si>
  <si>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</si>
  <si>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</si>
  <si>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</si>
  <si>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</si>
  <si>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</si>
  <si>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</si>
  <si>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</si>
  <si>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</si>
  <si>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</si>
  <si>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</si>
  <si>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</si>
  <si>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</si>
  <si>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</si>
  <si>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</si>
  <si>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</si>
  <si>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</si>
  <si>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</si>
  <si>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</si>
  <si>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</si>
  <si>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</si>
  <si>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</si>
  <si>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</si>
  <si>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</si>
  <si>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</si>
  <si>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</si>
  <si>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</si>
  <si>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</si>
  <si>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</si>
  <si>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</si>
  <si>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</si>
  <si>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</si>
  <si>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</si>
  <si>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</si>
  <si>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</si>
  <si>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</si>
  <si>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</si>
  <si>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</si>
  <si>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</si>
  <si>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</si>
  <si>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</si>
  <si>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</si>
  <si>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</si>
  <si>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</si>
  <si>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</si>
  <si>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</si>
  <si>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</si>
  <si>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</si>
  <si>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</si>
  <si>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</si>
  <si>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</si>
  <si>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</si>
  <si>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</si>
  <si>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</si>
  <si>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</si>
  <si>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</si>
  <si>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</si>
  <si>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</si>
  <si>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</si>
  <si>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</si>
  <si>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</si>
  <si>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</si>
  <si>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</si>
  <si>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</si>
  <si>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</si>
  <si>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</si>
  <si>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</si>
  <si>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</si>
  <si>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</si>
  <si>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</si>
  <si>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</si>
  <si>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</si>
  <si>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</si>
  <si>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</si>
  <si>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</si>
  <si>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</si>
  <si>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</si>
  <si>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</si>
  <si>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</si>
  <si>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</si>
  <si>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</si>
  <si>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</si>
  <si>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</si>
  <si>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</si>
  <si>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</si>
  <si>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</si>
  <si>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</si>
  <si>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</si>
  <si>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</si>
  <si>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</si>
  <si>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</si>
  <si>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</si>
  <si>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</si>
  <si>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</si>
  <si>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</si>
  <si>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</si>
  <si>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</si>
  <si>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</si>
  <si>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</si>
  <si>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</si>
  <si>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</si>
  <si>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</si>
  <si>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</si>
  <si>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</si>
  <si>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</si>
  <si>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</si>
  <si>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</si>
  <si>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</si>
  <si>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</si>
  <si>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</si>
  <si>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</si>
  <si>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</si>
  <si>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</si>
  <si>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</si>
  <si>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</si>
  <si>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</si>
  <si>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</si>
  <si>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</si>
  <si>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</si>
  <si>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</si>
  <si>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</si>
  <si>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</si>
  <si>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</si>
  <si>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</si>
  <si>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</si>
  <si>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</si>
  <si>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</si>
  <si>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</si>
  <si>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</si>
  <si>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</si>
  <si>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</si>
  <si>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</si>
  <si>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</si>
  <si>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</si>
  <si>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</si>
  <si>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</si>
  <si>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</si>
  <si>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</si>
  <si>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</si>
  <si>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</si>
  <si>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</si>
  <si>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</si>
  <si>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</si>
  <si>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</si>
  <si>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</si>
  <si>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</si>
  <si>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</si>
  <si>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</si>
  <si>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</si>
  <si>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</si>
  <si>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</si>
  <si>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</si>
  <si>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</si>
  <si>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</si>
  <si>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</si>
  <si>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</si>
  <si>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</si>
  <si>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</si>
  <si>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</si>
  <si>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</si>
  <si>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</si>
  <si>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</si>
  <si>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</si>
  <si>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</si>
  <si>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</si>
  <si>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</si>
  <si>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</si>
  <si>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</si>
  <si>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</si>
  <si>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</si>
  <si>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</si>
  <si>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</si>
  <si>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</si>
  <si>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</si>
  <si>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</si>
  <si>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</si>
  <si>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</si>
  <si>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</si>
  <si>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</si>
  <si>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</si>
  <si>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</si>
  <si>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</si>
  <si>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</si>
  <si>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</si>
  <si>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</si>
  <si>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</si>
  <si>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</si>
  <si>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</si>
  <si>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</si>
  <si>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</si>
  <si>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</si>
  <si>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</si>
  <si>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</si>
  <si>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</si>
  <si>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</si>
  <si>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</si>
  <si>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</si>
  <si>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</si>
  <si>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</si>
  <si>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</si>
  <si>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</si>
  <si>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</si>
  <si>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</si>
  <si>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</si>
  <si>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</si>
  <si>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</si>
  <si>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</si>
  <si>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</si>
  <si>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</si>
  <si>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</si>
  <si>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</si>
  <si>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</si>
  <si>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</si>
  <si>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</si>
  <si>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</si>
  <si>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</si>
  <si>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</si>
  <si>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</si>
  <si>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</si>
  <si>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</si>
  <si>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</si>
  <si>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</si>
  <si>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</si>
  <si>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</si>
  <si>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</si>
  <si>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</si>
  <si>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</si>
  <si>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</si>
  <si>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</si>
  <si>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</si>
  <si>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</si>
  <si>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</si>
  <si>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</si>
  <si>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</si>
  <si>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</si>
  <si>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</si>
  <si>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</si>
  <si>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</si>
  <si>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</si>
  <si>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</si>
  <si>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</si>
  <si>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</si>
  <si>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</si>
  <si>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</si>
  <si>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</si>
  <si>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</si>
  <si>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</si>
  <si>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</si>
  <si>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</si>
  <si>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</si>
  <si>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</si>
  <si>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</si>
  <si>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</si>
  <si>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</si>
  <si>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</si>
  <si>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</si>
  <si>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</si>
  <si>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</si>
  <si>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</si>
  <si>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</si>
  <si>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</si>
  <si>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</si>
  <si>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</si>
  <si>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</si>
  <si>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</si>
  <si>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</si>
  <si>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</si>
  <si>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</si>
  <si>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</si>
  <si>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</si>
  <si>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</si>
  <si>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</si>
  <si>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</si>
  <si>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</si>
  <si>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</si>
  <si>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</si>
  <si>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</si>
  <si>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</si>
  <si>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</si>
  <si>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</si>
  <si>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</si>
  <si>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</si>
  <si>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</si>
  <si>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</si>
  <si>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</si>
  <si>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</si>
  <si>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</si>
  <si>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</si>
  <si>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</si>
  <si>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</si>
  <si>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</si>
  <si>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</si>
  <si>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</si>
  <si>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</si>
  <si>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</si>
  <si>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</si>
  <si>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</si>
  <si>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</si>
  <si>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</si>
  <si>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</si>
  <si>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</si>
  <si>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</si>
  <si>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</si>
  <si>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</si>
  <si>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</si>
  <si>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</si>
  <si>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</si>
  <si>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</si>
  <si>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</si>
  <si>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</si>
  <si>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</si>
  <si>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</si>
  <si>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</si>
  <si>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</si>
  <si>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</si>
  <si>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</si>
  <si>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</si>
  <si>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</si>
  <si>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</si>
  <si>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</si>
  <si>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</si>
  <si>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</si>
  <si>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</si>
  <si>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</si>
  <si>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</si>
  <si>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</si>
  <si>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</si>
  <si>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</si>
  <si>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</si>
  <si>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</si>
  <si>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</si>
  <si>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</si>
  <si>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</si>
  <si>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</si>
  <si>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</si>
  <si>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</si>
  <si>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</si>
  <si>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</si>
  <si>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</si>
  <si>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</si>
  <si>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</si>
  <si>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</si>
  <si>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</si>
  <si>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</si>
  <si>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</si>
  <si>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</si>
  <si>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</si>
  <si>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</si>
  <si>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</si>
  <si>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</si>
  <si>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</si>
  <si>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</si>
  <si>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</si>
  <si>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</si>
  <si>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</si>
  <si>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</si>
  <si>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</si>
  <si>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</si>
  <si>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</si>
  <si>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</si>
  <si>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</si>
  <si>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</si>
  <si>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</si>
  <si>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</si>
  <si>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</si>
  <si>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</si>
  <si>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</si>
  <si>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</si>
  <si>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</si>
  <si>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</si>
  <si>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</si>
  <si>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</si>
  <si>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</si>
  <si>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</si>
  <si>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</si>
  <si>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</si>
  <si>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</si>
  <si>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</si>
  <si>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</si>
  <si>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</si>
  <si>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</si>
  <si>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</si>
  <si>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</si>
  <si>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</si>
  <si>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</si>
  <si>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</si>
  <si>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</si>
  <si>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</si>
  <si>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</si>
  <si>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</si>
  <si>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</si>
  <si>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</si>
  <si>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</si>
  <si>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</si>
  <si>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</si>
  <si>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</si>
  <si>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</si>
  <si>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</si>
  <si>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</si>
  <si>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</si>
  <si>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</si>
  <si>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</si>
  <si>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</si>
  <si>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</si>
  <si>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</si>
  <si>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</si>
  <si>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</si>
  <si>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</si>
  <si>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</si>
  <si>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</si>
  <si>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</si>
  <si>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</si>
  <si>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</si>
  <si>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</si>
  <si>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</si>
  <si>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</si>
  <si>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</si>
  <si>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</si>
  <si>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</si>
  <si>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</si>
  <si>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</si>
  <si>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</si>
  <si>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</si>
  <si>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</si>
  <si>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</si>
  <si>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</si>
  <si>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</si>
  <si>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</si>
  <si>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</si>
  <si>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</si>
  <si>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</si>
  <si>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</si>
  <si>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</si>
  <si>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</si>
  <si>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</si>
  <si>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</si>
  <si>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</si>
  <si>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</si>
  <si>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</si>
  <si>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</si>
  <si>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</si>
  <si>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</si>
  <si>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</si>
  <si>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</si>
  <si>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</si>
  <si>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</si>
  <si>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</si>
  <si>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</si>
  <si>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</si>
  <si>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</si>
  <si>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</si>
  <si>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</si>
  <si>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</si>
  <si>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</si>
  <si>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</si>
  <si>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</si>
  <si>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</si>
  <si>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</si>
  <si>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</si>
  <si>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</si>
  <si>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</si>
  <si>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</si>
  <si>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</si>
  <si>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</si>
  <si>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</si>
  <si>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</si>
  <si>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</si>
  <si>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</si>
  <si>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</si>
  <si>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</si>
  <si>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</si>
  <si>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</si>
  <si>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</si>
  <si>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</si>
  <si>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</si>
  <si>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</si>
  <si>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</si>
  <si>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</si>
  <si>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</si>
  <si>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</si>
  <si>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</si>
  <si>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</si>
  <si>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</si>
  <si>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</si>
  <si>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</si>
  <si>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</si>
  <si>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</si>
  <si>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</si>
  <si>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</si>
  <si>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</si>
  <si>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</si>
  <si>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</si>
  <si>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</si>
  <si>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</si>
  <si>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</si>
  <si>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</si>
  <si>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</si>
  <si>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</si>
  <si>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</si>
  <si>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</si>
  <si>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</si>
  <si>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</si>
  <si>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</si>
  <si>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</si>
  <si>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</si>
  <si>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</si>
  <si>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</si>
  <si>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</si>
  <si>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</si>
  <si>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</si>
  <si>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</si>
  <si>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</si>
  <si>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</si>
  <si>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</si>
  <si>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</si>
  <si>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</si>
  <si>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</si>
  <si>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</si>
  <si>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</si>
  <si>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</si>
  <si>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</si>
  <si>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</si>
  <si>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</si>
  <si>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</si>
  <si>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</si>
  <si>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</si>
  <si>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</si>
  <si>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</si>
  <si>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</si>
  <si>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</si>
  <si>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</si>
  <si>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</si>
  <si>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</si>
  <si>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</si>
  <si>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</si>
  <si>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</si>
  <si>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</si>
  <si>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</si>
  <si>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</si>
  <si>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</si>
  <si>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</si>
  <si>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</si>
  <si>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</si>
  <si>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</si>
  <si>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</si>
  <si>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</si>
  <si>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</si>
  <si>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</si>
  <si>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</si>
  <si>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</si>
  <si>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</si>
  <si>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</si>
  <si>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</si>
  <si>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</si>
  <si>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</si>
  <si>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</si>
  <si>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</si>
  <si>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</si>
  <si>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</si>
  <si>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</si>
  <si>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</si>
  <si>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</si>
  <si>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</si>
  <si>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</si>
  <si>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</si>
  <si>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</si>
  <si>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</si>
  <si>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</si>
  <si>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</si>
  <si>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</si>
  <si>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</si>
  <si>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</si>
  <si>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</si>
  <si>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</si>
  <si>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</si>
  <si>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</si>
  <si>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</si>
  <si>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</si>
  <si>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</si>
  <si>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</si>
  <si>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</si>
  <si>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</si>
  <si>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</si>
  <si>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</si>
  <si>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</si>
  <si>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</si>
  <si>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</si>
  <si>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</si>
  <si>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</si>
  <si>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</si>
  <si>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</si>
  <si>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</si>
  <si>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</si>
  <si>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</si>
  <si>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</si>
  <si>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</si>
  <si>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</si>
  <si>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</si>
  <si>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</si>
  <si>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</si>
  <si>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</si>
  <si>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</si>
  <si>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</si>
  <si>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</si>
  <si>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</si>
  <si>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</si>
  <si>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</si>
  <si>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</si>
  <si>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</si>
  <si>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</si>
  <si>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</si>
  <si>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</si>
  <si>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</si>
  <si>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</si>
  <si>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</si>
  <si>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</si>
  <si>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</si>
  <si>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</si>
  <si>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</si>
  <si>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</si>
  <si>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</si>
  <si>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</si>
  <si>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</si>
  <si>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</si>
  <si>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</si>
  <si>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</si>
  <si>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</si>
  <si>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</si>
  <si>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</si>
  <si>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</si>
  <si>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</si>
  <si>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</si>
  <si>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</si>
  <si>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</si>
  <si>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</si>
  <si>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</si>
  <si>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</si>
  <si>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</si>
  <si>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</si>
  <si>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</si>
  <si>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</si>
  <si>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</si>
  <si>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</si>
  <si>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</si>
  <si>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</si>
  <si>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</si>
  <si>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</si>
  <si>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</si>
  <si>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</si>
  <si>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</si>
  <si>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</si>
  <si>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</si>
  <si>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</si>
  <si>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</si>
  <si>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</si>
  <si>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</si>
  <si>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</si>
  <si>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</si>
  <si>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</si>
  <si>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</si>
  <si>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</si>
  <si>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</si>
  <si>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</si>
  <si>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</si>
  <si>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</si>
  <si>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</si>
  <si>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</si>
  <si>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</si>
  <si>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</si>
  <si>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</si>
  <si>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</si>
  <si>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</si>
  <si>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</si>
  <si>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</si>
  <si>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</si>
  <si>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</si>
  <si>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</si>
  <si>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</si>
  <si>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</si>
  <si>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</si>
  <si>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</si>
  <si>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</si>
  <si>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</si>
  <si>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</si>
  <si>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</si>
  <si>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</si>
  <si>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</si>
  <si>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</si>
  <si>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</si>
  <si>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</si>
  <si>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</si>
  <si>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</si>
  <si>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</si>
  <si>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</si>
  <si>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</si>
  <si>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</si>
  <si>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</si>
  <si>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</si>
  <si>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</si>
  <si>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</si>
  <si>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</si>
  <si>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</si>
  <si>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</si>
  <si>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</si>
  <si>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</si>
  <si>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</si>
  <si>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</si>
  <si>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</si>
  <si>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</si>
  <si>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</si>
  <si>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</si>
  <si>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</si>
  <si>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</si>
  <si>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</si>
  <si>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</si>
  <si>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</si>
  <si>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</si>
  <si>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</si>
  <si>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</si>
  <si>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</si>
  <si>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</si>
  <si>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</si>
  <si>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</si>
  <si>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</si>
  <si>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</si>
  <si>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</si>
  <si>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</si>
  <si>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</si>
  <si>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</si>
  <si>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</si>
  <si>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</si>
  <si>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</si>
  <si>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</si>
  <si>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</si>
  <si>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</si>
  <si>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</si>
  <si>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</si>
  <si>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</si>
  <si>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</si>
  <si>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</si>
  <si>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</si>
  <si>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</si>
  <si>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</si>
  <si>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</si>
  <si>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</si>
  <si>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</si>
  <si>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</si>
  <si>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</si>
  <si>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</si>
  <si>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</si>
  <si>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</si>
  <si>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</si>
  <si>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</si>
  <si>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</si>
  <si>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</si>
  <si>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</si>
  <si>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</si>
  <si>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</si>
  <si>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</si>
  <si>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</si>
  <si>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</si>
  <si>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</si>
  <si>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</si>
  <si>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</si>
  <si>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</si>
  <si>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</si>
  <si>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</si>
  <si>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</si>
  <si>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</si>
  <si>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</si>
  <si>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</si>
  <si>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</si>
  <si>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</si>
  <si>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</si>
  <si>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</si>
  <si>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</si>
  <si>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</si>
  <si>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</si>
  <si>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</si>
  <si>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</si>
  <si>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</si>
  <si>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</si>
  <si>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</si>
  <si>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</si>
  <si>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</si>
  <si>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</si>
  <si>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</si>
  <si>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</si>
  <si>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</si>
  <si>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</si>
  <si>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</si>
  <si>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</si>
  <si>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</si>
  <si>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</si>
  <si>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</si>
  <si>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</si>
  <si>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</si>
  <si>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</si>
  <si>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</si>
  <si>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</si>
  <si>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</si>
  <si>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</si>
  <si>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</si>
  <si>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</si>
  <si>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</si>
  <si>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</si>
  <si>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</si>
  <si>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</si>
  <si>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</si>
  <si>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</si>
  <si>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</si>
  <si>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</si>
  <si>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</si>
  <si>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</si>
  <si>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</si>
  <si>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</si>
  <si>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</si>
  <si>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</si>
  <si>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</si>
  <si>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</si>
  <si>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</si>
  <si>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</si>
  <si>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</si>
  <si>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</si>
  <si>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</si>
  <si>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</si>
  <si>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</si>
  <si>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</si>
  <si>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</si>
  <si>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</si>
  <si>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</si>
  <si>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</si>
  <si>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</si>
  <si>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</si>
  <si>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</si>
  <si>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</si>
  <si>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</si>
  <si>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</si>
  <si>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</si>
  <si>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</si>
  <si>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</si>
  <si>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</si>
  <si>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</si>
  <si>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</si>
  <si>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</si>
  <si>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</si>
  <si>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</si>
  <si>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</si>
  <si>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</si>
  <si>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</si>
  <si>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</si>
  <si>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</si>
  <si>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</si>
  <si>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</si>
  <si>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</si>
  <si>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</si>
  <si>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</si>
  <si>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</si>
  <si>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</si>
  <si>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</si>
  <si>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</si>
  <si>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</si>
  <si>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</si>
  <si>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</si>
  <si>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</si>
  <si>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</si>
  <si>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</si>
  <si>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</si>
  <si>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</si>
  <si>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</si>
  <si>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</si>
  <si>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</si>
  <si>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</si>
  <si>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</si>
  <si>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</si>
  <si>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</si>
  <si>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</si>
  <si>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</si>
  <si>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</si>
  <si>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</si>
  <si>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</si>
  <si>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</si>
  <si>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</si>
  <si>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</si>
  <si>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</si>
  <si>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</si>
  <si>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</si>
  <si>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</si>
  <si>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</si>
  <si>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</si>
  <si>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</si>
  <si>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</si>
  <si>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</si>
  <si>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</si>
  <si>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</si>
  <si>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</si>
  <si>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</si>
  <si>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</si>
  <si>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</si>
  <si>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</si>
  <si>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</si>
  <si>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</si>
  <si>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</si>
  <si>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</si>
  <si>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</si>
  <si>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</si>
  <si>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</si>
  <si>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</si>
  <si>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</si>
  <si>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</si>
  <si>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</si>
  <si>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</si>
  <si>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</si>
  <si>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</si>
  <si>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</si>
  <si>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</si>
  <si>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</si>
  <si>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</si>
  <si>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</si>
  <si>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</si>
  <si>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</si>
  <si>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</si>
  <si>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</si>
  <si>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</si>
  <si>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</si>
  <si>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</si>
  <si>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</si>
  <si>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</si>
  <si>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</si>
  <si>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</si>
  <si>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</si>
  <si>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</si>
  <si>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</si>
  <si>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</si>
  <si>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</si>
  <si>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</si>
  <si>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</si>
  <si>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</si>
  <si>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</si>
  <si>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</si>
  <si>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</si>
  <si>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</si>
  <si>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</si>
  <si>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</si>
  <si>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</si>
  <si>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</si>
  <si>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</si>
  <si>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</si>
  <si>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</si>
  <si>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</si>
  <si>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</si>
  <si>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</si>
  <si>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</si>
  <si>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</si>
  <si>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</si>
  <si>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</si>
  <si>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</si>
  <si>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</si>
  <si>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</si>
  <si>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</si>
  <si>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</si>
  <si>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</si>
  <si>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</si>
  <si>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</si>
  <si>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</si>
  <si>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</si>
  <si>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</si>
  <si>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</si>
  <si>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</si>
  <si>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</si>
  <si>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</si>
  <si>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</si>
  <si>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</si>
  <si>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</si>
  <si>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</si>
  <si>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</si>
  <si>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</si>
  <si>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</si>
  <si>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</si>
  <si>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</si>
  <si>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</si>
  <si>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</si>
  <si>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</si>
  <si>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</si>
  <si>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</si>
  <si>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</si>
  <si>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</si>
  <si>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</si>
  <si>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</si>
  <si>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</si>
  <si>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</si>
  <si>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</si>
  <si>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</si>
  <si>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</si>
  <si>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</si>
  <si>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</si>
  <si>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</si>
  <si>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</si>
  <si>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</si>
  <si>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</si>
  <si>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</si>
  <si>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</si>
  <si>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</si>
  <si>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</si>
  <si>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</si>
  <si>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</si>
  <si>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</si>
  <si>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</si>
  <si>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</si>
  <si>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</si>
  <si>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</si>
  <si>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</si>
  <si>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</si>
  <si>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</si>
  <si>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</si>
  <si>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</si>
  <si>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</si>
  <si>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</si>
  <si>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</si>
  <si>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</si>
  <si>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</si>
  <si>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</si>
  <si>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</si>
  <si>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</si>
  <si>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</si>
  <si>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</si>
  <si>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</si>
  <si>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</si>
  <si>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</si>
  <si>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</si>
  <si>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</si>
  <si>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</si>
  <si>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</si>
  <si>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</si>
  <si>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</si>
  <si>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</si>
  <si>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</si>
  <si>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</si>
  <si>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</si>
  <si>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</si>
  <si>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</si>
  <si>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</si>
  <si>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</si>
  <si>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</si>
  <si>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</si>
  <si>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</si>
  <si>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</si>
  <si>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</si>
  <si>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</si>
  <si>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</si>
  <si>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</si>
  <si>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</si>
  <si>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</si>
  <si>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</si>
  <si>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</si>
  <si>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</si>
  <si>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</si>
  <si>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</si>
  <si>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</si>
  <si>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</si>
  <si>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</si>
  <si>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</si>
  <si>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</si>
  <si>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</si>
  <si>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</si>
  <si>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</si>
  <si>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</si>
  <si>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</si>
  <si>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</si>
  <si>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</si>
  <si>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</si>
  <si>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</si>
  <si>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</si>
  <si>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</si>
  <si>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</si>
  <si>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</si>
  <si>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</si>
  <si>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</si>
  <si>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</si>
  <si>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</si>
  <si>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</si>
  <si>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</si>
  <si>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</si>
  <si>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</si>
  <si>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</si>
  <si>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</si>
  <si>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</si>
  <si>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</si>
  <si>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</si>
  <si>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</si>
  <si>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</si>
  <si>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</si>
  <si>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</si>
  <si>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</si>
  <si>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</si>
  <si>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</si>
  <si>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</si>
  <si>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</si>
  <si>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</si>
  <si>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</si>
  <si>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</si>
  <si>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</si>
  <si>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</si>
  <si>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</si>
  <si>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</si>
  <si>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</si>
  <si>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</si>
  <si>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</si>
  <si>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</si>
  <si>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</si>
  <si>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</si>
  <si>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</si>
  <si>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</si>
  <si>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</si>
  <si>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</si>
  <si>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</si>
  <si>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</si>
  <si>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</si>
  <si>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</si>
  <si>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</si>
  <si>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</si>
  <si>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</si>
  <si>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</si>
  <si>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</si>
  <si>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</si>
  <si>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</si>
  <si>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</si>
  <si>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</si>
  <si>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</si>
  <si>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</si>
  <si>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</si>
  <si>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</si>
  <si>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</si>
  <si>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</si>
  <si>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</si>
  <si>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</si>
  <si>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</si>
  <si>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</si>
  <si>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</si>
  <si>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</si>
  <si>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</si>
  <si>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</si>
  <si>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</si>
  <si>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</si>
  <si>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</si>
  <si>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</si>
  <si>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</si>
  <si>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</si>
  <si>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</si>
  <si>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</si>
  <si>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</si>
  <si>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</si>
  <si>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</si>
  <si>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</si>
  <si>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</si>
  <si>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</si>
  <si>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</si>
  <si>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</si>
  <si>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</si>
  <si>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</si>
  <si>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</si>
  <si>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</si>
  <si>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</si>
  <si>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</si>
  <si>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</si>
  <si>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</si>
  <si>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</si>
  <si>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</si>
  <si>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</si>
  <si>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</si>
  <si>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</si>
  <si>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</si>
  <si>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</si>
  <si>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</si>
  <si>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</si>
  <si>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</si>
  <si>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</si>
  <si>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</si>
  <si>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</si>
  <si>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</si>
  <si>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</si>
  <si>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</si>
  <si>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</si>
  <si>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</si>
  <si>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</si>
  <si>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</si>
  <si>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</si>
  <si>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</si>
  <si>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</si>
  <si>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</si>
  <si>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</si>
  <si>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</si>
  <si>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</si>
  <si>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</si>
  <si>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</si>
  <si>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</si>
  <si>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</si>
  <si>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</si>
  <si>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</si>
  <si>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</si>
  <si>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</si>
  <si>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</si>
  <si>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</si>
  <si>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</si>
  <si>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</si>
  <si>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</si>
  <si>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</si>
  <si>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</si>
  <si>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</si>
  <si>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</si>
  <si>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</si>
  <si>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</si>
  <si>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</si>
  <si>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</si>
  <si>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</si>
  <si>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</si>
  <si>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</si>
  <si>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</si>
  <si>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</si>
  <si>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</si>
  <si>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</si>
  <si>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</si>
  <si>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</si>
  <si>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</si>
  <si>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</si>
  <si>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</si>
  <si>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</si>
  <si>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</si>
  <si>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</si>
  <si>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</si>
  <si>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</si>
  <si>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</si>
  <si>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</si>
  <si>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</si>
  <si>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</si>
  <si>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</si>
  <si>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</si>
  <si>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</si>
  <si>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</si>
  <si>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</si>
  <si>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</si>
  <si>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</si>
  <si>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</si>
  <si>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</si>
  <si>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</si>
  <si>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</si>
  <si>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</si>
  <si>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</si>
  <si>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</si>
  <si>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</si>
  <si>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</si>
  <si>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</si>
  <si>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</si>
  <si>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</si>
  <si>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</si>
  <si>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</si>
  <si>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</si>
  <si>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</si>
  <si>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</si>
  <si>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</si>
  <si>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</si>
  <si>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</si>
  <si>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</si>
  <si>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</si>
  <si>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</si>
  <si>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</si>
  <si>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</si>
  <si>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</si>
  <si>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</si>
  <si>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</si>
  <si>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</si>
  <si>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</si>
  <si>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</si>
  <si>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</si>
  <si>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</si>
  <si>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</si>
  <si>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</si>
  <si>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</si>
  <si>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</si>
  <si>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</si>
  <si>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</si>
  <si>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</si>
  <si>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</si>
  <si>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</si>
  <si>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</si>
  <si>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</si>
  <si>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</si>
  <si>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</si>
  <si>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</si>
  <si>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</si>
  <si>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</si>
  <si>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</si>
  <si>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</si>
  <si>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</si>
  <si>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</si>
  <si>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</si>
  <si>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</si>
  <si>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</si>
  <si>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</si>
  <si>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</si>
  <si>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</si>
  <si>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</si>
  <si>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</si>
  <si>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</si>
  <si>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</si>
  <si>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</si>
  <si>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</si>
  <si>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</si>
  <si>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</si>
  <si>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</si>
  <si>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</si>
  <si>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</si>
  <si>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</si>
  <si>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</si>
  <si>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</si>
  <si>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</si>
  <si>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</si>
  <si>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</si>
  <si>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</si>
  <si>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</si>
  <si>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</si>
  <si>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</si>
  <si>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</si>
  <si>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</si>
  <si>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</si>
  <si>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</si>
  <si>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</si>
  <si>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</si>
  <si>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</si>
  <si>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</si>
  <si>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</si>
  <si>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</si>
  <si>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</si>
  <si>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</si>
  <si>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</si>
  <si>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</si>
  <si>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</si>
  <si>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</si>
  <si>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</si>
  <si>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</si>
  <si>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</si>
  <si>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</si>
  <si>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</si>
  <si>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</si>
  <si>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</si>
  <si>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</si>
  <si>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</si>
  <si>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</si>
  <si>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</si>
  <si>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</si>
  <si>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</si>
  <si>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</si>
  <si>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</si>
  <si>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</si>
  <si>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</si>
  <si>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</si>
  <si>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</si>
  <si>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</si>
  <si>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</si>
  <si>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</si>
  <si>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</si>
  <si>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</si>
  <si>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</si>
  <si>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</si>
  <si>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</si>
  <si>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</si>
  <si>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</si>
  <si>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</si>
  <si>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</si>
  <si>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</si>
  <si>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</si>
  <si>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</si>
  <si>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</si>
  <si>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</si>
  <si>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</si>
  <si>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</si>
  <si>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</si>
  <si>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</si>
  <si>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</si>
  <si>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</si>
  <si>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</si>
  <si>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</si>
  <si>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</si>
  <si>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</si>
  <si>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</si>
  <si>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</si>
  <si>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</si>
  <si>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</si>
  <si>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</si>
  <si>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</si>
  <si>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</si>
  <si>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</si>
  <si>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</si>
  <si>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</si>
  <si>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</si>
  <si>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</si>
  <si>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</si>
  <si>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</si>
  <si>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</si>
  <si>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</si>
  <si>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</si>
  <si>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</si>
  <si>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</si>
  <si>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</si>
  <si>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</si>
  <si>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</si>
  <si>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</si>
  <si>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</si>
  <si>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</si>
  <si>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</si>
  <si>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</si>
  <si>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</si>
  <si>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</si>
  <si>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</si>
  <si>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</si>
  <si>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</si>
  <si>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</si>
  <si>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</si>
  <si>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</si>
  <si>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</si>
  <si>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</si>
  <si>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</si>
  <si>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</si>
  <si>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</si>
  <si>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</si>
  <si>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</si>
  <si>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</si>
  <si>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</si>
  <si>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</si>
  <si>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</si>
  <si>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</si>
  <si>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</si>
  <si>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</si>
  <si>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</si>
  <si>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</si>
  <si>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</si>
  <si>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</si>
  <si>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</si>
  <si>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</si>
  <si>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</si>
  <si>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</si>
  <si>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</si>
  <si>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</si>
  <si>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</si>
  <si>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</si>
  <si>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</si>
  <si>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</si>
  <si>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</si>
  <si>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</si>
  <si>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</si>
  <si>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</si>
  <si>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</si>
  <si>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</si>
  <si>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</si>
  <si>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</si>
  <si>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</si>
  <si>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</si>
  <si>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</si>
  <si>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</si>
  <si>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</si>
  <si>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</si>
  <si>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</si>
  <si>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</si>
  <si>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</si>
  <si>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</si>
  <si>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</si>
  <si>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</si>
  <si>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</si>
  <si>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</si>
  <si>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</si>
  <si>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</si>
  <si>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</si>
  <si>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</si>
  <si>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</si>
  <si>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</si>
  <si>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</si>
  <si>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</si>
  <si>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</si>
  <si>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</si>
  <si>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</si>
  <si>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</si>
  <si>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</si>
  <si>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</si>
  <si>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</si>
  <si>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</si>
  <si>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</si>
  <si>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</si>
  <si>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</si>
  <si>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</si>
  <si>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</si>
  <si>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</si>
  <si>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</si>
  <si>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</si>
  <si>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</si>
  <si>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</si>
  <si>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</si>
  <si>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</si>
  <si>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</si>
  <si>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</si>
  <si>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</si>
  <si>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</si>
  <si>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</si>
  <si>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</si>
  <si>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</si>
  <si>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</si>
  <si>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</si>
  <si>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</si>
  <si>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</si>
  <si>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</si>
  <si>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</si>
  <si>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</si>
  <si>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</si>
  <si>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</si>
  <si>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</si>
  <si>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</si>
  <si>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</si>
  <si>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</si>
  <si>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</si>
  <si>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</si>
  <si>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</si>
  <si>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</si>
  <si>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</si>
  <si>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</si>
  <si>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</si>
  <si>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</si>
  <si>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</si>
  <si>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</si>
  <si>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</si>
  <si>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</si>
  <si>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</si>
  <si>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</si>
  <si>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</si>
  <si>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</si>
  <si>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</si>
  <si>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</si>
  <si>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</si>
  <si>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</si>
  <si>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</si>
  <si>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</si>
  <si>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</si>
  <si>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</si>
  <si>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</si>
  <si>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</si>
  <si>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</si>
  <si>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</si>
  <si>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</si>
  <si>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</si>
  <si>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</si>
  <si>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</si>
  <si>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</si>
  <si>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</si>
  <si>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</si>
  <si>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</si>
  <si>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</si>
  <si>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</si>
  <si>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</si>
  <si>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</si>
  <si>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</si>
  <si>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</si>
  <si>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</si>
  <si>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</si>
  <si>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</si>
  <si>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</si>
  <si>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</si>
  <si>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</si>
  <si>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</si>
  <si>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</si>
  <si>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</si>
  <si>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</si>
  <si>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</si>
  <si>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</si>
  <si>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</si>
  <si>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</si>
  <si>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</si>
  <si>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</si>
  <si>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</si>
  <si>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</si>
  <si>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</si>
  <si>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</si>
  <si>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</si>
  <si>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</si>
  <si>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通路</t>
  </si>
  <si>
    <t>通电</t>
  </si>
  <si>
    <t>通讯</t>
  </si>
  <si>
    <t>通上水</t>
  </si>
  <si>
    <t>通下水</t>
  </si>
  <si>
    <t>是</t>
  </si>
  <si>
    <t>地上</t>
  </si>
  <si>
    <t>商业</t>
    <phoneticPr fontId="7" type="noConversion"/>
  </si>
  <si>
    <t>成新度</t>
  </si>
  <si>
    <t>现房</t>
  </si>
  <si>
    <t>项目局部</t>
  </si>
  <si>
    <t>成本法</t>
  </si>
  <si>
    <t>收益法</t>
  </si>
  <si>
    <t>楼面地价</t>
  </si>
  <si>
    <t>未包含在土地购买价格中</t>
  </si>
  <si>
    <t>全部缴纳</t>
  </si>
  <si>
    <t>已包含在土地取得成本中</t>
  </si>
  <si>
    <t>1层</t>
  </si>
  <si>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</si>
  <si>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</si>
  <si>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</si>
  <si>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1</t>
    </r>
    <r>
      <rPr>
        <sz val="10"/>
        <color indexed="8"/>
        <rFont val="宋体"/>
        <family val="3"/>
        <charset val="134"/>
      </rPr>
      <t>层</t>
    </r>
    <phoneticPr fontId="25" type="noConversion"/>
  </si>
  <si>
    <t>2层</t>
  </si>
  <si>
    <t>3层</t>
  </si>
  <si>
    <t>1层</t>
    <phoneticPr fontId="143" type="noConversion"/>
  </si>
  <si>
    <t>2层</t>
    <phoneticPr fontId="143" type="noConversion"/>
  </si>
  <si>
    <t>3层</t>
    <phoneticPr fontId="143" type="noConversion"/>
  </si>
  <si>
    <t>在建（套用方法）</t>
  </si>
  <si>
    <t>押一</t>
  </si>
  <si>
    <t>按租金收入计税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</si>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</sst>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99"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估价对象为房地产，为所有。根据《国有土地使用证》[]，估价对象（分摊）出让国有建设用地使用权面积为0平方米，建筑面积为33427.47平方米。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估价对象为房地产,属开发建设的，该项目尚在开发建设中。根据《国有土地使用证》[]，估价对象（分摊）出让国有建设用地使用权面积为0平方米，规划建筑面积为33427.47平方米。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2019年5月23日</v>
      </c>
    </row>
    <row r="13" spans="1:2" s="1593" customFormat="1">
      <c r="A13" s="1591" t="s">
        <v>1223</v>
      </c>
      <c r="B13" s="1592" t="str">
        <f>'预评函-1'!A18</f>
        <v>本次估价的“房地产价值”是指在正常市场情况下，在价值时点2019年5月23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34223</v>
      </c>
    </row>
    <row r="21" spans="1:2" s="1593" customFormat="1">
      <c r="A21" s="1591" t="s">
        <v>1231</v>
      </c>
      <c r="B21" s="1592">
        <f ca="1">'预评函-2'!D7</f>
        <v>10238</v>
      </c>
    </row>
    <row r="22" spans="1:2" s="1593" customFormat="1">
      <c r="A22" s="1591" t="s">
        <v>1232</v>
      </c>
      <c r="B22" s="1592" t="str">
        <f ca="1">'预评函-2'!D6</f>
        <v>叁亿肆仟贰佰贰拾叁万元整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34223</v>
      </c>
    </row>
    <row r="31" spans="1:2" s="1593" customFormat="1">
      <c r="A31" s="1591" t="s">
        <v>1270</v>
      </c>
      <c r="B31" s="1592">
        <f ca="1">'预评函-2'!D15</f>
        <v>10238</v>
      </c>
    </row>
    <row r="32" spans="1:2" s="1593" customFormat="1">
      <c r="A32" s="1591" t="s">
        <v>1237</v>
      </c>
      <c r="B32" s="1592" t="str">
        <f ca="1">'预评函-2'!D14</f>
        <v>叁亿肆仟贰佰贰拾叁万元整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33427.47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2" t="s">
        <v>861</v>
      </c>
      <c r="C54" s="2019" t="s">
        <v>1277</v>
      </c>
    </row>
    <row r="55" spans="1:4">
      <c r="A55" s="2997"/>
      <c r="B55" s="2022" t="s">
        <v>862</v>
      </c>
      <c r="C55" s="2019" t="s">
        <v>1278</v>
      </c>
    </row>
    <row r="56" spans="1:4">
      <c r="A56" s="2997"/>
      <c r="B56" s="2022" t="s">
        <v>863</v>
      </c>
      <c r="C56" s="2019" t="s">
        <v>1282</v>
      </c>
    </row>
    <row r="57" spans="1:4">
      <c r="A57" s="299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06" t="str">
        <f>IF(B10="北京市","北京市",C10)&amp;F10&amp;IF(结果表!G1="在建","出让国有建设用地使用权及在建建筑物",IF(结果表!G1="土地","出让国有建设用地使用权",))&amp;B9&amp;"预评估"</f>
        <v>预评估</v>
      </c>
      <c r="C1" s="3007"/>
      <c r="D1" s="3007"/>
      <c r="E1" s="3007"/>
      <c r="F1" s="3007"/>
      <c r="G1" s="3007"/>
      <c r="H1" s="3007"/>
      <c r="I1" s="300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1774</v>
      </c>
      <c r="B3" s="2036"/>
      <c r="C3" s="2037" t="s">
        <v>1775</v>
      </c>
      <c r="D3" s="2036">
        <v>43608</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c r="C8" s="2056"/>
      <c r="D8" s="3009" t="s">
        <v>1781</v>
      </c>
      <c r="E8" s="2057"/>
      <c r="F8" s="2058"/>
      <c r="G8" s="2026"/>
      <c r="H8" s="2026"/>
      <c r="I8" s="2026"/>
      <c r="J8" s="2042"/>
      <c r="K8" s="2043"/>
      <c r="L8" s="2028"/>
      <c r="M8" s="2028"/>
      <c r="N8" s="2029"/>
      <c r="O8" s="2030"/>
      <c r="P8" s="2029"/>
      <c r="Q8" s="2029"/>
      <c r="R8" s="2029"/>
    </row>
    <row r="9" spans="1:19" ht="18" customHeight="1" thickBot="1">
      <c r="A9" s="2040" t="s">
        <v>1782</v>
      </c>
      <c r="B9" s="2059"/>
      <c r="C9" s="2060"/>
      <c r="D9" s="3010"/>
      <c r="E9" s="2059"/>
      <c r="F9" s="2061"/>
      <c r="G9" s="2062"/>
      <c r="H9" s="2062"/>
      <c r="I9" s="2062"/>
      <c r="J9" s="2042"/>
      <c r="K9" s="2054"/>
      <c r="L9" s="2028"/>
      <c r="M9" s="2028"/>
      <c r="N9" s="2029"/>
      <c r="O9" s="2030"/>
      <c r="P9" s="2029"/>
      <c r="Q9" s="2029"/>
      <c r="R9" s="2029"/>
    </row>
    <row r="10" spans="1:19" ht="18" customHeight="1" thickTop="1">
      <c r="A10" s="2063" t="s">
        <v>1783</v>
      </c>
      <c r="B10" s="2064"/>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3055</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53525</v>
      </c>
      <c r="F13" s="2080"/>
      <c r="G13" s="2080"/>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27.16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16"/>
      <c r="C16" s="3017"/>
      <c r="D16" s="3018"/>
      <c r="E16" s="2086" t="s">
        <v>1798</v>
      </c>
      <c r="F16" s="3019"/>
      <c r="G16" s="3020"/>
      <c r="H16" s="3020"/>
      <c r="I16" s="3021"/>
      <c r="J16" s="2029"/>
      <c r="K16" s="2083"/>
      <c r="L16" s="2084"/>
      <c r="M16" s="2084"/>
      <c r="N16" s="2085"/>
      <c r="O16" s="2084"/>
      <c r="P16" s="2085"/>
      <c r="Q16" s="2029"/>
      <c r="R16" s="2029"/>
    </row>
    <row r="17" spans="1:22" ht="18" customHeight="1">
      <c r="A17" s="2087" t="s">
        <v>1799</v>
      </c>
      <c r="B17" s="2035" t="s">
        <v>1800</v>
      </c>
      <c r="C17" s="1054">
        <f>'数据-汇总表'!E3</f>
        <v>33427.47</v>
      </c>
      <c r="D17" s="2088" t="s">
        <v>1801</v>
      </c>
      <c r="E17" s="3022" t="s">
        <v>1802</v>
      </c>
      <c r="F17" s="3023"/>
      <c r="G17" s="3023"/>
      <c r="H17" s="3023"/>
      <c r="I17" s="3024"/>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0</v>
      </c>
      <c r="D18" s="2091" t="s">
        <v>1801</v>
      </c>
      <c r="E18" s="3025" t="s">
        <v>1805</v>
      </c>
      <c r="F18" s="3026"/>
      <c r="G18" s="3026"/>
      <c r="H18" s="3026"/>
      <c r="I18" s="3027"/>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2" t="s">
        <v>1810</v>
      </c>
      <c r="C20" s="3013"/>
      <c r="D20" s="3014" t="s">
        <v>1811</v>
      </c>
      <c r="E20" s="3015"/>
      <c r="F20" s="2098" t="s">
        <v>1812</v>
      </c>
      <c r="G20" s="2042"/>
      <c r="H20" s="2042"/>
      <c r="I20" s="2042"/>
      <c r="J20" s="2042"/>
      <c r="K20" s="301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2999"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2999"/>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2999"/>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0"/>
      <c r="B30" s="2035" t="s">
        <v>1829</v>
      </c>
      <c r="C30" s="3001"/>
      <c r="D30" s="3002"/>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3"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4"/>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4"/>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t="s">
        <v>3056</v>
      </c>
      <c r="C34" s="2134" t="s">
        <v>3057</v>
      </c>
      <c r="D34" s="2134" t="s">
        <v>3058</v>
      </c>
      <c r="E34" s="2134" t="s">
        <v>3059</v>
      </c>
      <c r="F34" s="2134" t="s">
        <v>3060</v>
      </c>
      <c r="G34" s="2134" t="s">
        <v>70</v>
      </c>
      <c r="H34" s="2134" t="s">
        <v>70</v>
      </c>
      <c r="I34" s="2042"/>
      <c r="J34" s="2042"/>
      <c r="K34" s="1795">
        <f>COUNTIF(B34:H34,"——")</f>
        <v>2</v>
      </c>
      <c r="L34" s="2075" t="s">
        <v>1832</v>
      </c>
      <c r="M34" s="2075" t="s">
        <v>1833</v>
      </c>
      <c r="N34" s="2075" t="s">
        <v>1834</v>
      </c>
      <c r="O34" s="2075" t="s">
        <v>1835</v>
      </c>
      <c r="P34" s="2075" t="s">
        <v>1836</v>
      </c>
      <c r="Q34" s="2075" t="s">
        <v>1837</v>
      </c>
      <c r="R34" s="2075" t="s">
        <v>1838</v>
      </c>
      <c r="S34" s="2998" t="s">
        <v>1839</v>
      </c>
      <c r="T34" s="2135" t="str">
        <f>NUMBERSTRING(7-K34,1)&amp;"通"</f>
        <v>五通</v>
      </c>
      <c r="U34" s="2029"/>
      <c r="V34" s="2029"/>
    </row>
    <row r="35" spans="1:22" ht="18" customHeight="1">
      <c r="A35" s="2136"/>
      <c r="B35" s="3005" t="s">
        <v>1840</v>
      </c>
      <c r="C35" s="3005"/>
      <c r="D35" s="3005"/>
      <c r="E35" s="3005"/>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8"/>
      <c r="T35" s="48" t="str">
        <f>IF(T34="一通",L35,IF(T34="二通",M35,IF(T34="三通",N35,IF(T34="四通",O35,IF(T34="五通",P35,IF(T34="六通",Q35,R35))))))</f>
        <v>通路、通电、通讯、通上水、通下水</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33427.47</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33427.47</v>
      </c>
      <c r="H5" s="16">
        <f t="shared" ref="H5:AT5" si="0">SUM(H13:H656)</f>
        <v>33427.47</v>
      </c>
      <c r="I5" s="16">
        <f t="shared" si="0"/>
        <v>33427.47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33427.47</v>
      </c>
      <c r="BA5" s="18">
        <f t="shared" si="1"/>
        <v>33427.47</v>
      </c>
      <c r="BB5" s="18">
        <f t="shared" si="1"/>
        <v>33427.47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3062</v>
      </c>
      <c r="J9" s="981"/>
      <c r="K9" s="2192"/>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1633</v>
      </c>
      <c r="D13" s="2214" t="s">
        <v>3061</v>
      </c>
      <c r="E13" s="16">
        <f>IF($C$3="是",ROUND($A$3*G13/$B$3,2),ROUND($A$3*(G13-AT13)/$B$3,2))</f>
        <v>0</v>
      </c>
      <c r="F13" s="32"/>
      <c r="G13" s="33">
        <f>H13+AC13+AT13</f>
        <v>11131.29</v>
      </c>
      <c r="H13" s="20">
        <f>SUMIF(I$12:AB$12,"总值",I13:AB13)</f>
        <v>11131.29</v>
      </c>
      <c r="I13" s="2215">
        <v>11131.29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1633</v>
      </c>
      <c r="AY13" s="1806">
        <f>ROUND($AY$6*AZ13/$AZ$5,2)</f>
        <v>0</v>
      </c>
      <c r="AZ13" s="16">
        <f>BA13+BL13</f>
        <v>11131.29</v>
      </c>
      <c r="BA13" s="16">
        <f>SUM(BB13:BK13)</f>
        <v>11131.29</v>
      </c>
      <c r="BB13" s="16">
        <f>IF($D13="是",I13-J13,0)</f>
        <v>11131.29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v>2143</v>
      </c>
      <c r="D14" s="2214" t="s">
        <v>3061</v>
      </c>
      <c r="E14" s="16">
        <f>IF($C$3="是",ROUND($A$3*G14/$B$3,2),ROUND($A$3*(G14-AT14)/$B$3,2))</f>
        <v>0</v>
      </c>
      <c r="F14" s="32"/>
      <c r="G14" s="33">
        <f>H14+AC14+AT14</f>
        <v>11149.75</v>
      </c>
      <c r="H14" s="20">
        <f>SUMIF(I$12:AB$12,"总值",I14:AB14)</f>
        <v>11149.75</v>
      </c>
      <c r="I14" s="2215">
        <v>11149.75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2143</v>
      </c>
      <c r="AY14" s="1806">
        <f>ROUND($AY$6*AZ14/$AZ$5,2)</f>
        <v>0</v>
      </c>
      <c r="AZ14" s="16">
        <f>BA14+BL14</f>
        <v>11149.75</v>
      </c>
      <c r="BA14" s="16">
        <f>SUM(BB14:BK14)</f>
        <v>11149.75</v>
      </c>
      <c r="BB14" s="16">
        <f>IF($D14="是",I14-J14,0)</f>
        <v>11149.75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v>3138</v>
      </c>
      <c r="D15" s="2214" t="s">
        <v>3061</v>
      </c>
      <c r="E15" s="16">
        <f>IF($C$3="是",ROUND($A$3*G15/$B$3,2),ROUND($A$3*(G15-AT15)/$B$3,2))</f>
        <v>0</v>
      </c>
      <c r="F15" s="32"/>
      <c r="G15" s="33">
        <f>H15+AC15+AT15</f>
        <v>11146.43</v>
      </c>
      <c r="H15" s="20">
        <f>SUMIF(I$12:AB$12,"总值",I15:AB15)</f>
        <v>11146.43</v>
      </c>
      <c r="I15" s="2215">
        <v>11146.43</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3138</v>
      </c>
      <c r="AY15" s="1806">
        <f>ROUND($AY$6*AZ15/$AZ$5,2)</f>
        <v>0</v>
      </c>
      <c r="AZ15" s="16">
        <f>BA15+BL15</f>
        <v>11146.43</v>
      </c>
      <c r="BA15" s="16">
        <f>SUM(BB15:BK15)</f>
        <v>11146.43</v>
      </c>
      <c r="BB15" s="16">
        <f>IF($D15="是",I15-J15,0)</f>
        <v>11146.43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39" t="s">
        <v>1936</v>
      </c>
      <c r="B2" s="3039"/>
      <c r="C2" s="3039"/>
      <c r="D2" s="967" t="s">
        <v>1912</v>
      </c>
      <c r="E2" s="2228" t="s">
        <v>1913</v>
      </c>
      <c r="F2" s="1392"/>
      <c r="G2" s="2229"/>
      <c r="H2" s="2230"/>
      <c r="I2" s="2231" t="s">
        <v>1937</v>
      </c>
      <c r="J2" s="1392"/>
      <c r="K2" s="1392"/>
      <c r="L2" s="1392"/>
      <c r="M2" s="1392"/>
      <c r="N2" s="1427"/>
      <c r="O2" s="1392"/>
      <c r="P2" s="1392"/>
    </row>
    <row r="3" spans="1:16" ht="15.75" thickBot="1">
      <c r="A3" s="3040" t="s">
        <v>1910</v>
      </c>
      <c r="B3" s="3040"/>
      <c r="C3" s="3040"/>
      <c r="D3" s="46">
        <f>'数据-基础表'!AY6</f>
        <v>0</v>
      </c>
      <c r="E3" s="46">
        <f>'数据-基础表'!AZ5</f>
        <v>33427.47</v>
      </c>
      <c r="F3" s="1392"/>
      <c r="G3" s="1399"/>
      <c r="H3" s="1247" t="s">
        <v>1911</v>
      </c>
      <c r="I3" s="55" t="e">
        <f>ROUND('数据-基础表'!B3/'数据-基础表'!A3,2)</f>
        <v>#DIV/0!</v>
      </c>
      <c r="J3" s="1392"/>
      <c r="K3" s="1392"/>
      <c r="L3" s="1392"/>
      <c r="M3" s="1392"/>
      <c r="N3" s="1427"/>
      <c r="O3" s="1392"/>
      <c r="P3" s="1392"/>
    </row>
    <row r="4" spans="1:16" ht="15">
      <c r="A4" s="3041"/>
      <c r="B4" s="3042"/>
      <c r="C4" s="3043"/>
      <c r="D4" s="2232" t="s">
        <v>1912</v>
      </c>
      <c r="E4" s="2233" t="s">
        <v>1913</v>
      </c>
      <c r="F4" s="1392"/>
      <c r="G4" s="2234" t="s">
        <v>1938</v>
      </c>
      <c r="H4" s="1247" t="s">
        <v>1918</v>
      </c>
      <c r="I4" s="55" t="e">
        <f>ROUND(SUMIF('数据-基础表'!I9:AS9,"地上",'数据-基础表'!I5:AS5)/'数据-基础表'!A3,2)</f>
        <v>#DIV/0!</v>
      </c>
      <c r="J4" s="1392"/>
      <c r="K4" s="1392"/>
      <c r="L4" s="1392"/>
      <c r="M4" s="1392"/>
      <c r="N4" s="1427"/>
      <c r="O4" s="1392"/>
      <c r="P4" s="1392"/>
    </row>
    <row r="5" spans="1:16">
      <c r="A5" s="47" t="s">
        <v>1914</v>
      </c>
      <c r="B5" s="3044" t="s">
        <v>1915</v>
      </c>
      <c r="C5" s="3044"/>
      <c r="D5" s="48">
        <f>ROUND($D$3*E5/$E$3,2)</f>
        <v>0</v>
      </c>
      <c r="E5" s="49">
        <f>SUMIF('数据-基础表'!$11:$11,"住宅",'数据-基础表'!$5:$5)</f>
        <v>0</v>
      </c>
      <c r="F5" s="1392"/>
      <c r="G5" s="1399"/>
      <c r="H5" s="1247" t="s">
        <v>1911</v>
      </c>
      <c r="I5" s="55" t="e">
        <f>ROUND(E31/D31,2)</f>
        <v>#DIV/0!</v>
      </c>
      <c r="J5" s="1392"/>
      <c r="K5" s="1392"/>
      <c r="L5" s="1392"/>
      <c r="M5" s="1392"/>
      <c r="N5" s="1392"/>
      <c r="O5" s="1392"/>
      <c r="P5" s="1392"/>
    </row>
    <row r="6" spans="1:16" ht="15" thickBot="1">
      <c r="A6" s="2235"/>
      <c r="B6" s="3044" t="s">
        <v>1916</v>
      </c>
      <c r="C6" s="3044"/>
      <c r="D6" s="48">
        <f>ROUND($D$3*E6/$E$3,2)</f>
        <v>0</v>
      </c>
      <c r="E6" s="49">
        <f>E3-E5</f>
        <v>33427.47</v>
      </c>
      <c r="F6" s="1392"/>
      <c r="G6" s="2236" t="s">
        <v>1917</v>
      </c>
      <c r="H6" s="1399" t="s">
        <v>1918</v>
      </c>
      <c r="I6" s="939" t="e">
        <f>ROUND(F31/D31,2)</f>
        <v>#DIV/0!</v>
      </c>
      <c r="J6" s="1392"/>
      <c r="K6" s="1392"/>
      <c r="L6" s="1392"/>
      <c r="M6" s="1392"/>
      <c r="N6" s="1392"/>
      <c r="O6" s="1392"/>
      <c r="P6" s="1392"/>
    </row>
    <row r="7" spans="1:16" ht="15">
      <c r="A7" s="3036"/>
      <c r="B7" s="3037"/>
      <c r="C7" s="3038"/>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0</v>
      </c>
      <c r="E8" s="51">
        <f>SUMIF('数据-基础表'!BB10:BK10,"地上",'数据-基础表'!BB5:BK5)</f>
        <v>33427.47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0</v>
      </c>
      <c r="E16" s="53">
        <f>SUM(E8:E15)</f>
        <v>33427.47</v>
      </c>
      <c r="F16" s="1392"/>
      <c r="G16" s="2238"/>
      <c r="H16" s="2241" t="s">
        <v>1940</v>
      </c>
      <c r="I16" s="2242"/>
      <c r="J16" s="1392"/>
      <c r="K16" s="3033" t="s">
        <v>1940</v>
      </c>
      <c r="L16" s="3034"/>
      <c r="M16" s="3034"/>
      <c r="N16" s="3034"/>
      <c r="O16" s="3034"/>
      <c r="P16" s="3035"/>
    </row>
    <row r="17" spans="1:19" ht="15">
      <c r="A17" s="2243" t="s">
        <v>1941</v>
      </c>
      <c r="B17" s="2244" t="s">
        <v>1942</v>
      </c>
      <c r="C17" s="2245" t="s">
        <v>1943</v>
      </c>
      <c r="D17" s="2246" t="s">
        <v>1931</v>
      </c>
      <c r="E17" s="2247" t="s">
        <v>1932</v>
      </c>
      <c r="F17" s="2248"/>
      <c r="G17" s="2249"/>
      <c r="H17" s="2250" t="s">
        <v>1944</v>
      </c>
      <c r="I17" s="2251" t="s">
        <v>1929</v>
      </c>
      <c r="J17" s="1392"/>
      <c r="K17" s="3030" t="s">
        <v>1945</v>
      </c>
      <c r="L17" s="3031"/>
      <c r="M17" s="3032"/>
      <c r="N17" s="3030" t="s">
        <v>1946</v>
      </c>
      <c r="O17" s="3031"/>
      <c r="P17" s="3032"/>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3283" t="s">
        <v>3063</v>
      </c>
      <c r="D19" s="48">
        <f>ROUND($D$3*E19/$E$3,2)</f>
        <v>0</v>
      </c>
      <c r="E19" s="56">
        <f t="shared" ref="E19:E26" si="1">SUM(F19:G19)</f>
        <v>33427.47</v>
      </c>
      <c r="F19" s="57">
        <f>'数据-基础表'!I5</f>
        <v>33427.47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0</v>
      </c>
      <c r="S19" s="1248">
        <f t="shared" si="5"/>
        <v>33427.47</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0</v>
      </c>
      <c r="E27" s="1394">
        <f>IF(SUM(E19:E26)='数据-基础表'!BA5,SUM(E19:E26),IF(F27="地上面积有误","面积有误","地下面积有误"))</f>
        <v>33427.47</v>
      </c>
      <c r="F27" s="1393">
        <f>IF(SUM(F19:F26)=E8,SUM(F19:F26),"地上面积有误")</f>
        <v>33427.47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33427.47</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0</v>
      </c>
      <c r="E31" s="729">
        <f>E27+E30</f>
        <v>33427.47</v>
      </c>
      <c r="F31" s="730">
        <f>F27+F30</f>
        <v>33427.47</v>
      </c>
      <c r="G31" s="731">
        <f>G27+G30</f>
        <v>0</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43608</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商业</v>
      </c>
      <c r="B6" s="2308" t="str">
        <f>IF(A6=0,"","经营性")</f>
        <v>经营性</v>
      </c>
      <c r="C6" s="2309" t="s">
        <v>1373</v>
      </c>
      <c r="D6" s="1051">
        <f>SUMIF(项目基本情况!D$12:I$12,C6,项目基本情况!D$14:I$14)</f>
        <v>40</v>
      </c>
      <c r="E6" s="1048">
        <f>IF(B6="","",SUMIF(项目基本情况!D$12:I$12,C6,项目基本情况!D$13:I$13))</f>
        <v>53525</v>
      </c>
      <c r="F6" s="72">
        <f>SUMIF(项目基本情况!D$12:I$12,C6,项目基本情况!D$15:I$15)</f>
        <v>27.16</v>
      </c>
      <c r="G6" s="73">
        <f>IF(ISERROR(ROUND(POWER(1+H6,D6-F6)*(POWER(1+H6,F6)-1)/(POWER(1+H6,D6)-1),3)),0,ROUND(POWER(1+H6,D6-F6)*(POWER(1+H6,F6)-1)/(POWER(1+H6,D6)-1),3))</f>
        <v>0.85599999999999998</v>
      </c>
      <c r="H6" s="802">
        <v>0.05</v>
      </c>
      <c r="I6" s="802">
        <v>0.06</v>
      </c>
      <c r="J6" s="74">
        <v>8.5000000000000006E-2</v>
      </c>
      <c r="K6" s="1251">
        <f>SUMIF('数据-汇总表'!C$19:C$33,A6,'数据-汇总表'!E$19:E$33)</f>
        <v>33427.47</v>
      </c>
      <c r="L6" s="803">
        <v>3500</v>
      </c>
      <c r="M6" s="75">
        <f t="shared" ref="M6:M14" si="0">ROUND(K6*L6/10000,0)</f>
        <v>11700</v>
      </c>
      <c r="N6" s="801">
        <f>ROUND(1-(2019-2014)/60,2)</f>
        <v>0.92</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Sheet1!E5</f>
        <v>3.07</v>
      </c>
      <c r="V6" s="79">
        <v>0.03</v>
      </c>
      <c r="W6" s="79">
        <v>0.1</v>
      </c>
      <c r="X6" s="1261"/>
      <c r="Y6" s="80">
        <f>N6</f>
        <v>0.92</v>
      </c>
      <c r="Z6" s="81"/>
      <c r="AA6" s="74"/>
      <c r="AB6" s="74"/>
      <c r="AC6" s="1261"/>
      <c r="AD6" s="82"/>
      <c r="AE6" s="1262">
        <f ca="1">IF(AN6="",0,SUMIF(INDIRECT("'"&amp;AN6&amp;"'"&amp;"!E:E"),$AE$5,INDIRECT("'"&amp;AN6&amp;"'"&amp;"!F:F")))</f>
        <v>27.16</v>
      </c>
      <c r="AF6" s="1804"/>
      <c r="AG6" s="147">
        <f>IF(AF6="",0,AE6-AF6)</f>
        <v>0</v>
      </c>
      <c r="AH6" s="83"/>
      <c r="AI6" s="85">
        <v>365</v>
      </c>
      <c r="AJ6" s="86"/>
      <c r="AK6" s="87">
        <v>1.4999999999999999E-2</v>
      </c>
      <c r="AL6" s="88">
        <v>1.5E-3</v>
      </c>
      <c r="AM6" s="89">
        <v>0.01</v>
      </c>
      <c r="AN6" s="2310" t="s">
        <v>3068</v>
      </c>
      <c r="AO6" s="55">
        <f ca="1">SUMIF(INDIRECT("'"&amp;AN6&amp;"'"&amp;"!A:A"),"总价",INDIRECT("'"&amp;AN6&amp;"'"&amp;"!B:B"))</f>
        <v>44745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0.85599999999999998</v>
      </c>
      <c r="H16" s="99">
        <f>ROUND(SUMPRODUCT(H6:H13,K6:K13)/SUMPRODUCT((H6:H13&gt;0)*(K6:K13)),3)</f>
        <v>0.05</v>
      </c>
      <c r="I16" s="100"/>
      <c r="J16" s="100"/>
      <c r="K16" s="101">
        <f>SUM(K6:K15)</f>
        <v>33427.47</v>
      </c>
      <c r="L16" s="102">
        <f>ROUND(M16*10000/SUM(K6:K14),0)</f>
        <v>3500</v>
      </c>
      <c r="M16" s="102">
        <f>SUM(M6:M14)</f>
        <v>11700</v>
      </c>
      <c r="N16" s="103">
        <f>ROUND(SUMPRODUCT(M6:M14,N6:N14)/M16,3)</f>
        <v>0.92</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1.5</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1.5</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1.5</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1.5</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v>120</v>
      </c>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120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f ca="1">成本法!C10</f>
        <v>401</v>
      </c>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0.03</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7.0000000000000007E-2</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v>0</v>
      </c>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212</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v>5</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5" t="s">
        <v>2081</v>
      </c>
      <c r="B1" s="3046"/>
      <c r="C1" s="3046"/>
      <c r="D1" s="3046"/>
      <c r="E1" s="3046"/>
      <c r="F1" s="3046"/>
      <c r="G1" s="304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33427.47</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43608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34223</v>
      </c>
      <c r="C5" s="1743">
        <f ca="1">ROUND(B5*10000/$B$1,0)</f>
        <v>10238</v>
      </c>
      <c r="D5" s="1743" t="e">
        <f ca="1">ROUND(B5*10000/$B$2,0)</f>
        <v>#DIV/0!</v>
      </c>
      <c r="E5" s="1742"/>
      <c r="F5" s="1740"/>
      <c r="G5" s="1740"/>
    </row>
    <row r="6" spans="1:10" ht="16.5">
      <c r="A6" s="1743" t="s">
        <v>1352</v>
      </c>
      <c r="B6" s="1743">
        <f ca="1">SUM(G14:G23)</f>
        <v>34223</v>
      </c>
      <c r="C6" s="1743">
        <f ca="1">ROUND(B6*10000/$B$1,0)</f>
        <v>10238</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33427.47</v>
      </c>
      <c r="C14" s="1741">
        <f>结果表!C118</f>
        <v>0</v>
      </c>
      <c r="D14" s="1741">
        <f ca="1">结果表!H118</f>
        <v>34223</v>
      </c>
      <c r="E14" s="1741">
        <f ca="1">ROUND(D14*10000/B14,0)</f>
        <v>10238</v>
      </c>
      <c r="F14" s="1741" t="e">
        <f ca="1">ROUND(D14*10000/C14,0)</f>
        <v>#DIV/0!</v>
      </c>
      <c r="G14" s="1741">
        <f ca="1">结果表!D122</f>
        <v>34223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t="s">
        <v>1373</v>
      </c>
      <c r="D1" s="2420"/>
      <c r="E1" s="2420"/>
      <c r="F1" s="2422" t="s">
        <v>2119</v>
      </c>
      <c r="G1" s="2071" t="s">
        <v>3065</v>
      </c>
      <c r="H1" s="2423" t="str">
        <f>IF(G1="现房","——","估价对象范围")</f>
        <v>——</v>
      </c>
      <c r="I1" s="2424" t="s">
        <v>3066</v>
      </c>
    </row>
    <row r="2" spans="1:12" ht="21.75" customHeight="1" thickBot="1">
      <c r="A2" s="3080" t="str">
        <f>项目基本情况!S2</f>
        <v>房地产</v>
      </c>
      <c r="B2" s="3081"/>
      <c r="C2" s="3081"/>
      <c r="D2" s="3081"/>
      <c r="E2" s="3081"/>
      <c r="F2" s="3081"/>
      <c r="G2" s="3081"/>
      <c r="H2" s="3081"/>
      <c r="I2" s="3082"/>
    </row>
    <row r="3" spans="1:12" ht="12.75">
      <c r="A3" s="3084" t="s">
        <v>2120</v>
      </c>
      <c r="B3" s="3085"/>
      <c r="C3" s="3085"/>
      <c r="D3" s="3085"/>
      <c r="E3" s="3085"/>
      <c r="F3" s="3085"/>
      <c r="G3" s="3085"/>
      <c r="H3" s="3085"/>
      <c r="I3" s="3085"/>
    </row>
    <row r="4" spans="1:12" ht="14.25">
      <c r="A4" s="2427" t="s">
        <v>2121</v>
      </c>
      <c r="B4" s="2428" t="s">
        <v>2122</v>
      </c>
      <c r="C4" s="2429" t="s">
        <v>3067</v>
      </c>
      <c r="D4" s="2429" t="s">
        <v>3068</v>
      </c>
      <c r="E4" s="3077" t="s">
        <v>2123</v>
      </c>
      <c r="F4" s="3078"/>
      <c r="G4" s="3078"/>
      <c r="H4" s="3078"/>
      <c r="I4" s="308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2124</v>
      </c>
      <c r="B5" s="2998">
        <v>25</v>
      </c>
      <c r="C5" s="3063"/>
      <c r="D5" s="3083"/>
      <c r="E5" s="140" t="s">
        <v>2125</v>
      </c>
      <c r="F5" s="2431"/>
      <c r="G5" s="2431"/>
      <c r="H5" s="2431"/>
      <c r="I5" s="1831"/>
    </row>
    <row r="6" spans="1:12" ht="12.75">
      <c r="A6" s="3060"/>
      <c r="B6" s="2998"/>
      <c r="C6" s="3064"/>
      <c r="D6" s="3083"/>
      <c r="E6" s="140" t="s">
        <v>2126</v>
      </c>
      <c r="F6" s="2431"/>
      <c r="G6" s="2431"/>
      <c r="H6" s="2431"/>
      <c r="I6" s="1831"/>
    </row>
    <row r="7" spans="1:12" ht="12.75">
      <c r="A7" s="3060"/>
      <c r="B7" s="2998"/>
      <c r="C7" s="3065"/>
      <c r="D7" s="3083"/>
      <c r="E7" s="140" t="s">
        <v>2127</v>
      </c>
      <c r="F7" s="2431"/>
      <c r="G7" s="2431"/>
      <c r="H7" s="2431"/>
      <c r="I7" s="1831"/>
    </row>
    <row r="8" spans="1:12" ht="12.75">
      <c r="A8" s="3060" t="s">
        <v>2128</v>
      </c>
      <c r="B8" s="2998">
        <v>15</v>
      </c>
      <c r="C8" s="3063"/>
      <c r="D8" s="3083"/>
      <c r="E8" s="140" t="s">
        <v>2129</v>
      </c>
      <c r="F8" s="2431"/>
      <c r="G8" s="2431"/>
      <c r="H8" s="2431"/>
      <c r="I8" s="1831"/>
    </row>
    <row r="9" spans="1:12" ht="12.75">
      <c r="A9" s="3060"/>
      <c r="B9" s="2998"/>
      <c r="C9" s="3065"/>
      <c r="D9" s="3083"/>
      <c r="E9" s="140" t="s">
        <v>2130</v>
      </c>
      <c r="F9" s="2431"/>
      <c r="G9" s="2431"/>
      <c r="H9" s="2431"/>
      <c r="I9" s="1831"/>
    </row>
    <row r="10" spans="1:12" ht="12.75">
      <c r="A10" s="3060" t="s">
        <v>2131</v>
      </c>
      <c r="B10" s="2998">
        <v>15</v>
      </c>
      <c r="C10" s="3063"/>
      <c r="D10" s="3083"/>
      <c r="E10" s="140" t="s">
        <v>2132</v>
      </c>
      <c r="F10" s="2431"/>
      <c r="G10" s="2431"/>
      <c r="H10" s="2431"/>
      <c r="I10" s="1831"/>
    </row>
    <row r="11" spans="1:12" ht="12.75">
      <c r="A11" s="3060"/>
      <c r="B11" s="2998"/>
      <c r="C11" s="3065"/>
      <c r="D11" s="3083"/>
      <c r="E11" s="140" t="s">
        <v>2133</v>
      </c>
      <c r="F11" s="2431"/>
      <c r="G11" s="2431"/>
      <c r="H11" s="2431"/>
      <c r="I11" s="1831"/>
    </row>
    <row r="12" spans="1:12" ht="12.75">
      <c r="A12" s="3060" t="s">
        <v>2134</v>
      </c>
      <c r="B12" s="2998">
        <v>15</v>
      </c>
      <c r="C12" s="3063"/>
      <c r="D12" s="3083"/>
      <c r="E12" s="140" t="s">
        <v>2135</v>
      </c>
      <c r="F12" s="2431"/>
      <c r="G12" s="2431"/>
      <c r="H12" s="2431"/>
      <c r="I12" s="1831"/>
    </row>
    <row r="13" spans="1:12" ht="12.75">
      <c r="A13" s="3060"/>
      <c r="B13" s="2998"/>
      <c r="C13" s="3065"/>
      <c r="D13" s="3083"/>
      <c r="E13" s="140" t="s">
        <v>2136</v>
      </c>
      <c r="F13" s="2431"/>
      <c r="G13" s="2431"/>
      <c r="H13" s="2431"/>
      <c r="I13" s="1831"/>
    </row>
    <row r="14" spans="1:12" ht="12.75">
      <c r="A14" s="3060" t="s">
        <v>2137</v>
      </c>
      <c r="B14" s="2998">
        <v>30</v>
      </c>
      <c r="C14" s="3063">
        <v>6</v>
      </c>
      <c r="D14" s="3083">
        <v>4</v>
      </c>
      <c r="E14" s="140" t="s">
        <v>2138</v>
      </c>
      <c r="F14" s="2431"/>
      <c r="G14" s="2431"/>
      <c r="H14" s="2431"/>
      <c r="I14" s="1831"/>
    </row>
    <row r="15" spans="1:12" ht="12.75">
      <c r="A15" s="3060"/>
      <c r="B15" s="2998"/>
      <c r="C15" s="3064"/>
      <c r="D15" s="3083"/>
      <c r="E15" s="140" t="s">
        <v>2139</v>
      </c>
      <c r="F15" s="2431"/>
      <c r="G15" s="2431"/>
      <c r="H15" s="2431"/>
      <c r="I15" s="1831"/>
    </row>
    <row r="16" spans="1:12" ht="12.75">
      <c r="A16" s="3060"/>
      <c r="B16" s="2998"/>
      <c r="C16" s="3065"/>
      <c r="D16" s="3083"/>
      <c r="E16" s="140" t="s">
        <v>2140</v>
      </c>
      <c r="F16" s="2431"/>
      <c r="G16" s="2431"/>
      <c r="H16" s="2431"/>
      <c r="I16" s="1831"/>
    </row>
    <row r="17" spans="1:35" ht="15">
      <c r="A17" s="2432" t="s">
        <v>2141</v>
      </c>
      <c r="B17" s="64"/>
      <c r="C17" s="141">
        <f>SUM(C5:C16)</f>
        <v>6</v>
      </c>
      <c r="D17" s="141">
        <f>SUM(D5:D16)</f>
        <v>4</v>
      </c>
      <c r="E17" s="138"/>
      <c r="F17" s="138"/>
      <c r="G17" s="138"/>
      <c r="H17" s="138"/>
      <c r="I17" s="138"/>
      <c r="K17" s="2430"/>
      <c r="L17" s="2433" t="s">
        <v>2142</v>
      </c>
      <c r="M17" s="2433" t="s">
        <v>2143</v>
      </c>
    </row>
    <row r="18" spans="1:35" ht="15.75" thickBot="1">
      <c r="A18" s="2434" t="s">
        <v>2144</v>
      </c>
      <c r="B18" s="2435"/>
      <c r="C18" s="142">
        <f>ROUND(C17/SUM(C17:D17),2)</f>
        <v>0.6</v>
      </c>
      <c r="D18" s="142">
        <f>1-C18</f>
        <v>0.4</v>
      </c>
      <c r="E18" s="138"/>
      <c r="F18" s="138"/>
      <c r="G18" s="138"/>
      <c r="H18" s="138"/>
      <c r="I18" s="138"/>
      <c r="K18" s="2430" t="s">
        <v>2145</v>
      </c>
      <c r="L18" s="2430">
        <f>IF(C1="",'数据-汇总表'!E3,SUMIF(项目类型,C1,'数据-汇总表'!E17:E26)+SUMIF(项目类型,C1,'数据-汇总表'!I17:I26))</f>
        <v>33427.47</v>
      </c>
      <c r="M18" s="2430">
        <f>IF(C1="",'数据-汇总表'!E3,SUMIF(项目类型,C1,'数据-汇总表'!E17:E26))</f>
        <v>33427.47</v>
      </c>
    </row>
    <row r="19" spans="1:35" ht="15">
      <c r="A19" s="2436" t="s">
        <v>2146</v>
      </c>
      <c r="B19" s="2437" t="s">
        <v>2147</v>
      </c>
      <c r="C19" s="143">
        <f ca="1">SUMIF(INDIRECT("'"&amp;C4&amp;"'"&amp;"!A:A"),结果表!B19,INDIRECT("'"&amp;C4&amp;"'"&amp;"!B:B"))</f>
        <v>27209</v>
      </c>
      <c r="D19" s="144">
        <f ca="1">SUMIF(INDIRECT("'"&amp;D4&amp;"'"&amp;"!A:A"),结果表!B19,INDIRECT("'"&amp;D4&amp;"'"&amp;"!B:B"))</f>
        <v>44745</v>
      </c>
      <c r="E19" s="2436" t="s">
        <v>2148</v>
      </c>
      <c r="F19" s="2437" t="s">
        <v>2147</v>
      </c>
      <c r="G19" s="145">
        <f ca="1">ROUND(C19*$C$18+D19*$D$18,0)</f>
        <v>34223</v>
      </c>
      <c r="H19" s="2438" t="s">
        <v>2149</v>
      </c>
      <c r="I19" s="138"/>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7" t="s">
        <v>2151</v>
      </c>
      <c r="C20" s="146">
        <f ca="1">SUMIF(INDIRECT("'"&amp;C4&amp;"'"&amp;"!A:A"),结果表!B20,INDIRECT("'"&amp;C4&amp;"'"&amp;"!B:B"))</f>
        <v>8140</v>
      </c>
      <c r="D20" s="147">
        <f ca="1">SUMIF(INDIRECT("'"&amp;D4&amp;"'"&amp;"!A:A"),结果表!B20,INDIRECT("'"&amp;D4&amp;"'"&amp;"!B:B"))</f>
        <v>13386</v>
      </c>
      <c r="E20" s="2439"/>
      <c r="F20" s="1247" t="s">
        <v>2151</v>
      </c>
      <c r="G20" s="148">
        <f ca="1">ROUND(C20*$C$18+D20*$D$18,0)</f>
        <v>10238</v>
      </c>
      <c r="H20" s="980" t="s">
        <v>2152</v>
      </c>
      <c r="I20" s="138"/>
    </row>
    <row r="21" spans="1:35" ht="15" customHeight="1" thickBot="1">
      <c r="A21" s="1000"/>
      <c r="B21" s="2440" t="s">
        <v>2153</v>
      </c>
      <c r="C21" s="789" t="e">
        <f ca="1">ROUND(C19*10000/L19,0)</f>
        <v>#DIV/0!</v>
      </c>
      <c r="D21" s="790" t="e">
        <f ca="1">ROUND(D19*10000/L19,0)</f>
        <v>#DIV/0!</v>
      </c>
      <c r="E21" s="1000"/>
      <c r="F21" s="2440" t="s">
        <v>2153</v>
      </c>
      <c r="G21" s="149" t="e">
        <f ca="1">ROUND(G19*10000/L19,0)</f>
        <v>#DIV/0!</v>
      </c>
      <c r="H21" s="2441" t="s">
        <v>2152</v>
      </c>
      <c r="I21" s="138"/>
    </row>
    <row r="22" spans="1:35" ht="15" thickBot="1">
      <c r="A22" s="2282" t="s">
        <v>2154</v>
      </c>
      <c r="B22" s="2442"/>
      <c r="C22" s="2443"/>
      <c r="D22" s="791">
        <f ca="1">IF(C19&lt;D19,D19/C19-1,C19/D19-1)</f>
        <v>0.64449263111470478</v>
      </c>
      <c r="E22" s="138"/>
      <c r="F22" s="138"/>
      <c r="G22" s="138"/>
      <c r="H22" s="138"/>
      <c r="I22" s="138"/>
    </row>
    <row r="23" spans="1:35" ht="13.5" thickBot="1">
      <c r="A23" s="2420"/>
      <c r="B23" s="2420"/>
      <c r="C23" s="2420"/>
      <c r="D23" s="2420"/>
      <c r="E23" s="138"/>
      <c r="F23" s="138"/>
      <c r="G23" s="138"/>
      <c r="H23" s="138"/>
      <c r="I23" s="138"/>
    </row>
    <row r="24" spans="1:35" ht="14.25">
      <c r="A24" s="3054" t="s">
        <v>2155</v>
      </c>
      <c r="B24" s="2437" t="s">
        <v>2147</v>
      </c>
      <c r="C24" s="145">
        <f>IF(B30=0,0,D30)</f>
        <v>0</v>
      </c>
      <c r="D24" s="2444"/>
      <c r="E24" s="138"/>
      <c r="F24" s="138"/>
      <c r="G24" s="138"/>
      <c r="H24" s="138"/>
      <c r="I24" s="138"/>
    </row>
    <row r="25" spans="1:35" ht="14.25">
      <c r="A25" s="3055"/>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1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34223</v>
      </c>
      <c r="D32" s="2451" t="s">
        <v>2162</v>
      </c>
      <c r="E32" s="138"/>
      <c r="F32" s="138"/>
      <c r="G32" s="138"/>
      <c r="H32" s="138"/>
      <c r="I32" s="138"/>
    </row>
    <row r="33" spans="1:15" ht="15">
      <c r="A33" s="957" t="s">
        <v>2163</v>
      </c>
      <c r="B33" s="2452"/>
      <c r="C33" s="2453"/>
      <c r="D33" s="2454"/>
      <c r="E33" s="2455" t="s">
        <v>2164</v>
      </c>
      <c r="F33" s="2456" t="str">
        <f>IF(D32="楼面单价","取值（单价）","取值（总价）")</f>
        <v>取值（总价）</v>
      </c>
      <c r="G33" s="138"/>
      <c r="H33" s="138"/>
      <c r="I33" s="138"/>
    </row>
    <row r="34" spans="1:15" ht="15">
      <c r="A34" s="2457"/>
      <c r="B34" s="2458"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2166</v>
      </c>
      <c r="F34" s="1736"/>
      <c r="G34" s="138"/>
      <c r="H34" s="138"/>
      <c r="I34" s="138"/>
    </row>
    <row r="35" spans="1:15" ht="15.75" thickBot="1">
      <c r="A35" s="2460"/>
      <c r="B35" s="2461"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2168</v>
      </c>
      <c r="F35" s="163"/>
      <c r="G35" s="138"/>
      <c r="H35" s="138"/>
      <c r="I35" s="138"/>
    </row>
    <row r="36" spans="1:15" ht="15.75" thickBot="1">
      <c r="A36" s="3072" t="s">
        <v>2169</v>
      </c>
      <c r="B36" s="2463" t="s">
        <v>2170</v>
      </c>
      <c r="C36" s="154"/>
      <c r="D36" s="2464"/>
      <c r="E36" s="2465"/>
      <c r="F36" s="2466"/>
      <c r="G36" s="138"/>
      <c r="H36" s="138"/>
      <c r="I36" s="138"/>
    </row>
    <row r="37" spans="1:15" ht="15.75" thickBot="1">
      <c r="A37" s="3073"/>
      <c r="B37" s="2268" t="s">
        <v>2171</v>
      </c>
      <c r="C37" s="156"/>
      <c r="D37" s="1392"/>
      <c r="E37" s="1392"/>
      <c r="F37" s="2466"/>
      <c r="G37" s="138"/>
      <c r="H37" s="138"/>
      <c r="I37" s="138"/>
    </row>
    <row r="38" spans="1:15" ht="15.75" thickBot="1">
      <c r="A38" s="3074"/>
      <c r="B38" s="2467" t="s">
        <v>2172</v>
      </c>
      <c r="C38" s="727"/>
      <c r="D38" s="2468" t="s">
        <v>2173</v>
      </c>
      <c r="E38" s="1392"/>
      <c r="F38" s="2466"/>
      <c r="G38" s="138"/>
      <c r="H38" s="138"/>
      <c r="I38" s="138"/>
    </row>
    <row r="39" spans="1:15" ht="15">
      <c r="A39" s="2439" t="s">
        <v>2174</v>
      </c>
      <c r="B39" s="2469" t="s">
        <v>2175</v>
      </c>
      <c r="C39" s="2470" t="s">
        <v>2176</v>
      </c>
      <c r="D39" s="2470" t="s">
        <v>2177</v>
      </c>
      <c r="E39" s="2471" t="s">
        <v>2178</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051" t="s">
        <v>2183</v>
      </c>
      <c r="B45" s="3052"/>
      <c r="C45" s="3053"/>
      <c r="D45" s="164">
        <f ca="1">ROUND(H101*F45,0)</f>
        <v>34223</v>
      </c>
      <c r="E45" s="165" t="s">
        <v>2184</v>
      </c>
      <c r="F45" s="166">
        <v>1</v>
      </c>
      <c r="G45" s="167" t="s">
        <v>2185</v>
      </c>
      <c r="H45" s="138"/>
      <c r="I45" s="138"/>
      <c r="J45" s="3111" t="s">
        <v>2186</v>
      </c>
      <c r="K45" s="3111"/>
      <c r="L45" s="3111"/>
      <c r="M45" s="3111"/>
      <c r="N45" s="3111"/>
      <c r="O45" s="3111"/>
    </row>
    <row r="46" spans="1:15" ht="14.25" customHeight="1">
      <c r="A46" s="3048" t="s">
        <v>2187</v>
      </c>
      <c r="B46" s="3049"/>
      <c r="C46" s="3049"/>
      <c r="D46" s="3049"/>
      <c r="E46" s="3049"/>
      <c r="F46" s="3049"/>
      <c r="G46" s="3050"/>
      <c r="H46" s="2482"/>
      <c r="I46" s="168"/>
      <c r="J46" s="1809">
        <v>1</v>
      </c>
      <c r="K46" s="3111" t="s">
        <v>2188</v>
      </c>
      <c r="L46" s="3111"/>
      <c r="M46" s="3131"/>
      <c r="N46" s="3131"/>
      <c r="O46" s="3131"/>
    </row>
    <row r="47" spans="1:15" ht="12" customHeight="1">
      <c r="A47" s="169" t="s">
        <v>2189</v>
      </c>
      <c r="B47" s="170"/>
      <c r="C47" s="171"/>
      <c r="D47" s="172" t="s">
        <v>2190</v>
      </c>
      <c r="E47" s="24" t="s">
        <v>2191</v>
      </c>
      <c r="F47" s="173" t="s">
        <v>2192</v>
      </c>
      <c r="G47" s="174" t="s">
        <v>2193</v>
      </c>
      <c r="H47" s="2482"/>
      <c r="I47" s="168"/>
      <c r="J47" s="1809">
        <v>2</v>
      </c>
      <c r="K47" s="3111" t="s">
        <v>2194</v>
      </c>
      <c r="L47" s="3111"/>
      <c r="M47" s="3132">
        <f>'数据-取费表'!B2</f>
        <v>43608</v>
      </c>
      <c r="N47" s="3132"/>
      <c r="O47" s="3132"/>
    </row>
    <row r="48" spans="1:15" ht="25.5">
      <c r="A48" s="3079" t="s">
        <v>2195</v>
      </c>
      <c r="B48" s="3062"/>
      <c r="C48" s="3062"/>
      <c r="D48" s="140">
        <f>IF(H48="情况1",0,IF(H48="情况2",D52,IF(H48="情况3",D53,IF(H48="情况4",D54))))</f>
        <v>0</v>
      </c>
      <c r="E48" s="1798" t="str">
        <f>IF(H48="情况4","(销售额-原购置价)×税（费）率","销售额×税（费）率")</f>
        <v>销售额×税（费）率</v>
      </c>
      <c r="F48" s="175" t="str">
        <f>IF(H48="情况1","免征",'数据-取费表'!B41)</f>
        <v>免征</v>
      </c>
      <c r="G48" s="2483" t="s">
        <v>2196</v>
      </c>
      <c r="H48" s="2484" t="s">
        <v>2197</v>
      </c>
      <c r="I48" s="2482"/>
      <c r="J48" s="1809">
        <v>3</v>
      </c>
      <c r="K48" s="3111" t="s">
        <v>2198</v>
      </c>
      <c r="L48" s="3111"/>
      <c r="M48" s="3133">
        <f ca="1">H101</f>
        <v>34223</v>
      </c>
      <c r="N48" s="3133"/>
      <c r="O48" s="3133"/>
    </row>
    <row r="49" spans="1:35" ht="25.5" customHeight="1">
      <c r="A49" s="176" t="s">
        <v>2199</v>
      </c>
      <c r="B49" s="3047" t="s">
        <v>2200</v>
      </c>
      <c r="C49" s="3047"/>
      <c r="D49" s="177">
        <v>0</v>
      </c>
      <c r="E49" s="23" t="s">
        <v>2201</v>
      </c>
      <c r="F49" s="28" t="s">
        <v>34</v>
      </c>
      <c r="G49" s="3117"/>
      <c r="H49" s="138"/>
      <c r="I49" s="2485"/>
      <c r="J49" s="1809">
        <v>4</v>
      </c>
      <c r="K49" s="3111" t="str">
        <f>IF(项目基本情况!E8="房地产抵押价值","房地产抵押价值","抵押担保权已注销时的房地产抵押价值")</f>
        <v>抵押担保权已注销时的房地产抵押价值</v>
      </c>
      <c r="L49" s="3111"/>
      <c r="M49" s="3133" t="str">
        <f>IF(项目基本情况!E8="房地产抵押价值",H107,H109)</f>
        <v>——</v>
      </c>
      <c r="N49" s="3133"/>
      <c r="O49" s="3133"/>
    </row>
    <row r="50" spans="1:35" ht="25.5" customHeight="1">
      <c r="A50" s="178"/>
      <c r="B50" s="3047" t="s">
        <v>2202</v>
      </c>
      <c r="C50" s="3047"/>
      <c r="D50" s="179"/>
      <c r="E50" s="31"/>
      <c r="F50" s="180"/>
      <c r="G50" s="3118"/>
      <c r="H50" s="138"/>
      <c r="I50" s="2485"/>
      <c r="J50" s="3111" t="s">
        <v>2203</v>
      </c>
      <c r="K50" s="3111"/>
      <c r="L50" s="3111"/>
      <c r="M50" s="3111"/>
      <c r="N50" s="3111"/>
      <c r="O50" s="3111"/>
    </row>
    <row r="51" spans="1:35" ht="12" customHeight="1">
      <c r="A51" s="181"/>
      <c r="B51" s="3047" t="s">
        <v>2204</v>
      </c>
      <c r="C51" s="3047"/>
      <c r="D51" s="182"/>
      <c r="E51" s="30"/>
      <c r="F51" s="180"/>
      <c r="G51" s="3119"/>
      <c r="H51" s="138"/>
      <c r="I51" s="2485"/>
      <c r="J51" s="2486" t="s">
        <v>2205</v>
      </c>
      <c r="K51" s="3111" t="s">
        <v>2206</v>
      </c>
      <c r="L51" s="3111"/>
      <c r="M51" s="2486" t="s">
        <v>2207</v>
      </c>
      <c r="N51" s="2486" t="s">
        <v>2208</v>
      </c>
      <c r="O51" s="2486" t="s">
        <v>2209</v>
      </c>
    </row>
    <row r="52" spans="1:35" ht="24" customHeight="1">
      <c r="A52" s="183" t="s">
        <v>2210</v>
      </c>
      <c r="B52" s="3047" t="s">
        <v>2211</v>
      </c>
      <c r="C52" s="3047"/>
      <c r="D52" s="182">
        <f ca="1">ROUND(D45*'数据-取费表'!B41/(1+'数据-取费表'!C42),0)</f>
        <v>1825</v>
      </c>
      <c r="E52" s="11" t="s">
        <v>2212</v>
      </c>
      <c r="F52" s="184">
        <f>'数据-取费表'!B41</f>
        <v>5.6000000000000001E-2</v>
      </c>
      <c r="G52" s="2487"/>
      <c r="H52" s="138"/>
      <c r="I52" s="2485"/>
      <c r="J52" s="1809">
        <v>1</v>
      </c>
      <c r="K52" s="3112" t="s">
        <v>2213</v>
      </c>
      <c r="L52" s="3112"/>
      <c r="M52" s="1751">
        <f>D48</f>
        <v>0</v>
      </c>
      <c r="N52" s="1809" t="str">
        <f>E48</f>
        <v>销售额×税（费）率</v>
      </c>
      <c r="O52" s="1752" t="str">
        <f>F48</f>
        <v>免征</v>
      </c>
    </row>
    <row r="53" spans="1:35" ht="12" customHeight="1">
      <c r="A53" s="183" t="s">
        <v>2214</v>
      </c>
      <c r="B53" s="3070" t="s">
        <v>2215</v>
      </c>
      <c r="C53" s="3071"/>
      <c r="D53" s="182">
        <f ca="1">ROUND(D45*'数据-取费表'!B41/(1+'数据-取费表'!C42),0)</f>
        <v>1825</v>
      </c>
      <c r="E53" s="11" t="s">
        <v>2212</v>
      </c>
      <c r="F53" s="184">
        <f>'数据-取费表'!B41</f>
        <v>5.6000000000000001E-2</v>
      </c>
      <c r="G53" s="2487"/>
      <c r="H53" s="138"/>
      <c r="I53" s="2485"/>
      <c r="J53" s="1809">
        <v>2</v>
      </c>
      <c r="K53" s="3112" t="s">
        <v>2216</v>
      </c>
      <c r="L53" s="3112"/>
      <c r="M53" s="1751">
        <f t="shared" ref="M53:O54" ca="1" si="0">D55</f>
        <v>17</v>
      </c>
      <c r="N53" s="1809" t="str">
        <f t="shared" si="0"/>
        <v>销售额×税（费）率</v>
      </c>
      <c r="O53" s="1752">
        <f t="shared" si="0"/>
        <v>5.0000000000000001E-4</v>
      </c>
    </row>
    <row r="54" spans="1:35" ht="12" customHeight="1">
      <c r="A54" s="183" t="s">
        <v>2217</v>
      </c>
      <c r="B54" s="3070" t="s">
        <v>2218</v>
      </c>
      <c r="C54" s="3071"/>
      <c r="D54" s="182">
        <f ca="1">C68</f>
        <v>1825</v>
      </c>
      <c r="E54" s="30" t="s">
        <v>2219</v>
      </c>
      <c r="F54" s="184">
        <f>'数据-取费表'!B41</f>
        <v>5.6000000000000001E-2</v>
      </c>
      <c r="G54" s="2487"/>
      <c r="H54" s="2488"/>
      <c r="I54" s="2485"/>
      <c r="J54" s="1809">
        <v>3</v>
      </c>
      <c r="K54" s="3112" t="s">
        <v>2220</v>
      </c>
      <c r="L54" s="3112"/>
      <c r="M54" s="1751">
        <f t="shared" ca="1" si="0"/>
        <v>19370</v>
      </c>
      <c r="N54" s="1809" t="str">
        <f t="shared" si="0"/>
        <v>增值额×税（费）率</v>
      </c>
      <c r="O54" s="1753" t="str">
        <f t="shared" si="0"/>
        <v>——</v>
      </c>
    </row>
    <row r="55" spans="1:35" ht="24" customHeight="1">
      <c r="A55" s="3061" t="s">
        <v>2221</v>
      </c>
      <c r="B55" s="3062"/>
      <c r="C55" s="3062"/>
      <c r="D55" s="185">
        <f ca="1">IF(H55="个人住宅",0,ROUND(D45*I55,0))</f>
        <v>17</v>
      </c>
      <c r="E55" s="11" t="s">
        <v>2222</v>
      </c>
      <c r="F55" s="184">
        <f>IF(H55="正常",I55,"免征")</f>
        <v>5.0000000000000001E-4</v>
      </c>
      <c r="G55" s="2487"/>
      <c r="H55" s="2484" t="s">
        <v>2223</v>
      </c>
      <c r="I55" s="186">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061" t="s">
        <v>2224</v>
      </c>
      <c r="B56" s="3062"/>
      <c r="C56" s="3062"/>
      <c r="D56" s="185">
        <f ca="1">IF(H56="个人住宅",D57,D58)</f>
        <v>19370</v>
      </c>
      <c r="E56" s="11" t="s">
        <v>2225</v>
      </c>
      <c r="F56" s="184" t="str">
        <f>IF(H56="正常",F58,"免征")</f>
        <v>——</v>
      </c>
      <c r="G56" s="2489" t="s">
        <v>2226</v>
      </c>
      <c r="H56" s="2490" t="s">
        <v>2223</v>
      </c>
      <c r="I56" s="2491"/>
      <c r="J56" s="1809" t="str">
        <f>IF(项目基本情况!K6="上海银行",IF(J55="",4,J55+1),"")</f>
        <v/>
      </c>
      <c r="K56" s="3135" t="str">
        <f>IF(项目基本情况!K6="上海银行","其他处置费用","")</f>
        <v/>
      </c>
      <c r="L56" s="3136"/>
      <c r="M56" s="1751" t="str">
        <f>IF(项目基本情况!K6="上海银行",M69,"")</f>
        <v/>
      </c>
      <c r="N56" s="3138" t="str">
        <f>IF(项目基本情况!K6="上海银行","包含处置中涉及的律师、诉讼、拍卖、评估等费用","")</f>
        <v/>
      </c>
      <c r="O56" s="3139"/>
    </row>
    <row r="57" spans="1:35" ht="12.75">
      <c r="A57" s="183" t="s">
        <v>2199</v>
      </c>
      <c r="B57" s="3077" t="s">
        <v>2227</v>
      </c>
      <c r="C57" s="3086"/>
      <c r="D57" s="187">
        <v>0</v>
      </c>
      <c r="E57" s="23" t="s">
        <v>2201</v>
      </c>
      <c r="F57" s="155"/>
      <c r="G57" s="2487"/>
      <c r="H57" s="2491"/>
      <c r="I57" s="2491"/>
      <c r="J57" s="3112">
        <f>IF(AND(J55="",J56=""),4,IF(项目基本情况!K6="上海银行",结果表!J56+1,结果表!J55+1))</f>
        <v>4</v>
      </c>
      <c r="K57" s="3112" t="s">
        <v>2228</v>
      </c>
      <c r="L57" s="2492" t="s">
        <v>2229</v>
      </c>
      <c r="M57" s="1756"/>
      <c r="N57" s="1757">
        <f ca="1">SUMIF(M52:M56,"&lt;9e307")</f>
        <v>19387</v>
      </c>
      <c r="O57" s="2493"/>
      <c r="P57" s="1750" t="e">
        <f ca="1">N57/M49</f>
        <v>#VALUE!</v>
      </c>
    </row>
    <row r="58" spans="1:35" ht="24.75">
      <c r="A58" s="183" t="s">
        <v>2210</v>
      </c>
      <c r="B58" s="3077" t="s">
        <v>2230</v>
      </c>
      <c r="C58" s="3078"/>
      <c r="D58" s="185">
        <f ca="1">IF(H58="转让取得",C81,C97)</f>
        <v>19370</v>
      </c>
      <c r="E58" s="11" t="s">
        <v>2225</v>
      </c>
      <c r="F58" s="24" t="s">
        <v>34</v>
      </c>
      <c r="G58" s="2487"/>
      <c r="H58" s="2490" t="s">
        <v>2231</v>
      </c>
      <c r="I58" s="2491"/>
      <c r="J58" s="3112"/>
      <c r="K58" s="3112"/>
      <c r="L58" s="2492" t="s">
        <v>2232</v>
      </c>
      <c r="M58" s="1758"/>
      <c r="N58" s="2494" t="str">
        <f ca="1">NUMBERSTRING(INT(N57*10000),2)&amp;"元整"</f>
        <v>壹亿玖仟叁佰捌拾柒万元整</v>
      </c>
      <c r="O58" s="2495"/>
    </row>
    <row r="59" spans="1:35" ht="24.75" thickBot="1">
      <c r="A59" s="3115" t="s">
        <v>2233</v>
      </c>
      <c r="B59" s="3116"/>
      <c r="C59" s="3116"/>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13">
        <f>J57+1</f>
        <v>5</v>
      </c>
      <c r="K59" s="3112" t="s">
        <v>2235</v>
      </c>
      <c r="L59" s="1809" t="s">
        <v>2229</v>
      </c>
      <c r="M59" s="1759"/>
      <c r="N59" s="1760" t="e">
        <f ca="1">M49-N57</f>
        <v>#VALUE!</v>
      </c>
      <c r="O59" s="2497"/>
    </row>
    <row r="60" spans="1:35" ht="12" customHeight="1">
      <c r="A60" s="2498"/>
      <c r="B60" s="2420"/>
      <c r="C60" s="2420"/>
      <c r="D60" s="2420"/>
      <c r="E60" s="2167"/>
      <c r="F60" s="2491"/>
      <c r="G60" s="2491"/>
      <c r="H60" s="2499"/>
      <c r="I60" s="138"/>
      <c r="J60" s="3114"/>
      <c r="K60" s="3112"/>
      <c r="L60" s="2492" t="s">
        <v>2232</v>
      </c>
      <c r="M60" s="1758"/>
      <c r="N60" s="2494" t="e">
        <f ca="1">NUMBERSTRING(INT(N59*10000),2)&amp;"元整"</f>
        <v>#VALUE!</v>
      </c>
      <c r="O60" s="2495"/>
    </row>
    <row r="61" spans="1:35" ht="13.5" thickBot="1">
      <c r="A61" s="3059" t="s">
        <v>2236</v>
      </c>
      <c r="B61" s="3059"/>
      <c r="C61" s="3059"/>
      <c r="D61" s="3059"/>
      <c r="E61" s="3059"/>
      <c r="F61" s="2491"/>
      <c r="G61" s="2491"/>
      <c r="H61" s="2499"/>
      <c r="I61" s="138"/>
      <c r="J61" s="1809">
        <f>J59+1</f>
        <v>6</v>
      </c>
      <c r="K61" s="3112" t="s">
        <v>2237</v>
      </c>
      <c r="L61" s="3112"/>
      <c r="M61" s="1761"/>
      <c r="N61" s="1762" t="e">
        <f ca="1">ROUND(N59*10000/'数据-汇总表'!E3,0)</f>
        <v>#VALUE!</v>
      </c>
      <c r="O61" s="2500"/>
    </row>
    <row r="62" spans="1:35" ht="12.75">
      <c r="A62" s="3075" t="s">
        <v>2238</v>
      </c>
      <c r="B62" s="3076"/>
      <c r="C62" s="1801"/>
      <c r="D62" s="1801" t="s">
        <v>2239</v>
      </c>
      <c r="E62" s="192" t="s">
        <v>2240</v>
      </c>
      <c r="F62" s="2491"/>
      <c r="G62" s="2491"/>
      <c r="H62" s="2499"/>
      <c r="I62" s="138"/>
    </row>
    <row r="63" spans="1:35" ht="12.75">
      <c r="A63" s="203" t="s">
        <v>775</v>
      </c>
      <c r="B63" s="193" t="s">
        <v>2241</v>
      </c>
      <c r="C63" s="194">
        <f ca="1">ROUND((C64+C65)/(1+'数据-取费表'!C42),0)</f>
        <v>32593</v>
      </c>
      <c r="D63" s="195"/>
      <c r="E63" s="196"/>
      <c r="F63" s="2491"/>
      <c r="G63" s="2491"/>
      <c r="H63" s="2499"/>
      <c r="I63" s="138"/>
      <c r="J63" s="3137" t="s">
        <v>2242</v>
      </c>
      <c r="K63" s="2501" t="s">
        <v>2243</v>
      </c>
      <c r="L63" s="1749" t="e">
        <f>IF(M49&gt;10000,M49*0.5%,IF(AND(M49&gt;1000,M49&lt;=10000),M49*1%,IF(AND(M49&gt;100,M49&lt;=1000),M49*3%,IF(AND(M49&gt;10,M49&lt;=100),M49*5%,M49*8%))))</f>
        <v>#VALUE!</v>
      </c>
      <c r="M63" s="24" t="e">
        <f>ROUND(L63,1)</f>
        <v>#VALUE!</v>
      </c>
      <c r="Z63" s="2425"/>
      <c r="AI63" s="2426"/>
    </row>
    <row r="64" spans="1:35" ht="14.25" customHeight="1">
      <c r="A64" s="197" t="s">
        <v>770</v>
      </c>
      <c r="B64" s="198" t="s">
        <v>2244</v>
      </c>
      <c r="C64" s="199">
        <f ca="1">D45</f>
        <v>34223</v>
      </c>
      <c r="D64" s="200" t="s">
        <v>32</v>
      </c>
      <c r="E64" s="201"/>
      <c r="F64" s="2491"/>
      <c r="G64" s="2491"/>
      <c r="H64" s="2499"/>
      <c r="I64" s="138"/>
      <c r="J64" s="3137"/>
      <c r="K64" s="2501"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5"/>
      <c r="AI64" s="2426"/>
    </row>
    <row r="65" spans="1:35" ht="14.25" customHeight="1">
      <c r="A65" s="197" t="s">
        <v>771</v>
      </c>
      <c r="B65" s="198" t="s">
        <v>2247</v>
      </c>
      <c r="C65" s="202"/>
      <c r="D65" s="200"/>
      <c r="E65" s="201"/>
      <c r="F65" s="2491"/>
      <c r="G65" s="2491"/>
      <c r="H65" s="2499"/>
      <c r="I65" s="138"/>
      <c r="J65" s="3137"/>
      <c r="K65" s="2501" t="s">
        <v>2248</v>
      </c>
      <c r="L65" s="1749" t="e">
        <f>IF(M49&gt;1000,M49*0.1%,IF(AND(M49&gt;500,M49&lt;=1000),M49*0.5%,IF(AND(M49&gt;50,M49&lt;=500),M49*1%,IF(AND(M49&gt;1,M49&lt;=50),M49*1.5%))))</f>
        <v>#VALUE!</v>
      </c>
      <c r="M65" s="24" t="e">
        <f t="shared" si="1"/>
        <v>#VALUE!</v>
      </c>
      <c r="N65" s="138" t="s">
        <v>2246</v>
      </c>
      <c r="Z65" s="2425"/>
      <c r="AI65" s="2426"/>
    </row>
    <row r="66" spans="1:35" ht="14.25" customHeight="1">
      <c r="A66" s="203" t="s">
        <v>772</v>
      </c>
      <c r="B66" s="204" t="s">
        <v>2249</v>
      </c>
      <c r="C66" s="205"/>
      <c r="D66" s="206" t="s">
        <v>32</v>
      </c>
      <c r="E66" s="1773" t="s">
        <v>1367</v>
      </c>
      <c r="F66" s="2491"/>
      <c r="G66" s="2491"/>
      <c r="H66" s="2499"/>
      <c r="I66" s="138"/>
      <c r="J66" s="3137"/>
      <c r="K66" s="2501" t="s">
        <v>2250</v>
      </c>
      <c r="L66" s="1749" t="e">
        <f>M49*0.5%</f>
        <v>#VALUE!</v>
      </c>
      <c r="M66" s="24" t="e">
        <f>IF(L66&gt;0.5,0.5,ROUND(L66,0))</f>
        <v>#VALUE!</v>
      </c>
      <c r="N66" s="138" t="s">
        <v>2251</v>
      </c>
      <c r="Z66" s="2425"/>
      <c r="AI66" s="2426"/>
    </row>
    <row r="67" spans="1:35" ht="14.25" customHeight="1">
      <c r="A67" s="203" t="s">
        <v>773</v>
      </c>
      <c r="B67" s="204" t="s">
        <v>2252</v>
      </c>
      <c r="C67" s="207">
        <f ca="1">C63-C66</f>
        <v>32593</v>
      </c>
      <c r="D67" s="200" t="s">
        <v>32</v>
      </c>
      <c r="E67" s="201"/>
      <c r="F67" s="2491"/>
      <c r="G67" s="2491"/>
      <c r="H67" s="2499"/>
      <c r="I67" s="138"/>
      <c r="J67" s="3137"/>
      <c r="K67" s="2501"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2254</v>
      </c>
      <c r="C68" s="210">
        <f ca="1">IF(C67&lt;=0,0,ROUND(C67*D68,0))</f>
        <v>1825</v>
      </c>
      <c r="D68" s="211">
        <f>'数据-取费表'!B41</f>
        <v>5.6000000000000001E-2</v>
      </c>
      <c r="E68" s="212"/>
      <c r="F68" s="2491"/>
      <c r="G68" s="2491"/>
      <c r="H68" s="2499"/>
      <c r="I68" s="138"/>
      <c r="J68" s="3137"/>
      <c r="K68" s="2501" t="s">
        <v>2255</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37"/>
      <c r="K69" s="2501" t="s">
        <v>2256</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6" t="s">
        <v>2257</v>
      </c>
      <c r="B70" s="3097"/>
      <c r="C70" s="3097"/>
      <c r="D70" s="3097"/>
      <c r="E70" s="3097"/>
      <c r="F70" s="3097"/>
      <c r="G70" s="3097"/>
      <c r="H70" s="309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5" t="s">
        <v>2238</v>
      </c>
      <c r="B71" s="3076"/>
      <c r="C71" s="1801"/>
      <c r="D71" s="1801"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32593</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196</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070" t="s">
        <v>2266</v>
      </c>
      <c r="F76" s="3047"/>
      <c r="G76" s="3047"/>
      <c r="H76" s="309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196</v>
      </c>
      <c r="D78" s="226">
        <f>'数据-取费表'!B43</f>
        <v>6.000000000000001E-3</v>
      </c>
      <c r="E78" s="3056" t="s">
        <v>2271</v>
      </c>
      <c r="F78" s="3057"/>
      <c r="G78" s="3057"/>
      <c r="H78" s="306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32397</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165.2908163265306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19370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6" t="s">
        <v>2275</v>
      </c>
      <c r="B83" s="3097"/>
      <c r="C83" s="3097"/>
      <c r="D83" s="3097"/>
      <c r="E83" s="3097"/>
      <c r="F83" s="3097"/>
      <c r="G83" s="3097"/>
      <c r="H83" s="309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5" t="s">
        <v>2238</v>
      </c>
      <c r="B84" s="3076"/>
      <c r="C84" s="1801"/>
      <c r="D84" s="1801"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32593</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196</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c r="D88" s="226"/>
      <c r="E88" s="237" t="s">
        <v>2278</v>
      </c>
      <c r="F88" s="1797"/>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0</v>
      </c>
      <c r="D89" s="226">
        <f>'数据-取费表'!B48+'数据-取费表'!B49</f>
        <v>3.0499999999999999E-2</v>
      </c>
      <c r="E89" s="237" t="s">
        <v>2280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056" t="s">
        <v>2284</v>
      </c>
      <c r="F91" s="3057"/>
      <c r="G91" s="3057"/>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056" t="s">
        <v>2288</v>
      </c>
      <c r="F92" s="3057"/>
      <c r="G92" s="3057"/>
      <c r="H92" s="306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196</v>
      </c>
      <c r="D93" s="226">
        <f>'数据-取费表'!B43</f>
        <v>6.000000000000001E-3</v>
      </c>
      <c r="E93" s="3056" t="s">
        <v>2271</v>
      </c>
      <c r="F93" s="3057"/>
      <c r="G93" s="3057"/>
      <c r="H93" s="306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067" t="s">
        <v>2292</v>
      </c>
      <c r="F94" s="3068"/>
      <c r="G94" s="3068"/>
      <c r="H94" s="306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32397</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165.2908163265306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19370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41" t="s">
        <v>2294</v>
      </c>
      <c r="B100" s="3042"/>
      <c r="C100" s="3042"/>
      <c r="D100" s="3058"/>
      <c r="E100" s="3042" t="s">
        <v>2295</v>
      </c>
      <c r="F100" s="3042"/>
      <c r="G100" s="3042"/>
      <c r="H100" s="3058"/>
      <c r="I100" s="138"/>
    </row>
    <row r="101" spans="1:35" ht="18.75" customHeight="1">
      <c r="A101" s="3120" t="s">
        <v>2296</v>
      </c>
      <c r="B101" s="3121"/>
      <c r="C101" s="736" t="str">
        <f>C4</f>
        <v>成本法</v>
      </c>
      <c r="D101" s="737" t="str">
        <f>D4</f>
        <v>收益法</v>
      </c>
      <c r="E101" s="3134" t="s">
        <v>2297</v>
      </c>
      <c r="F101" s="3088"/>
      <c r="G101" s="2522" t="s">
        <v>2298</v>
      </c>
      <c r="H101" s="1045">
        <f ca="1">H118</f>
        <v>34223</v>
      </c>
      <c r="I101" s="138"/>
    </row>
    <row r="102" spans="1:35" ht="18.75" customHeight="1">
      <c r="A102" s="3090" t="s">
        <v>2299</v>
      </c>
      <c r="B102" s="2522" t="s">
        <v>2298</v>
      </c>
      <c r="C102" s="736">
        <f ca="1">C19</f>
        <v>27209</v>
      </c>
      <c r="D102" s="737">
        <f ca="1">D19</f>
        <v>44745</v>
      </c>
      <c r="E102" s="3134"/>
      <c r="F102" s="3088"/>
      <c r="G102" s="2522" t="s">
        <v>2300</v>
      </c>
      <c r="H102" s="371">
        <f ca="1">I118</f>
        <v>10238</v>
      </c>
      <c r="I102" s="138"/>
    </row>
    <row r="103" spans="1:35" ht="42.75" customHeight="1">
      <c r="A103" s="3090"/>
      <c r="B103" s="2522" t="s">
        <v>2300</v>
      </c>
      <c r="C103" s="738">
        <f ca="1">C20</f>
        <v>8140</v>
      </c>
      <c r="D103" s="739">
        <f ca="1">D20</f>
        <v>13386</v>
      </c>
      <c r="E103" s="3129" t="s">
        <v>2301</v>
      </c>
      <c r="F103" s="3130"/>
      <c r="G103" s="2523" t="s">
        <v>2302</v>
      </c>
      <c r="H103" s="1045">
        <f>IF(D36="正常操作",H104+H105+H106,H105+H106)</f>
        <v>0</v>
      </c>
      <c r="I103" s="138"/>
    </row>
    <row r="104" spans="1:35" ht="18.75" customHeight="1">
      <c r="A104" s="3090" t="s">
        <v>2303</v>
      </c>
      <c r="B104" s="2524" t="s">
        <v>2298</v>
      </c>
      <c r="C104" s="740">
        <f ca="1">H118</f>
        <v>34223</v>
      </c>
      <c r="D104" s="741"/>
      <c r="E104" s="2268" t="s">
        <v>2304</v>
      </c>
      <c r="F104" s="2259"/>
      <c r="G104" s="2523" t="s">
        <v>2302</v>
      </c>
      <c r="H104" s="1046">
        <f>IF(D36="同一抵押权人同一抵押物续贷",C36&amp;"（未扣减，详见特别提示）",C36)</f>
        <v>0</v>
      </c>
      <c r="I104" s="138"/>
    </row>
    <row r="105" spans="1:35" ht="18.75" customHeight="1" thickBot="1">
      <c r="A105" s="3091"/>
      <c r="B105" s="2525" t="s">
        <v>2300</v>
      </c>
      <c r="C105" s="742">
        <f ca="1">I118</f>
        <v>10238</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087" t="str">
        <f>IF(项目基本情况!E8="已注销","——","3.房地产抵押价值")</f>
        <v>3.房地产抵押价值</v>
      </c>
      <c r="F107" s="3088"/>
      <c r="G107" s="2522" t="s">
        <v>2298</v>
      </c>
      <c r="H107" s="1045">
        <f ca="1">IF(E107="——","——",H101-H103)</f>
        <v>34223</v>
      </c>
      <c r="I107" s="138"/>
    </row>
    <row r="108" spans="1:35" ht="18.75" customHeight="1">
      <c r="A108" s="138"/>
      <c r="B108" s="138"/>
      <c r="C108" s="138"/>
      <c r="D108" s="138"/>
      <c r="E108" s="3087"/>
      <c r="F108" s="3088"/>
      <c r="G108" s="2522" t="s">
        <v>2300</v>
      </c>
      <c r="H108" s="371">
        <f ca="1">ROUND(H107*10000/'数据-汇总表'!E3,0)</f>
        <v>10238</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22" t="s">
        <v>2298</v>
      </c>
      <c r="H109" s="348" t="str">
        <f>IF(E109="——","——",H101-H105-H106)</f>
        <v>——</v>
      </c>
      <c r="I109" s="138"/>
    </row>
    <row r="110" spans="1:35" ht="18.75" customHeight="1">
      <c r="A110" s="138"/>
      <c r="B110" s="138"/>
      <c r="C110" s="138"/>
      <c r="D110" s="138"/>
      <c r="E110" s="3087"/>
      <c r="F110" s="3088"/>
      <c r="G110" s="2522" t="s">
        <v>2300</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2" t="s">
        <v>2298</v>
      </c>
      <c r="H111" s="1045" t="str">
        <f>IF(E111="——","——",N59)</f>
        <v>——</v>
      </c>
      <c r="I111" s="138"/>
    </row>
    <row r="112" spans="1:35" ht="18.75" customHeight="1" thickBot="1">
      <c r="A112" s="138"/>
      <c r="B112" s="138"/>
      <c r="C112" s="138"/>
      <c r="D112" s="138"/>
      <c r="E112" s="3124"/>
      <c r="F112" s="3125"/>
      <c r="G112" s="2527" t="s">
        <v>2300</v>
      </c>
      <c r="H112" s="790" t="str">
        <f>IF(E111="——","——",N61)</f>
        <v>——</v>
      </c>
      <c r="I112" s="138"/>
    </row>
    <row r="113" spans="1:11" ht="18.75" customHeight="1">
      <c r="A113" s="138"/>
      <c r="B113" s="138"/>
      <c r="C113" s="138"/>
      <c r="D113" s="138"/>
      <c r="E113" s="3092" t="s">
        <v>2306</v>
      </c>
      <c r="F113" s="3092"/>
      <c r="G113" s="3092"/>
      <c r="H113" s="3092"/>
      <c r="I113" s="138"/>
    </row>
    <row r="114" spans="1:11" ht="3.75" customHeight="1">
      <c r="A114" s="2420"/>
      <c r="B114" s="2420"/>
      <c r="C114" s="2420"/>
      <c r="D114" s="2420"/>
      <c r="E114" s="2498"/>
      <c r="F114" s="2498"/>
      <c r="G114" s="2498"/>
      <c r="H114" s="2498"/>
      <c r="I114" s="2420"/>
    </row>
    <row r="115" spans="1:11" ht="18.75" customHeight="1">
      <c r="A115" s="3105" t="s">
        <v>2308</v>
      </c>
      <c r="B115" s="3106"/>
      <c r="C115" s="3106"/>
      <c r="D115" s="3106"/>
      <c r="E115" s="3106"/>
      <c r="F115" s="3106"/>
      <c r="G115" s="3106"/>
      <c r="H115" s="3106"/>
      <c r="I115" s="3107"/>
    </row>
    <row r="116" spans="1:11" ht="27" customHeight="1">
      <c r="A116" s="2998" t="s">
        <v>2309</v>
      </c>
      <c r="B116" s="3093" t="s">
        <v>2310</v>
      </c>
      <c r="C116" s="3093" t="s">
        <v>2311</v>
      </c>
      <c r="D116" s="3109" t="s">
        <v>2312</v>
      </c>
      <c r="E116" s="3110"/>
      <c r="F116" s="3101" t="s">
        <v>2313</v>
      </c>
      <c r="G116" s="3101"/>
      <c r="H116" s="2998" t="s">
        <v>2314</v>
      </c>
      <c r="I116" s="2998"/>
    </row>
    <row r="117" spans="1:11" ht="18.75" customHeight="1">
      <c r="A117" s="2998"/>
      <c r="B117" s="3094"/>
      <c r="C117" s="3094"/>
      <c r="D117" s="1795" t="s">
        <v>2315</v>
      </c>
      <c r="E117" s="1795" t="s">
        <v>2316</v>
      </c>
      <c r="F117" s="1795" t="s">
        <v>2315</v>
      </c>
      <c r="G117" s="1795" t="s">
        <v>2317</v>
      </c>
      <c r="H117" s="1795" t="s">
        <v>2315</v>
      </c>
      <c r="I117" s="1795" t="s">
        <v>2317</v>
      </c>
    </row>
    <row r="118" spans="1:11" ht="24.75" customHeight="1">
      <c r="A118" s="2528" t="str">
        <f>项目基本情况!S2</f>
        <v>房地产</v>
      </c>
      <c r="B118" s="1795">
        <f>M18</f>
        <v>33427.47</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34223</v>
      </c>
      <c r="I118" s="1795">
        <f ca="1">ROUND(IF(D32="楼面单价",C32,H118*10000/B118),0)</f>
        <v>10238</v>
      </c>
    </row>
    <row r="119" spans="1:11" ht="18.75" customHeight="1">
      <c r="A119" s="2998" t="s">
        <v>2318</v>
      </c>
      <c r="B119" s="2998"/>
      <c r="C119" s="2998"/>
      <c r="D119" s="3098" t="e">
        <f ca="1">NUMBERSTRING(INT(D118*10000),2)&amp;"元整"</f>
        <v>#REF!</v>
      </c>
      <c r="E119" s="3100"/>
      <c r="F119" s="3098" t="e">
        <f ca="1">NUMBERSTRING(INT(F118*10000),2)&amp;"元整"</f>
        <v>#REF!</v>
      </c>
      <c r="G119" s="3100"/>
      <c r="H119" s="3098" t="str">
        <f ca="1">NUMBERSTRING(INT(H118*10000),2)&amp;"元整"</f>
        <v>叁亿肆仟贰佰贰拾叁万元整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5" t="str">
        <f>IF(D120=0,"故，本次评估不存在"&amp;A120,"故，本次评估"&amp;A120&amp;"为人民币"&amp;D120&amp;"万元整。")</f>
        <v>故，本次评估不存在估价师知悉的法定优先受偿款</v>
      </c>
    </row>
    <row r="121" spans="1:11" ht="18.75" customHeight="1">
      <c r="A121" s="3102" t="s">
        <v>2318</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34223</v>
      </c>
      <c r="E122" s="3127"/>
      <c r="F122" s="3127"/>
      <c r="G122" s="3127"/>
      <c r="H122" s="3127"/>
      <c r="I122" s="3128"/>
    </row>
    <row r="123" spans="1:11" ht="18.75" customHeight="1">
      <c r="A123" s="2998" t="s">
        <v>2318</v>
      </c>
      <c r="B123" s="2998"/>
      <c r="C123" s="2998"/>
      <c r="D123" s="3098" t="str">
        <f ca="1">NUMBERSTRING(INT(D122*10000),2)&amp;"元整"</f>
        <v>叁亿肆仟贰佰贰拾叁万元整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2318</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2318</v>
      </c>
      <c r="B127" s="2998"/>
      <c r="C127" s="2998"/>
      <c r="D127" s="3098" t="e">
        <f>NUMBERSTRING(INT(D126*10000),2)&amp;"元整"</f>
        <v>#VALUE!</v>
      </c>
      <c r="E127" s="3099"/>
      <c r="F127" s="3099"/>
      <c r="G127" s="3099"/>
      <c r="H127" s="3099"/>
      <c r="I127" s="3100"/>
    </row>
    <row r="128" spans="1:11" ht="21.75" customHeight="1">
      <c r="A128" s="3108" t="s">
        <v>2319</v>
      </c>
      <c r="B128" s="3108"/>
      <c r="C128" s="3108"/>
      <c r="D128" s="3108"/>
      <c r="E128" s="3108"/>
      <c r="F128" s="3108"/>
      <c r="G128" s="3108"/>
      <c r="H128" s="3108"/>
      <c r="I128" s="3108"/>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t="s">
        <v>1373</v>
      </c>
      <c r="C1" s="242"/>
      <c r="D1" s="242"/>
      <c r="E1" s="242"/>
      <c r="F1" s="242"/>
      <c r="G1" s="1379">
        <f>MATCH(B1,'数据-取费表'!A6:A16,0)+5</f>
        <v>6</v>
      </c>
    </row>
    <row r="2" spans="1:9" s="244" customFormat="1" ht="18" customHeight="1">
      <c r="A2" s="245" t="s">
        <v>2328</v>
      </c>
      <c r="B2" s="246">
        <f ca="1">IF(D2="——",C52,C52-E2)</f>
        <v>27209</v>
      </c>
      <c r="C2" s="243" t="s">
        <v>2329</v>
      </c>
      <c r="D2" s="2551" t="s">
        <v>70</v>
      </c>
      <c r="E2" s="1440"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8140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8644</v>
      </c>
      <c r="D5" s="255" t="s">
        <v>2335</v>
      </c>
      <c r="E5" s="256" t="s">
        <v>2336</v>
      </c>
      <c r="F5" s="256" t="s">
        <v>2337</v>
      </c>
      <c r="G5" s="257"/>
    </row>
    <row r="6" spans="1:9" s="258" customFormat="1" ht="13.5" customHeight="1">
      <c r="A6" s="949" t="s">
        <v>2338</v>
      </c>
      <c r="B6" s="259" t="s">
        <v>2339</v>
      </c>
      <c r="C6" s="260">
        <f>'土地比较法-住宅、综合'!B2</f>
        <v>7999</v>
      </c>
      <c r="D6" s="261"/>
      <c r="E6" s="262"/>
      <c r="F6" s="262"/>
      <c r="G6" s="263"/>
    </row>
    <row r="7" spans="1:9" s="258" customFormat="1" ht="13.5" customHeight="1">
      <c r="A7" s="949" t="s">
        <v>2340</v>
      </c>
      <c r="B7" s="259" t="s">
        <v>2341</v>
      </c>
      <c r="C7" s="264">
        <f>ROUND(C6*F7,0)</f>
        <v>244</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401</v>
      </c>
      <c r="D8" s="266"/>
      <c r="E8" s="264"/>
      <c r="F8" s="265"/>
      <c r="G8" s="2554" t="s">
        <v>3070</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120</v>
      </c>
      <c r="F9" s="265"/>
      <c r="G9" s="2555" t="s">
        <v>3071</v>
      </c>
      <c r="H9" s="1390"/>
      <c r="I9" s="2556" t="s">
        <v>2345</v>
      </c>
    </row>
    <row r="10" spans="1:9" s="258" customFormat="1" ht="13.5" customHeight="1">
      <c r="A10" s="950" t="s">
        <v>801</v>
      </c>
      <c r="B10" s="268" t="s">
        <v>2346</v>
      </c>
      <c r="C10" s="269">
        <f ca="1">ROUND(D10*E10/10000,0)</f>
        <v>401</v>
      </c>
      <c r="D10" s="1032">
        <f ca="1">IF(B1="",'数据-汇总表'!E6,IF(INDIRECT("'数据-取费表'!c"&amp;$G$1)="住宅",INDIRECT("'数据-取费表'!s"&amp;$G$1),INDIRECT("'数据-取费表'!k"&amp;$G$1)+INDIRECT("'数据-取费表'!s"&amp;$G$1)))</f>
        <v>33427.47</v>
      </c>
      <c r="E10" s="269">
        <f>'数据-取费表'!B28</f>
        <v>120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33427.47</v>
      </c>
      <c r="E19" s="255">
        <f>'数据-取费表'!B31</f>
        <v>200</v>
      </c>
      <c r="F19" s="275"/>
      <c r="G19" s="2554" t="s">
        <v>3072</v>
      </c>
    </row>
    <row r="20" spans="1:7" s="258" customFormat="1" ht="13.5" customHeight="1">
      <c r="A20" s="299" t="s">
        <v>2359</v>
      </c>
      <c r="B20" s="254" t="s">
        <v>2360</v>
      </c>
      <c r="C20" s="276">
        <f ca="1">ROUND((C5+C19)*F20,0)</f>
        <v>173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629</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623</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6</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1323</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1323</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11667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12896</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11700</v>
      </c>
      <c r="D34" s="261"/>
      <c r="E34" s="264"/>
      <c r="F34" s="301">
        <f ca="1">IF('数据-取费表'!B24=0,1,IF(B1="",'数据-取费表'!N16,INDIRECT("'数据-取费表'!n"&amp;$G$1)))</f>
        <v>1</v>
      </c>
      <c r="G34" s="263" t="s">
        <v>2392</v>
      </c>
    </row>
    <row r="35" spans="1:7" ht="13.5" customHeight="1">
      <c r="A35" s="951" t="s">
        <v>796</v>
      </c>
      <c r="B35" s="259" t="s">
        <v>2393</v>
      </c>
      <c r="C35" s="264">
        <f ca="1">ROUND(C34*F35,0)</f>
        <v>351</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669</v>
      </c>
      <c r="D37" s="261">
        <f ca="1">D19</f>
        <v>33427.47</v>
      </c>
      <c r="E37" s="293">
        <f>'数据-取费表'!B35</f>
        <v>200</v>
      </c>
      <c r="F37" s="303"/>
      <c r="G37" s="305" t="s">
        <v>2398</v>
      </c>
    </row>
    <row r="38" spans="1:7" ht="13.5" customHeight="1">
      <c r="A38" s="951" t="s">
        <v>799</v>
      </c>
      <c r="B38" s="259" t="s">
        <v>2399</v>
      </c>
      <c r="C38" s="264">
        <f ca="1">ROUND(C34*F38,0)</f>
        <v>176</v>
      </c>
      <c r="D38" s="264"/>
      <c r="E38" s="264"/>
      <c r="F38" s="303">
        <f>'数据-取费表'!B36</f>
        <v>1.4999999999999999E-2</v>
      </c>
      <c r="G38" s="263" t="s">
        <v>2394</v>
      </c>
    </row>
    <row r="39" spans="1:7" s="258" customFormat="1" ht="13.5" customHeight="1">
      <c r="A39" s="299" t="s">
        <v>2400</v>
      </c>
      <c r="B39" s="254" t="s">
        <v>2401</v>
      </c>
      <c r="C39" s="276">
        <f ca="1">ROUND(C33*F20,0)</f>
        <v>258</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466</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457</v>
      </c>
      <c r="D42" s="282"/>
      <c r="E42" s="282"/>
      <c r="F42" s="283"/>
      <c r="G42" s="3140" t="s">
        <v>2410</v>
      </c>
    </row>
    <row r="43" spans="1:7" ht="13.5" customHeight="1">
      <c r="A43" s="951" t="s">
        <v>792</v>
      </c>
      <c r="B43" s="259" t="s">
        <v>2411</v>
      </c>
      <c r="C43" s="282">
        <f ca="1">ROUND(IF('数据-取费表'!B22&lt;=1,C39*F22*'数据-取费表'!B21/2,C39*(POWER((1+F22),'数据-取费表'!B21/2)-1)),0)</f>
        <v>9</v>
      </c>
      <c r="D43" s="282"/>
      <c r="E43" s="282"/>
      <c r="F43" s="283"/>
      <c r="G43" s="3141"/>
    </row>
    <row r="44" spans="1:7" ht="13.5" customHeight="1">
      <c r="A44" s="951" t="s">
        <v>793</v>
      </c>
      <c r="B44" s="259" t="s">
        <v>2412</v>
      </c>
      <c r="C44" s="282">
        <f ca="1">ROUND(IF('数据-取费表'!B22&lt;=1,C40*F22*'数据-取费表'!B21/2,C40*(POWER((1+F22),'数据-取费表'!B21/2)-1)),4)</f>
        <v>6.9999999999999999E-4</v>
      </c>
      <c r="D44" s="282"/>
      <c r="E44" s="282"/>
      <c r="F44" s="283"/>
      <c r="G44" s="3142"/>
    </row>
    <row r="45" spans="1:7" s="258" customFormat="1" ht="13.5" customHeight="1">
      <c r="A45" s="299" t="s">
        <v>2413</v>
      </c>
      <c r="B45" s="288" t="s">
        <v>2379</v>
      </c>
      <c r="C45" s="289">
        <f ca="1">C46</f>
        <v>1973</v>
      </c>
      <c r="D45" s="279">
        <f ca="1">C47</f>
        <v>3.0000000000000001E-3</v>
      </c>
      <c r="E45" s="280" t="s">
        <v>2405</v>
      </c>
      <c r="F45" s="290"/>
      <c r="G45" s="291" t="s">
        <v>2414</v>
      </c>
    </row>
    <row r="46" spans="1:7" s="258" customFormat="1" ht="13.5" customHeight="1">
      <c r="A46" s="951" t="s">
        <v>791</v>
      </c>
      <c r="B46" s="292" t="s">
        <v>2415</v>
      </c>
      <c r="C46" s="293">
        <f ca="1">ROUND((C33+C39)*F27,0)</f>
        <v>1973</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16894</v>
      </c>
      <c r="D49" s="276"/>
      <c r="E49" s="276"/>
      <c r="F49" s="308"/>
      <c r="G49" s="278" t="s">
        <v>2420</v>
      </c>
    </row>
    <row r="50" spans="1:7" s="302" customFormat="1" ht="24">
      <c r="A50" s="299" t="s">
        <v>2421</v>
      </c>
      <c r="B50" s="254" t="s">
        <v>2422</v>
      </c>
      <c r="C50" s="276"/>
      <c r="D50" s="276"/>
      <c r="E50" s="276"/>
      <c r="F50" s="308">
        <f>IF('数据-取费表'!B24=0,'数据-取费表'!N16,1)</f>
        <v>0.92</v>
      </c>
      <c r="G50" s="291" t="s">
        <v>2423</v>
      </c>
    </row>
    <row r="51" spans="1:7" ht="16.5" customHeight="1">
      <c r="A51" s="299" t="s">
        <v>2424</v>
      </c>
      <c r="B51" s="254" t="s">
        <v>2425</v>
      </c>
      <c r="C51" s="276">
        <f ca="1">ROUND(C49*F50,0)</f>
        <v>15542</v>
      </c>
      <c r="D51" s="276"/>
      <c r="E51" s="276"/>
      <c r="F51" s="308"/>
      <c r="G51" s="278" t="s">
        <v>2426</v>
      </c>
    </row>
    <row r="52" spans="1:7" s="252" customFormat="1" ht="16.5" thickBot="1">
      <c r="A52" s="309" t="s">
        <v>2427</v>
      </c>
      <c r="B52" s="310"/>
      <c r="C52" s="311">
        <f ca="1">C31+C51</f>
        <v>27209</v>
      </c>
      <c r="D52" s="310"/>
      <c r="E52" s="310"/>
      <c r="F52" s="310"/>
      <c r="G52" s="312"/>
    </row>
    <row r="55" spans="1:7" ht="15">
      <c r="B55" s="314" t="s">
        <v>2428</v>
      </c>
      <c r="C55" s="315"/>
    </row>
    <row r="56" spans="1:7">
      <c r="B56" s="317" t="s">
        <v>1509</v>
      </c>
      <c r="C56" s="319">
        <f ca="1">1-C57</f>
        <v>0.42900000000000005</v>
      </c>
    </row>
    <row r="57" spans="1:7">
      <c r="B57" s="317" t="s">
        <v>1510</v>
      </c>
      <c r="C57" s="318">
        <f ca="1">ROUND(C51/C52,3)</f>
        <v>0.57099999999999995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预评估</v>
      </c>
      <c r="C37" s="2954"/>
      <c r="D37" s="2954"/>
      <c r="E37" s="2954"/>
      <c r="F37" s="2954"/>
      <c r="G37" s="2954"/>
      <c r="H37" s="2954"/>
      <c r="I37" s="2954"/>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7"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16984</v>
      </c>
      <c r="C2" s="243" t="s">
        <v>2329</v>
      </c>
      <c r="D2" s="2551" t="s">
        <v>70</v>
      </c>
      <c r="E2" s="1440"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5081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4011296</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4011296</v>
      </c>
      <c r="D8" s="266"/>
      <c r="E8" s="264"/>
      <c r="F8" s="265"/>
      <c r="G8" s="2554"/>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120</v>
      </c>
      <c r="F9" s="265"/>
      <c r="G9" s="270"/>
    </row>
    <row r="10" spans="1:8" s="258" customFormat="1" ht="13.5" customHeight="1">
      <c r="A10" s="950" t="s">
        <v>801</v>
      </c>
      <c r="B10" s="268" t="s">
        <v>2346</v>
      </c>
      <c r="C10" s="269">
        <f ca="1">ROUND(D10*E10,0)</f>
        <v>4011296</v>
      </c>
      <c r="D10" s="1032">
        <f ca="1">IF(B1="",'数据-汇总表'!E6,IF(INDIRECT("'数据-取费表'!c"&amp;$G$1)="住宅",INDIRECT("'数据-取费表'!s"&amp;$G$1),INDIRECT("'数据-取费表'!k"&amp;$G$1)+INDIRECT("'数据-取费表'!s"&amp;$G$1)))</f>
        <v>33427.47</v>
      </c>
      <c r="E10" s="269">
        <f>'数据-取费表'!B28</f>
        <v>120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6685494</v>
      </c>
      <c r="D19" s="1036">
        <f ca="1">D9+D10</f>
        <v>33427.47</v>
      </c>
      <c r="E19" s="255">
        <f>'数据-取费表'!B31</f>
        <v>200</v>
      </c>
      <c r="F19" s="275"/>
      <c r="G19" s="2554"/>
    </row>
    <row r="20" spans="1:7" s="258" customFormat="1" ht="13.5" customHeight="1">
      <c r="A20" s="299" t="s">
        <v>2440</v>
      </c>
      <c r="B20" s="254" t="s">
        <v>2441</v>
      </c>
      <c r="C20" s="276">
        <f ca="1">ROUND((C5+C19)*F20,0)</f>
        <v>213936</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778703</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289172</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481954</v>
      </c>
      <c r="D24" s="282"/>
      <c r="E24" s="282"/>
      <c r="F24" s="283"/>
      <c r="G24" s="284" t="s">
        <v>2452</v>
      </c>
    </row>
    <row r="25" spans="1:7" s="258" customFormat="1" ht="24">
      <c r="A25" s="951" t="s">
        <v>2342</v>
      </c>
      <c r="B25" s="259" t="s">
        <v>2453</v>
      </c>
      <c r="C25" s="1381">
        <f ca="1">ROUND(IF('数据-取费表'!B22&lt;=1,C20*F22*'数据-取费表'!B22/2,C20*(POWER((1+F22),'数据-取费表'!B22/2)-1)),0)</f>
        <v>7577</v>
      </c>
      <c r="D25" s="282"/>
      <c r="E25" s="285"/>
      <c r="F25" s="283"/>
      <c r="G25" s="286" t="s">
        <v>2454</v>
      </c>
    </row>
    <row r="26" spans="1:7" s="258" customFormat="1">
      <c r="A26" s="951"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1636609</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ROUND((C5+C19+C20)*F27,0)</f>
        <v>1636609</v>
      </c>
      <c r="D28" s="279"/>
      <c r="E28" s="280"/>
      <c r="F28" s="290"/>
      <c r="G28" s="291"/>
    </row>
    <row r="29" spans="1:7" s="258" customFormat="1" ht="13.5" customHeight="1">
      <c r="A29" s="951"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14437744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128946465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116996145</v>
      </c>
      <c r="D34" s="261"/>
      <c r="E34" s="264"/>
      <c r="F34" s="301"/>
      <c r="G34" s="263"/>
    </row>
    <row r="35" spans="1:7" ht="13.5" customHeight="1">
      <c r="A35" s="951" t="s">
        <v>796</v>
      </c>
      <c r="B35" s="259" t="s">
        <v>2393</v>
      </c>
      <c r="C35" s="264">
        <f ca="1">ROUND(C34*F35,0)</f>
        <v>3509884</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6685494</v>
      </c>
      <c r="D37" s="261">
        <f ca="1">D19</f>
        <v>33427.47</v>
      </c>
      <c r="E37" s="293">
        <f>'数据-取费表'!B35</f>
        <v>200</v>
      </c>
      <c r="F37" s="303"/>
      <c r="G37" s="305"/>
    </row>
    <row r="38" spans="1:7" ht="13.5" customHeight="1">
      <c r="A38" s="951" t="s">
        <v>799</v>
      </c>
      <c r="B38" s="259" t="s">
        <v>2399</v>
      </c>
      <c r="C38" s="264">
        <f ca="1">ROUND(C34*F38,0)</f>
        <v>1754942</v>
      </c>
      <c r="D38" s="264"/>
      <c r="E38" s="264"/>
      <c r="F38" s="303">
        <f>'数据-取费表'!B36</f>
        <v>1.4999999999999999E-2</v>
      </c>
      <c r="G38" s="263" t="s">
        <v>2394</v>
      </c>
    </row>
    <row r="39" spans="1:7" s="258" customFormat="1" ht="13.5" customHeight="1">
      <c r="A39" s="299" t="s">
        <v>2400</v>
      </c>
      <c r="B39" s="254" t="s">
        <v>2401</v>
      </c>
      <c r="C39" s="276">
        <f ca="1">ROUND(C33*F20,0)</f>
        <v>2578929</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4658307</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4566968</v>
      </c>
      <c r="D42" s="282"/>
      <c r="E42" s="282"/>
      <c r="F42" s="283"/>
      <c r="G42" s="3140" t="s">
        <v>2457</v>
      </c>
    </row>
    <row r="43" spans="1:7" ht="13.5" customHeight="1">
      <c r="A43" s="951" t="s">
        <v>792</v>
      </c>
      <c r="B43" s="259" t="s">
        <v>2411</v>
      </c>
      <c r="C43" s="282">
        <f ca="1">ROUND(IF('数据-取费表'!B22&lt;=1,C39*F22*'数据-取费表'!B20/2,C39*(POWER((1+F22),'数据-取费表'!B20/2)-1)),0)</f>
        <v>91339</v>
      </c>
      <c r="D43" s="282"/>
      <c r="E43" s="282"/>
      <c r="F43" s="283"/>
      <c r="G43" s="3141"/>
    </row>
    <row r="44" spans="1:7" ht="13.5" customHeight="1">
      <c r="A44" s="951" t="s">
        <v>793</v>
      </c>
      <c r="B44" s="259" t="s">
        <v>2412</v>
      </c>
      <c r="C44" s="282">
        <f ca="1">ROUND(IF('数据-取费表'!B22&lt;=1,C40*F22*'数据-取费表'!B20/2,C40*(POWER((1+F22),'数据-取费表'!B20/2)-1)),4)</f>
        <v>6.9999999999999999E-4</v>
      </c>
      <c r="D44" s="282"/>
      <c r="E44" s="282"/>
      <c r="F44" s="283"/>
      <c r="G44" s="3142"/>
    </row>
    <row r="45" spans="1:7" s="258" customFormat="1" ht="13.5" customHeight="1">
      <c r="A45" s="299" t="s">
        <v>2413</v>
      </c>
      <c r="B45" s="288" t="s">
        <v>2379</v>
      </c>
      <c r="C45" s="289">
        <f ca="1">C46</f>
        <v>19728809</v>
      </c>
      <c r="D45" s="279">
        <f ca="1">C47</f>
        <v>3.0000000000000001E-3</v>
      </c>
      <c r="E45" s="280" t="s">
        <v>2405</v>
      </c>
      <c r="F45" s="290"/>
      <c r="G45" s="291" t="s">
        <v>2414</v>
      </c>
    </row>
    <row r="46" spans="1:7" s="258" customFormat="1" ht="13.5" customHeight="1">
      <c r="A46" s="951" t="s">
        <v>791</v>
      </c>
      <c r="B46" s="292" t="s">
        <v>2415</v>
      </c>
      <c r="C46" s="293">
        <f ca="1">ROUND((C33+C39)*F27,0)</f>
        <v>19728809</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168919296</v>
      </c>
      <c r="D49" s="276"/>
      <c r="E49" s="276"/>
      <c r="F49" s="308"/>
      <c r="G49" s="278" t="s">
        <v>2420</v>
      </c>
    </row>
    <row r="50" spans="1:7" s="302" customFormat="1">
      <c r="A50" s="299" t="s">
        <v>2421</v>
      </c>
      <c r="B50" s="254" t="s">
        <v>2422</v>
      </c>
      <c r="C50" s="276"/>
      <c r="D50" s="276"/>
      <c r="E50" s="276"/>
      <c r="F50" s="308">
        <f>IF('数据-取费表'!B24=0,'数据-取费表'!N16,1)</f>
        <v>0.92</v>
      </c>
      <c r="G50" s="291"/>
    </row>
    <row r="51" spans="1:7" ht="16.5" customHeight="1">
      <c r="A51" s="299" t="s">
        <v>2424</v>
      </c>
      <c r="B51" s="254" t="s">
        <v>2459</v>
      </c>
      <c r="C51" s="276">
        <f ca="1">ROUND(C49*F50,0)</f>
        <v>155405752</v>
      </c>
      <c r="D51" s="276"/>
      <c r="E51" s="276"/>
      <c r="F51" s="308"/>
      <c r="G51" s="278" t="s">
        <v>2426</v>
      </c>
    </row>
    <row r="52" spans="1:7" s="252" customFormat="1" ht="16.5" thickBot="1">
      <c r="A52" s="309" t="s">
        <v>2427</v>
      </c>
      <c r="B52" s="310"/>
      <c r="C52" s="311">
        <f ca="1">C31+C51</f>
        <v>169843496</v>
      </c>
      <c r="D52" s="310"/>
      <c r="E52" s="310"/>
      <c r="F52" s="310"/>
      <c r="G52" s="312"/>
    </row>
    <row r="55" spans="1:7" ht="15">
      <c r="B55" s="314" t="s">
        <v>2428</v>
      </c>
      <c r="C55" s="315"/>
    </row>
    <row r="56" spans="1:7">
      <c r="B56" s="317" t="s">
        <v>1509</v>
      </c>
      <c r="C56" s="319">
        <f ca="1">1-C57</f>
        <v>8.4999999999999964E-2</v>
      </c>
    </row>
    <row r="57" spans="1:7">
      <c r="B57" s="317" t="s">
        <v>1510</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8" t="s">
        <v>2466</v>
      </c>
      <c r="D5" s="2558" t="s">
        <v>2467</v>
      </c>
      <c r="E5" s="2558" t="s">
        <v>2468</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33427.47</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33427.47</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60"/>
      <c r="H18" s="1577"/>
      <c r="I18" s="2561"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120</v>
      </c>
      <c r="F19" s="976"/>
      <c r="G19" s="15"/>
      <c r="H19" s="1579"/>
      <c r="I19" s="981"/>
      <c r="J19" s="981"/>
      <c r="K19" s="982"/>
    </row>
    <row r="20" spans="1:33" s="975" customFormat="1" ht="13.5" customHeight="1">
      <c r="A20" s="971" t="s">
        <v>806</v>
      </c>
      <c r="B20" s="972" t="s">
        <v>2496</v>
      </c>
      <c r="C20" s="24">
        <f ca="1">ROUND(D20*E20/10000,0)</f>
        <v>401</v>
      </c>
      <c r="D20" s="1033">
        <f ca="1">IF(C1="",'数据-汇总表'!E6,IF(INDIRECT("'数据-取费表'!c"&amp;$K$1)="住宅",INDIRECT("'数据-取费表'!s"&amp;$K$1),INDIRECT("'数据-取费表'!k"&amp;$K$1)+INDIRECT("'数据-取费表'!s"&amp;$K$1)))</f>
        <v>33427.47</v>
      </c>
      <c r="E20" s="24">
        <f>'数据-取费表'!B28</f>
        <v>120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2510</v>
      </c>
      <c r="B28" s="2563" t="s">
        <v>2511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0</v>
      </c>
      <c r="D30" s="328"/>
      <c r="E30" s="329"/>
      <c r="F30" s="334"/>
      <c r="G30" s="140"/>
      <c r="H30" s="979"/>
      <c r="I30" s="979"/>
      <c r="J30" s="979"/>
      <c r="K30" s="980"/>
    </row>
    <row r="31" spans="1:33" s="975" customFormat="1" ht="13.5" customHeight="1" thickBot="1">
      <c r="A31" s="2564"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6" sqref="B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7999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2393</v>
      </c>
      <c r="C3" s="247" t="s">
        <v>2747</v>
      </c>
      <c r="D3" s="1583">
        <f>'数据-基础表'!B3</f>
        <v>33427.47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30"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30"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30" s="117" customFormat="1" ht="15.75" thickBot="1">
      <c r="A7" s="408" t="s">
        <v>2549</v>
      </c>
      <c r="B7" s="409"/>
      <c r="C7" s="410">
        <f>'数据-取费表'!B2</f>
        <v>43608</v>
      </c>
      <c r="D7" s="411">
        <v>100</v>
      </c>
      <c r="E7" s="412">
        <f>C7</f>
        <v>43608</v>
      </c>
      <c r="F7" s="413">
        <f>SUMIF(70:70,YEAR(E7)&amp;"-"&amp;INT((MONTH(E7)+2)/3),71:71)</f>
        <v>100</v>
      </c>
      <c r="G7" s="2700">
        <f>C7</f>
        <v>43608</v>
      </c>
      <c r="H7" s="411">
        <f>SUMIF(70:70,YEAR(G7)&amp;"-"&amp;INT((MONTH(G7)+2)/3),71:71)</f>
        <v>100</v>
      </c>
      <c r="I7" s="2700">
        <f>C7</f>
        <v>43608</v>
      </c>
      <c r="J7" s="411">
        <f>SUMIF(70:70,YEAR(I7)&amp;"-"&amp;INT((MONTH(I7)+2)/3),71:71)</f>
        <v>100</v>
      </c>
      <c r="K7" s="611"/>
      <c r="L7" s="1132"/>
      <c r="M7" s="1133"/>
      <c r="N7" s="1133"/>
      <c r="O7" s="1133"/>
      <c r="P7" s="3209" t="s">
        <v>2550</v>
      </c>
      <c r="Q7" s="3211"/>
      <c r="R7" s="770" t="s">
        <v>17</v>
      </c>
      <c r="S7" s="771">
        <f t="shared" ref="S7:S15" si="0">F7</f>
        <v>100</v>
      </c>
      <c r="T7" s="770" t="s">
        <v>17</v>
      </c>
      <c r="U7" s="771">
        <f t="shared" ref="U7:U15" si="1">H7</f>
        <v>100</v>
      </c>
      <c r="V7" s="770" t="s">
        <v>17</v>
      </c>
      <c r="W7" s="771">
        <f t="shared" ref="W7:W15" si="2">J7</f>
        <v>100</v>
      </c>
      <c r="X7" s="772"/>
      <c r="Y7" s="3209" t="s">
        <v>2550</v>
      </c>
      <c r="Z7" s="3210"/>
      <c r="AA7" s="773">
        <f>D7/F7</f>
        <v>1</v>
      </c>
      <c r="AB7" s="773">
        <f>D7/H7</f>
        <v>1</v>
      </c>
      <c r="AC7" s="773">
        <f>D7/J7</f>
        <v>1</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209" t="s">
        <v>2553</v>
      </c>
      <c r="Q8" s="3210"/>
      <c r="R8" s="770" t="s">
        <v>17</v>
      </c>
      <c r="S8" s="771">
        <f t="shared" si="0"/>
        <v>100</v>
      </c>
      <c r="T8" s="770" t="s">
        <v>17</v>
      </c>
      <c r="U8" s="771">
        <f t="shared" si="1"/>
        <v>100</v>
      </c>
      <c r="V8" s="770" t="s">
        <v>17</v>
      </c>
      <c r="W8" s="771">
        <f t="shared" si="2"/>
        <v>100</v>
      </c>
      <c r="X8" s="772"/>
      <c r="Y8" s="3209" t="s">
        <v>2553</v>
      </c>
      <c r="Z8" s="3210"/>
      <c r="AA8" s="773">
        <f t="shared" ref="AA8:AA45" si="3">D8/F8</f>
        <v>1</v>
      </c>
      <c r="AB8" s="773">
        <f t="shared" ref="AB8:AB45" si="4">D8/H8</f>
        <v>1</v>
      </c>
      <c r="AC8" s="773">
        <f t="shared" ref="AC8:AC45" si="5">D8/J8</f>
        <v>1</v>
      </c>
    </row>
    <row r="9" spans="1:30" s="117" customFormat="1">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73"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73"/>
      <c r="Q10" s="1795" t="str">
        <f t="shared" si="6"/>
        <v>土地使用年限（年）</v>
      </c>
      <c r="R10" s="770" t="s">
        <v>17</v>
      </c>
      <c r="S10" s="771">
        <f t="shared" si="0"/>
        <v>117</v>
      </c>
      <c r="T10" s="770" t="s">
        <v>17</v>
      </c>
      <c r="U10" s="771">
        <f t="shared" si="1"/>
        <v>117</v>
      </c>
      <c r="V10" s="770" t="s">
        <v>17</v>
      </c>
      <c r="W10" s="771">
        <f t="shared" si="2"/>
        <v>117</v>
      </c>
      <c r="X10" s="772"/>
      <c r="Y10" s="2998"/>
      <c r="Z10" s="55" t="str">
        <f t="shared" si="7"/>
        <v>土地使用年限（年）</v>
      </c>
      <c r="AA10" s="773">
        <f t="shared" si="3"/>
        <v>0.85470085470085466</v>
      </c>
      <c r="AB10" s="773">
        <f t="shared" si="4"/>
        <v>0.85470085470085466</v>
      </c>
      <c r="AC10" s="773">
        <f t="shared" si="5"/>
        <v>0.85470085470085466</v>
      </c>
    </row>
    <row r="11" spans="1:30" ht="15">
      <c r="A11" s="428"/>
      <c r="B11" s="422" t="s">
        <v>2559</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173"/>
      <c r="Q11" s="1795" t="str">
        <f t="shared" si="6"/>
        <v>容积率</v>
      </c>
      <c r="R11" s="770" t="s">
        <v>17</v>
      </c>
      <c r="S11" s="771">
        <f t="shared" si="0"/>
        <v>100</v>
      </c>
      <c r="T11" s="770" t="s">
        <v>17</v>
      </c>
      <c r="U11" s="771">
        <f t="shared" si="1"/>
        <v>100</v>
      </c>
      <c r="V11" s="770" t="s">
        <v>17</v>
      </c>
      <c r="W11" s="771">
        <f t="shared" si="2"/>
        <v>100</v>
      </c>
      <c r="X11" s="772"/>
      <c r="Y11" s="2998"/>
      <c r="Z11" s="55" t="str">
        <f t="shared" si="7"/>
        <v>容积率</v>
      </c>
      <c r="AA11" s="773">
        <f t="shared" si="3"/>
        <v>1</v>
      </c>
      <c r="AB11" s="773">
        <f t="shared" si="4"/>
        <v>1</v>
      </c>
      <c r="AC11" s="773">
        <f t="shared" si="5"/>
        <v>1</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3"/>
      <c r="Q12" s="1795"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9.75">
      <c r="A15" s="440" t="s">
        <v>2560</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5" t="s">
        <v>2561</v>
      </c>
      <c r="Q15" s="1810" t="str">
        <f t="shared" si="6"/>
        <v>居住社区成熟度</v>
      </c>
      <c r="R15" s="774" t="s">
        <v>17</v>
      </c>
      <c r="S15" s="775">
        <f t="shared" si="0"/>
        <v>100</v>
      </c>
      <c r="T15" s="774" t="s">
        <v>17</v>
      </c>
      <c r="U15" s="775">
        <f t="shared" si="1"/>
        <v>100</v>
      </c>
      <c r="V15" s="774" t="s">
        <v>17</v>
      </c>
      <c r="W15" s="775">
        <f t="shared" si="2"/>
        <v>100</v>
      </c>
      <c r="X15" s="1813"/>
      <c r="Y15" s="3175" t="s">
        <v>2561</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71.25">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6"/>
      <c r="Q17" s="1810" t="str">
        <f>B17</f>
        <v>商业繁华度</v>
      </c>
      <c r="R17" s="774" t="s">
        <v>17</v>
      </c>
      <c r="S17" s="775">
        <f>F17</f>
        <v>100</v>
      </c>
      <c r="T17" s="774" t="s">
        <v>17</v>
      </c>
      <c r="U17" s="775">
        <f>H17</f>
        <v>100</v>
      </c>
      <c r="V17" s="774" t="s">
        <v>17</v>
      </c>
      <c r="W17" s="775">
        <f>J17</f>
        <v>100</v>
      </c>
      <c r="X17" s="1813"/>
      <c r="Y17" s="3176"/>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71.25">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6"/>
      <c r="Q19" s="1810" t="str">
        <f>B19</f>
        <v>办公集聚程度</v>
      </c>
      <c r="R19" s="774" t="s">
        <v>17</v>
      </c>
      <c r="S19" s="775">
        <f>F19</f>
        <v>100</v>
      </c>
      <c r="T19" s="774" t="s">
        <v>17</v>
      </c>
      <c r="U19" s="775">
        <f>H19</f>
        <v>100</v>
      </c>
      <c r="V19" s="774" t="s">
        <v>17</v>
      </c>
      <c r="W19" s="775">
        <f>J19</f>
        <v>100</v>
      </c>
      <c r="X19" s="1813"/>
      <c r="Y19" s="3176"/>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76"/>
      <c r="Q20" s="1810"/>
      <c r="R20" s="774"/>
      <c r="S20" s="775"/>
      <c r="T20" s="774"/>
      <c r="U20" s="775"/>
      <c r="V20" s="774"/>
      <c r="W20" s="775"/>
      <c r="X20" s="1813"/>
      <c r="Y20" s="3176"/>
      <c r="Z20" s="1814"/>
      <c r="AA20" s="1811">
        <v>1</v>
      </c>
      <c r="AB20" s="1811">
        <v>1</v>
      </c>
      <c r="AC20" s="1811">
        <v>1</v>
      </c>
    </row>
    <row r="21" spans="1:29" ht="85.5">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6"/>
      <c r="Q21" s="1810" t="str">
        <f>B21</f>
        <v>交通便捷度</v>
      </c>
      <c r="R21" s="774" t="s">
        <v>17</v>
      </c>
      <c r="S21" s="775">
        <f>F21</f>
        <v>100</v>
      </c>
      <c r="T21" s="774" t="s">
        <v>17</v>
      </c>
      <c r="U21" s="775">
        <f>H21</f>
        <v>100</v>
      </c>
      <c r="V21" s="774" t="s">
        <v>17</v>
      </c>
      <c r="W21" s="775">
        <f>J21</f>
        <v>100</v>
      </c>
      <c r="X21" s="1813"/>
      <c r="Y21" s="3176"/>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10" t="str">
        <f t="shared" ref="Q23:Q37" si="8">B23</f>
        <v>区域土地利用方向</v>
      </c>
      <c r="R23" s="774" t="s">
        <v>17</v>
      </c>
      <c r="S23" s="775">
        <f>F23</f>
        <v>100</v>
      </c>
      <c r="T23" s="774" t="s">
        <v>17</v>
      </c>
      <c r="U23" s="775">
        <f>H23</f>
        <v>100</v>
      </c>
      <c r="V23" s="774" t="s">
        <v>17</v>
      </c>
      <c r="W23" s="775">
        <f>J23</f>
        <v>100</v>
      </c>
      <c r="X23" s="1813"/>
      <c r="Y23" s="3176"/>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76"/>
      <c r="Q24" s="1810"/>
      <c r="R24" s="774"/>
      <c r="S24" s="775"/>
      <c r="T24" s="774"/>
      <c r="U24" s="775"/>
      <c r="V24" s="774"/>
      <c r="W24" s="775"/>
      <c r="X24" s="1813"/>
      <c r="Y24" s="3176"/>
      <c r="Z24" s="1814"/>
      <c r="AA24" s="1811"/>
      <c r="AB24" s="1811"/>
      <c r="AC24" s="1811"/>
    </row>
    <row r="25" spans="1:29" ht="57">
      <c r="A25" s="404"/>
      <c r="B25" s="1384"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6"/>
      <c r="Q25" s="1810" t="str">
        <f t="shared" si="8"/>
        <v>自然及人文环境状况</v>
      </c>
      <c r="R25" s="774" t="s">
        <v>17</v>
      </c>
      <c r="S25" s="775">
        <f>F25</f>
        <v>100</v>
      </c>
      <c r="T25" s="774" t="s">
        <v>17</v>
      </c>
      <c r="U25" s="775">
        <f>H25</f>
        <v>100</v>
      </c>
      <c r="V25" s="774" t="s">
        <v>17</v>
      </c>
      <c r="W25" s="775">
        <f>J25</f>
        <v>100</v>
      </c>
      <c r="X25" s="1813"/>
      <c r="Y25" s="3176"/>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76"/>
      <c r="Q26" s="1810"/>
      <c r="R26" s="774"/>
      <c r="S26" s="775"/>
      <c r="T26" s="774"/>
      <c r="U26" s="775"/>
      <c r="V26" s="774"/>
      <c r="W26" s="775"/>
      <c r="X26" s="1813"/>
      <c r="Y26" s="3176"/>
      <c r="Z26" s="1814"/>
      <c r="AA26" s="1811">
        <v>1</v>
      </c>
      <c r="AB26" s="1811">
        <v>1</v>
      </c>
      <c r="AC26" s="1811">
        <v>1</v>
      </c>
    </row>
    <row r="27" spans="1:29" s="117" customFormat="1" ht="42.75">
      <c r="A27" s="649"/>
      <c r="B27" s="1384"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6"/>
      <c r="Q27" s="1795" t="str">
        <f t="shared" si="8"/>
        <v>公共配套设施</v>
      </c>
      <c r="R27" s="770" t="s">
        <v>17</v>
      </c>
      <c r="S27" s="771">
        <f>F27</f>
        <v>100</v>
      </c>
      <c r="T27" s="770" t="s">
        <v>17</v>
      </c>
      <c r="U27" s="771">
        <f>H27</f>
        <v>100</v>
      </c>
      <c r="V27" s="770" t="s">
        <v>17</v>
      </c>
      <c r="W27" s="771">
        <f>J27</f>
        <v>100</v>
      </c>
      <c r="X27" s="772"/>
      <c r="Y27" s="3176"/>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76"/>
      <c r="Q28" s="1795"/>
      <c r="R28" s="770"/>
      <c r="S28" s="771"/>
      <c r="T28" s="770"/>
      <c r="U28" s="771"/>
      <c r="V28" s="770"/>
      <c r="W28" s="771"/>
      <c r="X28" s="772"/>
      <c r="Y28" s="3176"/>
      <c r="Z28" s="55"/>
      <c r="AA28" s="1811">
        <v>1</v>
      </c>
      <c r="AB28" s="1811">
        <v>1</v>
      </c>
      <c r="AC28" s="1811">
        <v>1</v>
      </c>
    </row>
    <row r="29" spans="1:29" s="117" customFormat="1" ht="28.5">
      <c r="A29" s="649"/>
      <c r="B29" s="1384"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5"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76"/>
      <c r="Q30" s="1795"/>
      <c r="R30" s="770"/>
      <c r="S30" s="771"/>
      <c r="T30" s="770"/>
      <c r="U30" s="771"/>
      <c r="V30" s="770"/>
      <c r="W30" s="771"/>
      <c r="X30" s="772"/>
      <c r="Y30" s="3176"/>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6"/>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10" t="str">
        <f t="shared" si="8"/>
        <v>毗邻道路的类型与等级</v>
      </c>
      <c r="R32" s="774" t="s">
        <v>17</v>
      </c>
      <c r="S32" s="775">
        <f t="shared" si="10"/>
        <v>100</v>
      </c>
      <c r="T32" s="774" t="s">
        <v>17</v>
      </c>
      <c r="U32" s="775">
        <f t="shared" si="11"/>
        <v>100</v>
      </c>
      <c r="V32" s="774" t="s">
        <v>17</v>
      </c>
      <c r="W32" s="775">
        <f t="shared" si="12"/>
        <v>100</v>
      </c>
      <c r="X32" s="1813"/>
      <c r="Y32" s="3176"/>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76"/>
      <c r="Q33" s="1810"/>
      <c r="R33" s="774"/>
      <c r="S33" s="775"/>
      <c r="T33" s="774"/>
      <c r="U33" s="775"/>
      <c r="V33" s="774"/>
      <c r="W33" s="775"/>
      <c r="X33" s="1813"/>
      <c r="Y33" s="3176"/>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10" t="str">
        <f t="shared" si="8"/>
        <v>土地级别</v>
      </c>
      <c r="R34" s="774" t="s">
        <v>17</v>
      </c>
      <c r="S34" s="775">
        <f t="shared" si="10"/>
        <v>100</v>
      </c>
      <c r="T34" s="774" t="s">
        <v>17</v>
      </c>
      <c r="U34" s="775">
        <f t="shared" si="11"/>
        <v>100</v>
      </c>
      <c r="V34" s="774" t="s">
        <v>17</v>
      </c>
      <c r="W34" s="775">
        <f t="shared" si="12"/>
        <v>100</v>
      </c>
      <c r="X34" s="1813"/>
      <c r="Y34" s="317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10">
        <f t="shared" si="8"/>
        <v>111</v>
      </c>
      <c r="R35" s="774" t="s">
        <v>17</v>
      </c>
      <c r="S35" s="775">
        <f t="shared" si="10"/>
        <v>100</v>
      </c>
      <c r="T35" s="774" t="s">
        <v>17</v>
      </c>
      <c r="U35" s="775">
        <f t="shared" si="11"/>
        <v>100</v>
      </c>
      <c r="V35" s="774" t="s">
        <v>17</v>
      </c>
      <c r="W35" s="775">
        <f t="shared" si="12"/>
        <v>100</v>
      </c>
      <c r="X35" s="1813"/>
      <c r="Y35" s="317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2566</v>
      </c>
      <c r="Q36" s="1810">
        <f t="shared" si="8"/>
        <v>111</v>
      </c>
      <c r="R36" s="774" t="s">
        <v>17</v>
      </c>
      <c r="S36" s="775">
        <f t="shared" si="10"/>
        <v>100</v>
      </c>
      <c r="T36" s="774" t="s">
        <v>17</v>
      </c>
      <c r="U36" s="775">
        <f t="shared" si="11"/>
        <v>100</v>
      </c>
      <c r="V36" s="774" t="s">
        <v>17</v>
      </c>
      <c r="W36" s="775">
        <f t="shared" si="12"/>
        <v>100</v>
      </c>
      <c r="X36" s="1813"/>
      <c r="Y36" s="3180"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10">
        <f t="shared" si="8"/>
        <v>111</v>
      </c>
      <c r="R37" s="777" t="s">
        <v>17</v>
      </c>
      <c r="S37" s="778">
        <f t="shared" si="10"/>
        <v>100</v>
      </c>
      <c r="T37" s="777" t="s">
        <v>17</v>
      </c>
      <c r="U37" s="778">
        <f t="shared" si="11"/>
        <v>100</v>
      </c>
      <c r="V37" s="777" t="s">
        <v>17</v>
      </c>
      <c r="W37" s="778">
        <f t="shared" si="12"/>
        <v>100</v>
      </c>
      <c r="X37" s="779"/>
      <c r="Y37" s="3180"/>
      <c r="Z37" s="780">
        <f t="shared" si="13"/>
        <v>111</v>
      </c>
      <c r="AA37" s="1811">
        <f t="shared" si="3"/>
        <v>1</v>
      </c>
      <c r="AB37" s="1811">
        <f t="shared" si="4"/>
        <v>1</v>
      </c>
      <c r="AC37" s="1811">
        <f t="shared" si="5"/>
        <v>1</v>
      </c>
    </row>
    <row r="38" spans="1:29" ht="15">
      <c r="A38" s="472" t="s">
        <v>2564</v>
      </c>
      <c r="B38" s="456" t="s">
        <v>2752</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180"/>
      <c r="Q38" s="1810" t="str">
        <f>B38</f>
        <v>宗地面积</v>
      </c>
      <c r="R38" s="774" t="s">
        <v>17</v>
      </c>
      <c r="S38" s="775">
        <f t="shared" si="10"/>
        <v>100</v>
      </c>
      <c r="T38" s="774" t="s">
        <v>17</v>
      </c>
      <c r="U38" s="775">
        <f t="shared" si="11"/>
        <v>100</v>
      </c>
      <c r="V38" s="774" t="s">
        <v>17</v>
      </c>
      <c r="W38" s="775">
        <f t="shared" si="12"/>
        <v>100</v>
      </c>
      <c r="X38" s="1813"/>
      <c r="Y38" s="3180"/>
      <c r="Z38" s="1814" t="str">
        <f t="shared" si="13"/>
        <v>宗地面积</v>
      </c>
      <c r="AA38" s="1811">
        <f t="shared" si="3"/>
        <v>1</v>
      </c>
      <c r="AB38" s="1811">
        <f t="shared" si="4"/>
        <v>1</v>
      </c>
      <c r="AC38" s="1811">
        <f t="shared" si="5"/>
        <v>1</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80"/>
      <c r="Q39" s="1810" t="str">
        <f t="shared" ref="Q39:Q45" si="14">B39</f>
        <v>宗地形状</v>
      </c>
      <c r="R39" s="774" t="s">
        <v>17</v>
      </c>
      <c r="S39" s="775">
        <f t="shared" si="10"/>
        <v>100</v>
      </c>
      <c r="T39" s="774" t="s">
        <v>17</v>
      </c>
      <c r="U39" s="775">
        <f t="shared" si="11"/>
        <v>100</v>
      </c>
      <c r="V39" s="774" t="s">
        <v>17</v>
      </c>
      <c r="W39" s="775">
        <f t="shared" si="12"/>
        <v>100</v>
      </c>
      <c r="X39" s="1813"/>
      <c r="Y39" s="3180"/>
      <c r="Z39" s="1814" t="str">
        <f t="shared" si="13"/>
        <v>宗地形状</v>
      </c>
      <c r="AA39" s="1811">
        <f t="shared" si="3"/>
        <v>1</v>
      </c>
      <c r="AB39" s="1811">
        <f t="shared" si="4"/>
        <v>1</v>
      </c>
      <c r="AC39" s="1811">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80"/>
      <c r="Q40" s="1810" t="str">
        <f t="shared" si="14"/>
        <v>临街宽度及深度</v>
      </c>
      <c r="R40" s="774" t="s">
        <v>17</v>
      </c>
      <c r="S40" s="775">
        <f t="shared" si="10"/>
        <v>100</v>
      </c>
      <c r="T40" s="774" t="s">
        <v>17</v>
      </c>
      <c r="U40" s="775">
        <f t="shared" si="11"/>
        <v>100</v>
      </c>
      <c r="V40" s="774" t="s">
        <v>17</v>
      </c>
      <c r="W40" s="775">
        <f t="shared" si="12"/>
        <v>100</v>
      </c>
      <c r="X40" s="1813"/>
      <c r="Y40" s="3180"/>
      <c r="Z40" s="1814" t="str">
        <f t="shared" si="13"/>
        <v>临街宽度及深度</v>
      </c>
      <c r="AA40" s="1811">
        <f t="shared" si="3"/>
        <v>1</v>
      </c>
      <c r="AB40" s="1811">
        <f t="shared" si="4"/>
        <v>1</v>
      </c>
      <c r="AC40" s="1811">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80"/>
      <c r="Q41" s="1810"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80" t="s">
        <v>2566</v>
      </c>
      <c r="Q42" s="1810" t="str">
        <f t="shared" si="14"/>
        <v>工程地质条件</v>
      </c>
      <c r="R42" s="774" t="s">
        <v>17</v>
      </c>
      <c r="S42" s="775">
        <f t="shared" si="10"/>
        <v>100</v>
      </c>
      <c r="T42" s="774" t="s">
        <v>17</v>
      </c>
      <c r="U42" s="775">
        <f t="shared" si="11"/>
        <v>100</v>
      </c>
      <c r="V42" s="774" t="s">
        <v>17</v>
      </c>
      <c r="W42" s="775">
        <f t="shared" si="12"/>
        <v>100</v>
      </c>
      <c r="X42" s="1813"/>
      <c r="Y42" s="3180"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10">
        <f t="shared" si="14"/>
        <v>111</v>
      </c>
      <c r="R43" s="774" t="s">
        <v>17</v>
      </c>
      <c r="S43" s="775">
        <f t="shared" si="10"/>
        <v>100</v>
      </c>
      <c r="T43" s="774" t="s">
        <v>17</v>
      </c>
      <c r="U43" s="775">
        <f t="shared" si="11"/>
        <v>100</v>
      </c>
      <c r="V43" s="774" t="s">
        <v>17</v>
      </c>
      <c r="W43" s="775">
        <f t="shared" si="12"/>
        <v>100</v>
      </c>
      <c r="X43" s="1813"/>
      <c r="Y43" s="318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10">
        <f t="shared" si="14"/>
        <v>111</v>
      </c>
      <c r="R44" s="774" t="s">
        <v>17</v>
      </c>
      <c r="S44" s="775">
        <f t="shared" si="10"/>
        <v>100</v>
      </c>
      <c r="T44" s="774" t="s">
        <v>17</v>
      </c>
      <c r="U44" s="775">
        <f t="shared" si="11"/>
        <v>100</v>
      </c>
      <c r="V44" s="774" t="s">
        <v>17</v>
      </c>
      <c r="W44" s="775">
        <f t="shared" si="12"/>
        <v>100</v>
      </c>
      <c r="X44" s="1813"/>
      <c r="Y44" s="3180"/>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10">
        <f t="shared" si="14"/>
        <v>111</v>
      </c>
      <c r="R45" s="777" t="s">
        <v>17</v>
      </c>
      <c r="S45" s="778">
        <f t="shared" si="10"/>
        <v>100</v>
      </c>
      <c r="T45" s="777" t="s">
        <v>17</v>
      </c>
      <c r="U45" s="778">
        <f t="shared" si="11"/>
        <v>100</v>
      </c>
      <c r="V45" s="777" t="s">
        <v>17</v>
      </c>
      <c r="W45" s="778">
        <f t="shared" si="12"/>
        <v>100</v>
      </c>
      <c r="X45" s="779"/>
      <c r="Y45" s="3180"/>
      <c r="Z45" s="780">
        <f t="shared" si="13"/>
        <v>111</v>
      </c>
      <c r="AA45" s="1811">
        <f t="shared" si="3"/>
        <v>1</v>
      </c>
      <c r="AB45" s="1811">
        <f t="shared" si="4"/>
        <v>1</v>
      </c>
      <c r="AC45" s="1811">
        <f t="shared" si="5"/>
        <v>1</v>
      </c>
    </row>
    <row r="46" spans="1:29" ht="15">
      <c r="A46" s="479" t="s">
        <v>2721</v>
      </c>
      <c r="B46" s="2708" t="s">
        <v>3069</v>
      </c>
      <c r="C46" s="682" t="s">
        <v>1</v>
      </c>
      <c r="D46" s="481"/>
      <c r="E46" s="482">
        <v>2800</v>
      </c>
      <c r="F46" s="483"/>
      <c r="G46" s="484">
        <v>2800</v>
      </c>
      <c r="H46" s="485"/>
      <c r="I46" s="482">
        <v>2800</v>
      </c>
      <c r="J46" s="485"/>
      <c r="K46" s="783"/>
      <c r="L46" s="1143"/>
      <c r="M46" s="1144"/>
      <c r="N46" s="1131"/>
      <c r="O46" s="1144"/>
      <c r="P46" s="3173" t="str">
        <f>A46</f>
        <v>成交单价</v>
      </c>
      <c r="Q46" s="3173"/>
      <c r="R46" s="3204">
        <f>E46</f>
        <v>2800</v>
      </c>
      <c r="S46" s="3204"/>
      <c r="T46" s="3204">
        <f>G46</f>
        <v>2800</v>
      </c>
      <c r="U46" s="3204"/>
      <c r="V46" s="3204">
        <f>I46</f>
        <v>2800</v>
      </c>
      <c r="W46" s="3204"/>
      <c r="X46" s="759"/>
      <c r="Y46" s="781"/>
      <c r="Z46" s="759"/>
      <c r="AA46" s="759"/>
      <c r="AB46" s="759"/>
      <c r="AC46" s="759"/>
    </row>
    <row r="47" spans="1:29" ht="15.75" thickBot="1">
      <c r="A47" s="486" t="s">
        <v>2670</v>
      </c>
      <c r="B47" s="683"/>
      <c r="C47" s="490">
        <f>R48</f>
        <v>2393</v>
      </c>
      <c r="D47" s="489"/>
      <c r="E47" s="490">
        <f>R47</f>
        <v>2393</v>
      </c>
      <c r="F47" s="491"/>
      <c r="G47" s="488">
        <f>T47</f>
        <v>2393</v>
      </c>
      <c r="H47" s="489"/>
      <c r="I47" s="490">
        <f>V47</f>
        <v>2393</v>
      </c>
      <c r="J47" s="489"/>
      <c r="K47" s="784"/>
      <c r="L47" s="1143"/>
      <c r="M47" s="1144"/>
      <c r="N47" s="1144"/>
      <c r="O47" s="1144"/>
      <c r="P47" s="3173" t="str">
        <f>A47</f>
        <v>比较价值（元/平方米）</v>
      </c>
      <c r="Q47" s="3173"/>
      <c r="R47" s="3232">
        <f>ROUND(PRODUCT(R46,AA7:AA45),0)</f>
        <v>2393</v>
      </c>
      <c r="S47" s="3232"/>
      <c r="T47" s="3232">
        <f>ROUND(PRODUCT(T46,AB7:AB45),0)</f>
        <v>2393</v>
      </c>
      <c r="U47" s="3232"/>
      <c r="V47" s="3232">
        <f>ROUND(PRODUCT(V46,AC7:AC45),0)</f>
        <v>2393</v>
      </c>
      <c r="W47" s="3232"/>
      <c r="X47" s="759"/>
      <c r="Y47" s="759"/>
      <c r="Z47" s="759"/>
      <c r="AA47" s="759"/>
      <c r="AB47" s="759"/>
      <c r="AC47" s="759"/>
    </row>
    <row r="48" spans="1:29" ht="15.75" thickBot="1">
      <c r="A48" s="492" t="s">
        <v>2757</v>
      </c>
      <c r="B48" s="493"/>
      <c r="C48" s="494">
        <f>R48</f>
        <v>2393</v>
      </c>
      <c r="D48" s="494"/>
      <c r="E48" s="494"/>
      <c r="F48" s="494"/>
      <c r="G48" s="494"/>
      <c r="H48" s="494"/>
      <c r="I48" s="494"/>
      <c r="J48" s="494"/>
      <c r="K48" s="785"/>
      <c r="L48" s="1143"/>
      <c r="M48" s="1144"/>
      <c r="N48" s="1144"/>
      <c r="O48" s="1144"/>
      <c r="P48" s="3170" t="str">
        <f>A48</f>
        <v>估价对象XX用房的比较价值（楼面单价，元/平方米）</v>
      </c>
      <c r="Q48" s="3171"/>
      <c r="R48" s="3233">
        <f>ROUND(AVERAGE(R47:V47),0)</f>
        <v>2393</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0.17007939824488094</v>
      </c>
      <c r="F51" s="500" t="str">
        <f>IF(OR(E51&gt;=0.3,E51&lt;=-0.3),"超过30%","")</f>
        <v/>
      </c>
      <c r="G51" s="499">
        <f>IF(G46&lt;G47,G47/G46-1,G46/G47-1)</f>
        <v>0.17007939824488094</v>
      </c>
      <c r="H51" s="500" t="str">
        <f>IF(OR(G51&gt;=0.3,G51&lt;=-0.3),"超过30%","")</f>
        <v/>
      </c>
      <c r="I51" s="499">
        <f>IF(I46&lt;I47,I47/I46-1,I46/I47-1)</f>
        <v>0.17007939824488094</v>
      </c>
      <c r="J51" s="500" t="str">
        <f>IF(OR(I51&gt;=0.3,I51&lt;=-0.3),"超过30%","")</f>
        <v/>
      </c>
      <c r="K51" s="1105"/>
      <c r="L51" s="1106"/>
      <c r="M51" s="1144"/>
      <c r="N51" s="1144"/>
      <c r="O51" s="1144"/>
    </row>
    <row r="52" spans="1:15" ht="13.5" customHeight="1">
      <c r="A52" s="1144"/>
      <c r="B52" s="1144"/>
      <c r="C52" s="497" t="s">
        <v>2673</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5"/>
      <c r="L52" s="1106"/>
      <c r="M52" s="1144"/>
      <c r="N52" s="1144"/>
      <c r="O52" s="1144"/>
    </row>
    <row r="53" spans="1:15" s="502" customFormat="1" ht="13.5" customHeight="1">
      <c r="A53" s="1145"/>
      <c r="B53" s="1145"/>
      <c r="C53" s="497" t="s">
        <v>2674</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9" t="s">
        <v>2760</v>
      </c>
      <c r="D55" s="2710" t="s">
        <v>2761</v>
      </c>
      <c r="E55" s="686" t="s">
        <v>2762</v>
      </c>
      <c r="F55" s="1107" t="s">
        <v>2763</v>
      </c>
      <c r="G55" s="3188" t="s">
        <v>2764</v>
      </c>
      <c r="H55" s="3234"/>
      <c r="I55" s="144" t="s">
        <v>2765</v>
      </c>
      <c r="J55" s="2711">
        <f>项目基本情况!F35</f>
        <v>0</v>
      </c>
      <c r="K55" s="2712" t="s">
        <v>2766</v>
      </c>
      <c r="L55" s="1106"/>
      <c r="M55" s="1144"/>
      <c r="N55" s="1144"/>
      <c r="O55" s="1144"/>
    </row>
    <row r="56" spans="1:15" s="692" customFormat="1">
      <c r="A56" s="688" t="s">
        <v>2767</v>
      </c>
      <c r="B56" s="689">
        <f>C48</f>
        <v>2393</v>
      </c>
      <c r="C56" s="690">
        <v>1</v>
      </c>
      <c r="D56" s="1163">
        <v>1</v>
      </c>
      <c r="E56" s="690">
        <f>'数据-汇总表'!E8+'数据-汇总表'!E9</f>
        <v>33427.47</v>
      </c>
      <c r="F56" s="1103">
        <f t="shared" ref="F56:F65" si="15">ROUND(B56*E56/10000,0)</f>
        <v>7999</v>
      </c>
      <c r="G56" s="3184"/>
      <c r="H56" s="3173"/>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35"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35"/>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35"/>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35"/>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3"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3"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4"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33427.47</v>
      </c>
      <c r="F66" s="697">
        <f>IF(B46="楼面地价",SUM(F56:F65),ROUND(C48*E66/10000,0))</f>
        <v>7999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5"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2791</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3083</v>
      </c>
      <c r="E1" s="1821" t="s">
        <v>1383</v>
      </c>
      <c r="F1" s="1283">
        <f ca="1">J53</f>
        <v>27.16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44745</v>
      </c>
      <c r="C2" s="1845" t="s">
        <v>1512</v>
      </c>
      <c r="D2" s="1845"/>
      <c r="E2" s="1846"/>
      <c r="F2" s="1847"/>
      <c r="G2" s="1848"/>
      <c r="H2" s="1840"/>
      <c r="I2" s="1840"/>
      <c r="J2" s="1840"/>
      <c r="K2" s="1841"/>
      <c r="L2" s="1840"/>
      <c r="M2" s="1840"/>
    </row>
    <row r="3" spans="1:37" ht="18" customHeight="1" thickBot="1">
      <c r="A3" s="1849" t="s">
        <v>1513</v>
      </c>
      <c r="B3" s="1850">
        <f ca="1">IF(ISERROR(B2*10000/F43),0,ROUND(B2*10000/F43,0))</f>
        <v>13386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3375</v>
      </c>
      <c r="D5" s="1822" t="s">
        <v>1398</v>
      </c>
      <c r="E5" s="1293"/>
      <c r="F5" s="1294"/>
      <c r="G5" s="1851"/>
      <c r="H5" s="344">
        <v>1</v>
      </c>
      <c r="I5" s="345" t="s">
        <v>1397</v>
      </c>
      <c r="J5" s="1292">
        <f ca="1">J6+J10+J12</f>
        <v>0</v>
      </c>
      <c r="K5" s="1822" t="s">
        <v>1398</v>
      </c>
      <c r="L5" s="1293"/>
      <c r="M5" s="1294"/>
    </row>
    <row r="6" spans="1:37" ht="18" customHeight="1">
      <c r="A6" s="1291" t="s">
        <v>1032</v>
      </c>
      <c r="B6" s="3145" t="s">
        <v>1399</v>
      </c>
      <c r="C6" s="1296">
        <f ca="1">ROUND(F6*F8*F7*(1-F9)/10000,0)</f>
        <v>3371</v>
      </c>
      <c r="D6" s="164" t="s">
        <v>3032</v>
      </c>
      <c r="E6" s="347" t="s">
        <v>1401</v>
      </c>
      <c r="F6" s="348">
        <f ca="1">INDIRECT("'数据-取费表'!u"&amp;$G$1)</f>
        <v>3.07</v>
      </c>
      <c r="G6" s="1851"/>
      <c r="H6" s="1291" t="s">
        <v>1032</v>
      </c>
      <c r="I6" s="3145" t="s">
        <v>1399</v>
      </c>
      <c r="J6" s="346">
        <f ca="1">ROUND(M6*M8*M7*(1-M9)/10000,0)</f>
        <v>0</v>
      </c>
      <c r="K6" s="164" t="s">
        <v>3031</v>
      </c>
      <c r="L6" s="347" t="s">
        <v>1401</v>
      </c>
      <c r="M6" s="348">
        <f ca="1">INDIRECT("'数据-取费表'!z"&amp;$G$1)</f>
        <v>0</v>
      </c>
    </row>
    <row r="7" spans="1:37" ht="18" customHeight="1">
      <c r="A7" s="1295"/>
      <c r="B7" s="3146"/>
      <c r="C7" s="1297"/>
      <c r="D7" s="352"/>
      <c r="E7" s="1298" t="s">
        <v>1402</v>
      </c>
      <c r="F7" s="348">
        <f ca="1">IF(INDIRECT("'数据-取费表'!ah"&amp;$G$1)="",INDIRECT("'数据-取费表'!k"&amp;$G$1),INDIRECT("'数据-取费表'!ah"&amp;$G$1))</f>
        <v>33427.47</v>
      </c>
      <c r="G7" s="1851"/>
      <c r="H7" s="349"/>
      <c r="I7" s="3146"/>
      <c r="J7" s="351"/>
      <c r="K7" s="352"/>
      <c r="L7" s="347" t="s">
        <v>1402</v>
      </c>
      <c r="M7" s="348">
        <f ca="1">F7</f>
        <v>33427.47</v>
      </c>
    </row>
    <row r="8" spans="1:37" ht="18" customHeight="1">
      <c r="A8" s="349"/>
      <c r="B8" s="3146"/>
      <c r="C8" s="351"/>
      <c r="D8" s="352"/>
      <c r="E8" s="347" t="s">
        <v>1403</v>
      </c>
      <c r="F8" s="348">
        <f ca="1">INDIRECT("'数据-取费表'!ai"&amp;$G$1)</f>
        <v>365</v>
      </c>
      <c r="G8" s="1851"/>
      <c r="H8" s="349"/>
      <c r="I8" s="3146"/>
      <c r="J8" s="351"/>
      <c r="K8" s="352"/>
      <c r="L8" s="347" t="s">
        <v>1403</v>
      </c>
      <c r="M8" s="348">
        <f ca="1">INDIRECT("'数据-取费表'!ai"&amp;$G$1)</f>
        <v>365</v>
      </c>
    </row>
    <row r="9" spans="1:37" ht="18" customHeight="1">
      <c r="A9" s="349"/>
      <c r="B9" s="3147"/>
      <c r="C9" s="351"/>
      <c r="D9" s="352"/>
      <c r="E9" s="347" t="s">
        <v>1404</v>
      </c>
      <c r="F9" s="357">
        <f ca="1">INDIRECT("'数据-取费表'!w"&amp;$G$1)</f>
        <v>0.1</v>
      </c>
      <c r="G9" s="1851"/>
      <c r="H9" s="349"/>
      <c r="I9" s="31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3041</v>
      </c>
      <c r="E10" s="358" t="s">
        <v>1406</v>
      </c>
      <c r="F10" s="1366" t="s">
        <v>3084</v>
      </c>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15542</v>
      </c>
      <c r="D13" s="1331" t="s">
        <v>1411</v>
      </c>
      <c r="E13" s="1331" t="s">
        <v>1412</v>
      </c>
      <c r="F13" s="1332">
        <f ca="1">INDIRECT("'数据-取费表'!y"&amp;$G$1)</f>
        <v>0.92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11700</v>
      </c>
      <c r="D14" s="1800" t="s">
        <v>1414</v>
      </c>
      <c r="E14" s="1794"/>
      <c r="F14" s="364"/>
      <c r="G14" s="1851"/>
      <c r="H14" s="1201" t="s">
        <v>1032</v>
      </c>
      <c r="I14" s="347" t="s">
        <v>1415</v>
      </c>
      <c r="J14" s="24">
        <f ca="1">C29</f>
        <v>16894</v>
      </c>
      <c r="K14" s="15"/>
      <c r="L14" s="979"/>
      <c r="M14" s="980"/>
    </row>
    <row r="15" spans="1:37" s="1858" customFormat="1" ht="18" customHeight="1" thickBot="1">
      <c r="A15" s="1201" t="s">
        <v>1033</v>
      </c>
      <c r="B15" s="347" t="s">
        <v>1416</v>
      </c>
      <c r="C15" s="24">
        <f ca="1">ROUND(C14*F15,0)</f>
        <v>351</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395</v>
      </c>
      <c r="K16" s="1337" t="s">
        <v>1421</v>
      </c>
      <c r="L16" s="1338"/>
      <c r="M16" s="1294"/>
    </row>
    <row r="17" spans="1:37" s="1858" customFormat="1" ht="18" customHeight="1">
      <c r="A17" s="1201" t="s">
        <v>1386</v>
      </c>
      <c r="B17" s="347" t="s">
        <v>1422</v>
      </c>
      <c r="C17" s="24">
        <f ca="1">ROUND(F17*(F43+INDIRECT("'数据-取费表'!S"&amp;$G$1))/10000,0)</f>
        <v>669</v>
      </c>
      <c r="D17" s="347" t="s">
        <v>1423</v>
      </c>
      <c r="E17" s="347" t="s">
        <v>1424</v>
      </c>
      <c r="F17" s="26">
        <f>'数据-取费表'!B35</f>
        <v>200</v>
      </c>
      <c r="G17" s="1854"/>
      <c r="H17" s="1201" t="s">
        <v>1032</v>
      </c>
      <c r="I17" s="347" t="s">
        <v>1425</v>
      </c>
      <c r="J17" s="24">
        <f ca="1">ROUND(IF(项目基本情况!B11="自然人",J5*M17,J18+J19+J20),1)</f>
        <v>141.9</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176</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12896</v>
      </c>
      <c r="D19" s="140" t="s">
        <v>1432</v>
      </c>
      <c r="E19" s="1818"/>
      <c r="F19" s="26"/>
      <c r="G19" s="1851"/>
      <c r="H19" s="1201" t="s">
        <v>1033</v>
      </c>
      <c r="I19" s="347" t="s">
        <v>1433</v>
      </c>
      <c r="J19" s="24">
        <f ca="1">IF(K19="按租金收入计税",ROUND(J5*M19,2),ROUND(C29*M19*0.7,2))</f>
        <v>141.91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258</v>
      </c>
      <c r="D20" s="369" t="s">
        <v>1436</v>
      </c>
      <c r="E20" s="347" t="s">
        <v>1418</v>
      </c>
      <c r="F20" s="367">
        <f>'数据-取费表'!B37</f>
        <v>0.02</v>
      </c>
      <c r="G20" s="1854"/>
      <c r="H20" s="1201" t="s">
        <v>1385</v>
      </c>
      <c r="I20" s="164" t="s">
        <v>1437</v>
      </c>
      <c r="J20" s="25">
        <f ca="1">ROUND(M20*M21/10000,2)</f>
        <v>0</v>
      </c>
      <c r="K20" s="370" t="s">
        <v>1438</v>
      </c>
      <c r="L20" s="347" t="s">
        <v>1439</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253.4</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466</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-395</v>
      </c>
      <c r="K25" s="1345" t="s">
        <v>1460</v>
      </c>
      <c r="L25" s="1346"/>
      <c r="M25" s="1347"/>
    </row>
    <row r="26" spans="1:37">
      <c r="A26" s="1201" t="s">
        <v>1031</v>
      </c>
      <c r="B26" s="347" t="s">
        <v>1461</v>
      </c>
      <c r="C26" s="24">
        <f ca="1">ROUND((C19+C20)*F26,0)</f>
        <v>1973</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16894</v>
      </c>
      <c r="D29" s="1342"/>
      <c r="E29" s="1340"/>
      <c r="F29" s="1343"/>
      <c r="G29" s="1854"/>
      <c r="H29" s="380" t="s">
        <v>1030</v>
      </c>
      <c r="I29" s="381" t="s">
        <v>1475</v>
      </c>
      <c r="J29" s="382">
        <f ca="1">ROUND(J26/(1+F40)^F41,0)</f>
        <v>0</v>
      </c>
      <c r="K29" s="383" t="s">
        <v>1476</v>
      </c>
      <c r="L29" s="384"/>
      <c r="M29" s="385">
        <f ca="1">INDIRECT("'数据-取费表'!k"&amp;$G$1)</f>
        <v>33427.47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896</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585</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180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405</v>
      </c>
      <c r="D33" s="1828" t="s">
        <v>3085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253.4</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23.3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33.799999999999997</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2479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44745</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27.16</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13386</v>
      </c>
      <c r="D43" s="383" t="s">
        <v>1484</v>
      </c>
      <c r="E43" s="384" t="s">
        <v>1485</v>
      </c>
      <c r="F43" s="385">
        <f ca="1">INDIRECT("'数据-取费表'!k"&amp;$G$1)</f>
        <v>33427.47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-67204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3086</v>
      </c>
      <c r="K47" s="1882" t="s">
        <v>1523</v>
      </c>
      <c r="L47" s="1883">
        <f ca="1">INDIRECT("'数据-取费表'!d"&amp;$G$1)</f>
        <v>40</v>
      </c>
      <c r="M47" s="1838" t="str">
        <f>IF(ISNUMBER(FIND("住宅",C1)),"住宅","非住宅")</f>
        <v>非住宅</v>
      </c>
      <c r="O47" s="1884" t="s">
        <v>1037</v>
      </c>
      <c r="P47" s="1885" t="s">
        <v>1524</v>
      </c>
      <c r="Q47" s="1886">
        <f ca="1">C40+J29</f>
        <v>44745</v>
      </c>
      <c r="R47" s="1886" t="s">
        <v>1525</v>
      </c>
    </row>
    <row r="48" spans="1:18" s="1842" customFormat="1" ht="28.5" thickBot="1">
      <c r="A48" s="1360" t="s">
        <v>1132</v>
      </c>
      <c r="B48" s="345" t="s">
        <v>1397</v>
      </c>
      <c r="C48" s="1817">
        <f ca="1">C49+C53+C55</f>
        <v>0</v>
      </c>
      <c r="D48" s="1362"/>
      <c r="E48" s="1363"/>
      <c r="F48" s="1181"/>
      <c r="G48" s="792"/>
      <c r="H48" s="793"/>
      <c r="I48" s="1887" t="s">
        <v>1526</v>
      </c>
      <c r="J48" s="1888" t="s">
        <v>3087</v>
      </c>
      <c r="K48" s="1889" t="s">
        <v>1527</v>
      </c>
      <c r="L48" s="1890">
        <f ca="1">INDIRECT("'数据-取费表'!f"&amp;$G$1)</f>
        <v>27.16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v>2014</v>
      </c>
      <c r="K49" s="1889" t="s">
        <v>1531</v>
      </c>
      <c r="L49" s="1893"/>
      <c r="O49" s="1894" t="s">
        <v>1039</v>
      </c>
      <c r="P49" s="1885" t="s">
        <v>1532</v>
      </c>
      <c r="Q49" s="1886">
        <f ca="1">C29</f>
        <v>16894</v>
      </c>
      <c r="R49" s="1886" t="s">
        <v>1525</v>
      </c>
    </row>
    <row r="50" spans="1:18" s="1842" customFormat="1" ht="13.5" thickBot="1">
      <c r="A50" s="1195"/>
      <c r="B50" s="1198"/>
      <c r="C50" s="1368"/>
      <c r="D50" s="1172"/>
      <c r="E50" s="1277" t="s">
        <v>1402</v>
      </c>
      <c r="F50" s="1278">
        <f ca="1">F7</f>
        <v>33427.47</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55</v>
      </c>
      <c r="K51" s="1900" t="s">
        <v>1537</v>
      </c>
      <c r="L51" s="1901">
        <f ca="1">ROUND(-PV(INDIRECT("'数据-取费表'!h"&amp;$G$1),L48,(C39-C13*C76),0),0)</f>
        <v>17004</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27.16</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27.16</v>
      </c>
      <c r="K53" s="3143" t="s">
        <v>1544</v>
      </c>
      <c r="L53" s="3144"/>
      <c r="O53" s="1884" t="s">
        <v>1043</v>
      </c>
      <c r="P53" s="1885" t="s">
        <v>1545</v>
      </c>
      <c r="Q53" s="1886">
        <f ca="1">Q47+Q48</f>
        <v>44745</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15542</v>
      </c>
      <c r="D56" s="1914"/>
      <c r="E56" s="1915"/>
      <c r="F56" s="1907"/>
      <c r="I56" s="1916" t="s">
        <v>1550</v>
      </c>
      <c r="J56" s="1917" t="s">
        <v>3061</v>
      </c>
      <c r="K56" s="1887" t="s">
        <v>1551</v>
      </c>
      <c r="L56" s="1890" t="str">
        <f ca="1">IF(L48&lt;J51,"——",L48-J53)</f>
        <v>——</v>
      </c>
      <c r="O56" s="1884" t="s">
        <v>1037</v>
      </c>
      <c r="P56" s="1885" t="s">
        <v>1524</v>
      </c>
      <c r="Q56" s="1886">
        <f ca="1">C40+J29</f>
        <v>44745</v>
      </c>
      <c r="R56" s="1886" t="s">
        <v>1525</v>
      </c>
    </row>
    <row r="57" spans="1:18" s="1842" customFormat="1" ht="24.75" thickBot="1">
      <c r="A57" s="1918"/>
      <c r="B57" s="1169" t="s">
        <v>1474</v>
      </c>
      <c r="C57" s="282">
        <f ca="1">C29</f>
        <v>16894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1696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1419.1</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1419.1</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5</v>
      </c>
      <c r="I62" s="1929" t="s">
        <v>1566</v>
      </c>
      <c r="J62" s="1930" t="s">
        <v>1567</v>
      </c>
      <c r="K62" s="1930" t="s">
        <v>1568</v>
      </c>
      <c r="L62" s="1930" t="s">
        <v>1569</v>
      </c>
      <c r="M62" s="1931" t="s">
        <v>1570</v>
      </c>
      <c r="O62" s="1884" t="s">
        <v>1043</v>
      </c>
      <c r="P62" s="1885" t="s">
        <v>1571</v>
      </c>
      <c r="Q62" s="1886">
        <f ca="1">Q56+Q57</f>
        <v>44745</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253.4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23.3</v>
      </c>
      <c r="D65" s="1183" t="s">
        <v>1450</v>
      </c>
      <c r="E65" s="1169" t="s">
        <v>1451</v>
      </c>
      <c r="F65" s="376">
        <f t="shared" ca="1" si="0"/>
        <v>1.5E-3</v>
      </c>
      <c r="I65" s="1929" t="s">
        <v>1575</v>
      </c>
      <c r="J65" s="1930">
        <v>40</v>
      </c>
      <c r="K65" s="1930">
        <v>30</v>
      </c>
      <c r="L65" s="1930">
        <v>50</v>
      </c>
      <c r="M65" s="1932">
        <v>0.02</v>
      </c>
      <c r="O65" s="1884" t="s">
        <v>1037</v>
      </c>
      <c r="P65" s="1885" t="s">
        <v>1576</v>
      </c>
      <c r="Q65" s="1886">
        <f ca="1">C40+J29</f>
        <v>44745</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-1696</v>
      </c>
      <c r="D67" s="1182" t="s">
        <v>1460</v>
      </c>
      <c r="E67" s="1187"/>
      <c r="F67" s="1188"/>
      <c r="O67" s="1894" t="s">
        <v>1039</v>
      </c>
      <c r="P67" s="1885" t="s">
        <v>1558</v>
      </c>
      <c r="Q67" s="1933">
        <f ca="1">L51</f>
        <v>17004</v>
      </c>
      <c r="R67" s="1886" t="s">
        <v>1578</v>
      </c>
    </row>
    <row r="68" spans="1:18" s="1842" customFormat="1" ht="16.5" thickBot="1">
      <c r="A68" s="1166" t="s">
        <v>1029</v>
      </c>
      <c r="B68" s="1167" t="s">
        <v>1481</v>
      </c>
      <c r="C68" s="346">
        <f ca="1">ROUND(C67*(1-((1+F70)/(1+F68))^F69)/(F68-F70),0)</f>
        <v>-22459</v>
      </c>
      <c r="D68" s="1184" t="s">
        <v>1465</v>
      </c>
      <c r="E68" s="1169" t="s">
        <v>1466</v>
      </c>
      <c r="F68" s="357">
        <f ca="1">F40</f>
        <v>0.06</v>
      </c>
      <c r="O68" s="1894" t="s">
        <v>1040</v>
      </c>
      <c r="P68" s="1934" t="s">
        <v>1579</v>
      </c>
      <c r="Q68" s="1886">
        <f ca="1">ROUND(Q69-Q70*Q71,0)</f>
        <v>1158</v>
      </c>
      <c r="R68" s="1886" t="s">
        <v>1048</v>
      </c>
    </row>
    <row r="69" spans="1:18" s="1842" customFormat="1" ht="13.5" thickBot="1">
      <c r="A69" s="1170"/>
      <c r="B69" s="1171"/>
      <c r="C69" s="351"/>
      <c r="D69" s="1189" t="s">
        <v>1469</v>
      </c>
      <c r="E69" s="1169" t="s">
        <v>1470</v>
      </c>
      <c r="F69" s="379">
        <f ca="1">F41</f>
        <v>27.16</v>
      </c>
      <c r="O69" s="1894" t="s">
        <v>1045</v>
      </c>
      <c r="P69" s="1934" t="s">
        <v>1580</v>
      </c>
      <c r="Q69" s="1886">
        <f ca="1">C39</f>
        <v>2479</v>
      </c>
      <c r="R69" s="1886" t="s">
        <v>1525</v>
      </c>
    </row>
    <row r="70" spans="1:18" s="1842" customFormat="1" ht="13.5" thickBot="1">
      <c r="A70" s="1173"/>
      <c r="B70" s="1174"/>
      <c r="C70" s="355"/>
      <c r="D70" s="1185"/>
      <c r="E70" s="1169" t="s">
        <v>1473</v>
      </c>
      <c r="F70" s="1275"/>
      <c r="O70" s="1894" t="s">
        <v>1046</v>
      </c>
      <c r="P70" s="1934" t="s">
        <v>1581</v>
      </c>
      <c r="Q70" s="1886">
        <f ca="1">C13</f>
        <v>15542</v>
      </c>
      <c r="R70" s="1886" t="s">
        <v>1525</v>
      </c>
    </row>
    <row r="71" spans="1:18" s="1842" customFormat="1" ht="13.5" thickBot="1">
      <c r="A71" s="1190" t="s">
        <v>1030</v>
      </c>
      <c r="B71" s="1191" t="s">
        <v>1483</v>
      </c>
      <c r="C71" s="382">
        <f ca="1">ROUND(C68*10000/F71,0)</f>
        <v>-6719</v>
      </c>
      <c r="D71" s="1192" t="s">
        <v>1484</v>
      </c>
      <c r="E71" s="1193" t="s">
        <v>1485</v>
      </c>
      <c r="F71" s="385">
        <f ca="1">F43</f>
        <v>33427.47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1321</v>
      </c>
      <c r="D75" s="1842"/>
      <c r="E75" s="1842"/>
      <c r="F75" s="1842"/>
      <c r="K75" s="1868"/>
      <c r="L75" s="1842"/>
      <c r="O75" s="1884" t="s">
        <v>1043</v>
      </c>
      <c r="P75" s="1885" t="s">
        <v>1545</v>
      </c>
      <c r="Q75" s="1886">
        <f ca="1">Q65+Q66</f>
        <v>44745</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0.46699999999999997</v>
      </c>
    </row>
    <row r="80" spans="1:18">
      <c r="B80" s="386" t="s">
        <v>1507</v>
      </c>
      <c r="C80" s="318">
        <f ca="1">ROUND(C75/C39,3)</f>
        <v>0.53300000000000003</v>
      </c>
    </row>
    <row r="81" spans="2:3">
      <c r="B81" s="314" t="s">
        <v>1508</v>
      </c>
      <c r="C81" s="282"/>
    </row>
    <row r="82" spans="2:3">
      <c r="B82" s="317" t="s">
        <v>1509</v>
      </c>
      <c r="C82" s="319">
        <f ca="1">1-C83</f>
        <v>0.65300000000000002</v>
      </c>
    </row>
    <row r="83" spans="2:3">
      <c r="B83" s="317" t="s">
        <v>1510</v>
      </c>
      <c r="C83" s="318">
        <f ca="1">ROUND(C13/C40,3)</f>
        <v>0.34699999999999998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5" t="s">
        <v>1399</v>
      </c>
      <c r="C6" s="1296">
        <f ca="1">ROUND(F6*F8*F7*(1-F9),0)</f>
        <v>0</v>
      </c>
      <c r="D6" s="164" t="s">
        <v>3029</v>
      </c>
      <c r="E6" s="347" t="s">
        <v>1401</v>
      </c>
      <c r="F6" s="348">
        <f ca="1">INDIRECT("'数据-取费表'!u"&amp;$G$1)</f>
        <v>0</v>
      </c>
      <c r="G6" s="1851"/>
      <c r="H6" s="1291" t="s">
        <v>1032</v>
      </c>
      <c r="I6" s="3145" t="s">
        <v>1399</v>
      </c>
      <c r="J6" s="346">
        <f ca="1">ROUND(M6*M8*M7*(1-M9),0)</f>
        <v>0</v>
      </c>
      <c r="K6" s="1834" t="s">
        <v>3030</v>
      </c>
      <c r="L6" s="347" t="s">
        <v>1401</v>
      </c>
      <c r="M6" s="348">
        <f ca="1">INDIRECT("'数据-取费表'!z"&amp;$G$1)</f>
        <v>0</v>
      </c>
    </row>
    <row r="7" spans="1:37" ht="18" customHeight="1">
      <c r="A7" s="1295"/>
      <c r="B7" s="3146"/>
      <c r="C7" s="1297"/>
      <c r="D7" s="352"/>
      <c r="E7" s="1298" t="s">
        <v>1402</v>
      </c>
      <c r="F7" s="348">
        <f ca="1">IF(INDIRECT("'数据-取费表'!ah"&amp;$G$1)="",INDIRECT("'数据-取费表'!k"&amp;$G$1),INDIRECT("'数据-取费表'!ah"&amp;$G$1))</f>
        <v>0</v>
      </c>
      <c r="G7" s="1851"/>
      <c r="H7" s="349"/>
      <c r="I7" s="3146"/>
      <c r="J7" s="351"/>
      <c r="K7" s="352"/>
      <c r="L7" s="347" t="s">
        <v>1402</v>
      </c>
      <c r="M7" s="348">
        <f ca="1">F7</f>
        <v>0</v>
      </c>
    </row>
    <row r="8" spans="1:37" ht="18" customHeight="1">
      <c r="A8" s="349"/>
      <c r="B8" s="3146"/>
      <c r="C8" s="351"/>
      <c r="D8" s="352"/>
      <c r="E8" s="347" t="s">
        <v>1403</v>
      </c>
      <c r="F8" s="348">
        <f ca="1">INDIRECT("'数据-取费表'!ai"&amp;$G$1)</f>
        <v>0</v>
      </c>
      <c r="G8" s="1851"/>
      <c r="H8" s="349"/>
      <c r="I8" s="3146"/>
      <c r="J8" s="351"/>
      <c r="K8" s="352"/>
      <c r="L8" s="347" t="s">
        <v>1403</v>
      </c>
      <c r="M8" s="348">
        <f ca="1">INDIRECT("'数据-取费表'!ai"&amp;$G$1)</f>
        <v>0</v>
      </c>
    </row>
    <row r="9" spans="1:37" ht="18" customHeight="1">
      <c r="A9" s="349"/>
      <c r="B9" s="3147"/>
      <c r="C9" s="351"/>
      <c r="D9" s="352"/>
      <c r="E9" s="347" t="s">
        <v>1404</v>
      </c>
      <c r="F9" s="357">
        <f ca="1">INDIRECT("'数据-取费表'!w"&amp;$G$1)</f>
        <v>0</v>
      </c>
      <c r="G9" s="1851"/>
      <c r="H9" s="349"/>
      <c r="I9" s="31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3" t="s">
        <v>1544</v>
      </c>
      <c r="L53" s="314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2527</v>
      </c>
      <c r="B1" s="2566"/>
      <c r="C1" s="2566"/>
      <c r="D1" s="2566"/>
      <c r="E1" s="2567"/>
    </row>
    <row r="2" spans="1:6" ht="15.75">
      <c r="A2" s="2568" t="s">
        <v>2328</v>
      </c>
      <c r="B2" s="2569">
        <f ca="1">SUMIF(B6:B13,"&lt;&gt;#ref!",B6:B13)</f>
        <v>44745</v>
      </c>
      <c r="C2" s="2570" t="s">
        <v>2520</v>
      </c>
      <c r="D2" s="2571" t="s">
        <v>2521</v>
      </c>
      <c r="E2" s="2572">
        <f>SUM(E6:E13)</f>
        <v>33427.47</v>
      </c>
    </row>
    <row r="3" spans="1:6" ht="15.75">
      <c r="A3" s="2568" t="s">
        <v>1391</v>
      </c>
      <c r="B3" s="2569">
        <f ca="1">ROUND(B2*10000/E2,0)</f>
        <v>13386</v>
      </c>
      <c r="C3" s="2570" t="s">
        <v>2528</v>
      </c>
      <c r="D3" s="2573"/>
      <c r="E3" s="2574"/>
    </row>
    <row r="4" spans="1:6" ht="15.75">
      <c r="A4" s="2575"/>
      <c r="B4" s="2573"/>
      <c r="C4" s="2573"/>
      <c r="D4" s="2573"/>
      <c r="E4" s="2574"/>
    </row>
    <row r="5" spans="1:6" ht="15">
      <c r="A5" s="2576" t="s">
        <v>2522</v>
      </c>
      <c r="B5" s="3148" t="s">
        <v>2523</v>
      </c>
      <c r="C5" s="3148"/>
      <c r="D5" s="2577"/>
      <c r="E5" s="2578" t="s">
        <v>2524</v>
      </c>
      <c r="F5" s="2579" t="s">
        <v>2525</v>
      </c>
    </row>
    <row r="6" spans="1:6">
      <c r="A6" s="2580" t="str">
        <f>'数据-取费表'!AN6</f>
        <v>收益法</v>
      </c>
      <c r="B6" s="2579">
        <f ca="1">IF(F6="是",'数据-取费表'!AO6,0)</f>
        <v>44745</v>
      </c>
      <c r="C6" s="2570" t="s">
        <v>2520</v>
      </c>
      <c r="D6" s="2573"/>
      <c r="E6" s="2581">
        <f>IF(OR(A6=0,F6="否"),0,'数据-取费表'!K6+'数据-取费表'!S6)</f>
        <v>33427.47</v>
      </c>
      <c r="F6" s="2582" t="s">
        <v>2526</v>
      </c>
    </row>
    <row r="7" spans="1:6">
      <c r="A7" s="2580">
        <f>'数据-取费表'!AN7</f>
        <v>0</v>
      </c>
      <c r="B7" s="2579" t="e">
        <f ca="1">IF(F7="是",'数据-取费表'!AO7,0)</f>
        <v>#REF!</v>
      </c>
      <c r="C7" s="2570" t="s">
        <v>2520</v>
      </c>
      <c r="D7" s="2573"/>
      <c r="E7" s="2581">
        <f>IF(OR(A7=0,F7="否"),0,'数据-取费表'!K7+'数据-取费表'!S7)</f>
        <v>0</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52">
        <f>C27-C30-C31-C32</f>
        <v>0</v>
      </c>
      <c r="F26" s="3152"/>
      <c r="G26" s="3152"/>
      <c r="H26" s="1737" t="s">
        <v>1336</v>
      </c>
    </row>
    <row r="27" spans="1:9">
      <c r="A27" s="1324">
        <v>1</v>
      </c>
      <c r="B27" s="1325" t="s">
        <v>1115</v>
      </c>
      <c r="C27" s="1325">
        <f>C28+C29</f>
        <v>0</v>
      </c>
      <c r="D27" s="1325"/>
      <c r="E27" s="3153"/>
      <c r="F27" s="3153"/>
      <c r="G27" s="3153"/>
    </row>
    <row r="28" spans="1:9">
      <c r="A28" s="1326" t="s">
        <v>1116</v>
      </c>
      <c r="B28" s="1325" t="s">
        <v>1117</v>
      </c>
      <c r="C28" s="1325"/>
      <c r="D28" s="1325"/>
      <c r="E28" s="3153"/>
      <c r="F28" s="3153"/>
      <c r="G28" s="315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4"/>
      <c r="F32" s="3154"/>
      <c r="G32" s="3154"/>
    </row>
    <row r="33" spans="1:7" hidden="1">
      <c r="A33" s="3149" t="s">
        <v>1126</v>
      </c>
      <c r="B33" s="3150"/>
      <c r="C33" s="3150"/>
      <c r="D33" s="3151"/>
      <c r="E33" s="3152"/>
      <c r="F33" s="3152"/>
      <c r="G33" s="3152"/>
    </row>
    <row r="34" spans="1:7" hidden="1">
      <c r="A34" s="1328">
        <v>1</v>
      </c>
      <c r="B34" s="1325" t="s">
        <v>1127</v>
      </c>
      <c r="C34" s="1325"/>
      <c r="D34" s="1325"/>
      <c r="E34" s="3153"/>
      <c r="F34" s="3153"/>
      <c r="G34" s="3153"/>
    </row>
    <row r="35" spans="1:7" hidden="1">
      <c r="A35" s="1328">
        <v>2</v>
      </c>
      <c r="B35" s="1325" t="s">
        <v>1128</v>
      </c>
      <c r="C35" s="1325"/>
      <c r="D35" s="1325"/>
      <c r="E35" s="3153"/>
      <c r="F35" s="3153"/>
      <c r="G35" s="3153"/>
    </row>
    <row r="36" spans="1:7" hidden="1">
      <c r="A36" s="1328">
        <v>3</v>
      </c>
      <c r="B36" s="1325" t="s">
        <v>1129</v>
      </c>
      <c r="C36" s="1325"/>
      <c r="D36" s="1325"/>
      <c r="E36" s="3153"/>
      <c r="F36" s="3153"/>
      <c r="G36" s="3153"/>
    </row>
    <row r="37" spans="1:7" hidden="1">
      <c r="A37" s="1328">
        <v>4</v>
      </c>
      <c r="B37" s="1325" t="s">
        <v>1130</v>
      </c>
      <c r="C37" s="1325"/>
      <c r="D37" s="1325"/>
      <c r="E37" s="3153"/>
      <c r="F37" s="3153"/>
      <c r="G37" s="3153"/>
    </row>
    <row r="38" spans="1:7" hidden="1">
      <c r="A38" s="3149" t="s">
        <v>1131</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6" t="s">
        <v>2530</v>
      </c>
      <c r="C1" s="1634" t="s">
        <v>2531</v>
      </c>
      <c r="D1" s="1621"/>
      <c r="E1" s="2587"/>
      <c r="F1" s="2588" t="s">
        <v>2532</v>
      </c>
      <c r="G1" s="1631" t="s">
        <v>2533</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2534</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2535</v>
      </c>
      <c r="D3" s="399">
        <f>IF(D1="",'数据-汇总表'!E3,SUMIF('数据-汇总表'!$C19:$C33,D1,'数据-汇总表'!$E19:$E33))</f>
        <v>33427.47</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2536</v>
      </c>
      <c r="B4" s="402"/>
      <c r="C4" s="3188" t="s">
        <v>2537</v>
      </c>
      <c r="D4" s="3189"/>
      <c r="E4" s="3190" t="s">
        <v>2538</v>
      </c>
      <c r="F4" s="3191"/>
      <c r="G4" s="3188" t="s">
        <v>2539</v>
      </c>
      <c r="H4" s="3189"/>
      <c r="I4" s="3188" t="s">
        <v>2540</v>
      </c>
      <c r="J4" s="3189"/>
      <c r="K4" s="2600" t="s">
        <v>2541</v>
      </c>
      <c r="L4" s="1130"/>
      <c r="M4" s="1131"/>
      <c r="N4" s="1131"/>
      <c r="O4" s="1131"/>
      <c r="P4" s="3192" t="s">
        <v>2542</v>
      </c>
      <c r="Q4" s="3193"/>
      <c r="R4" s="3198" t="s">
        <v>2538</v>
      </c>
      <c r="S4" s="3199"/>
      <c r="T4" s="3198" t="s">
        <v>2539</v>
      </c>
      <c r="U4" s="3199"/>
      <c r="V4" s="3204" t="s">
        <v>2540</v>
      </c>
      <c r="W4" s="3204"/>
      <c r="X4" s="1813"/>
      <c r="Y4" s="3198" t="s">
        <v>2542</v>
      </c>
      <c r="Z4" s="3199"/>
      <c r="AA4" s="3185" t="s">
        <v>2538</v>
      </c>
      <c r="AB4" s="3185" t="s">
        <v>2539</v>
      </c>
      <c r="AC4" s="3185" t="s">
        <v>2540</v>
      </c>
    </row>
    <row r="5" spans="1:29" ht="15">
      <c r="A5" s="404"/>
      <c r="B5" s="405"/>
      <c r="C5" s="3207" t="s">
        <v>2543</v>
      </c>
      <c r="D5" s="3208"/>
      <c r="E5" s="3214" t="s">
        <v>2544</v>
      </c>
      <c r="F5" s="3215"/>
      <c r="G5" s="3207" t="s">
        <v>2545</v>
      </c>
      <c r="H5" s="3208"/>
      <c r="I5" s="3207" t="s">
        <v>2546</v>
      </c>
      <c r="J5" s="3208"/>
      <c r="K5" s="2601"/>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2601"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43608</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09" t="s">
        <v>2550</v>
      </c>
      <c r="Q7" s="3211"/>
      <c r="R7" s="770" t="s">
        <v>23</v>
      </c>
      <c r="S7" s="771">
        <f t="shared" ref="S7:S15" si="0">F7</f>
        <v>0</v>
      </c>
      <c r="T7" s="770" t="s">
        <v>23</v>
      </c>
      <c r="U7" s="771">
        <f t="shared" ref="U7:U15" si="1">H7</f>
        <v>0</v>
      </c>
      <c r="V7" s="770" t="s">
        <v>23</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09" t="s">
        <v>2553</v>
      </c>
      <c r="Q8" s="3210"/>
      <c r="R8" s="770" t="s">
        <v>23</v>
      </c>
      <c r="S8" s="771">
        <f t="shared" si="0"/>
        <v>0</v>
      </c>
      <c r="T8" s="770" t="s">
        <v>23</v>
      </c>
      <c r="U8" s="771">
        <f t="shared" si="1"/>
        <v>0</v>
      </c>
      <c r="V8" s="770" t="s">
        <v>23</v>
      </c>
      <c r="W8" s="771">
        <f t="shared" si="2"/>
        <v>0</v>
      </c>
      <c r="X8" s="772"/>
      <c r="Y8" s="3209" t="s">
        <v>2553</v>
      </c>
      <c r="Z8" s="321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4"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5"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4"/>
      <c r="Q12" s="1795">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4"/>
      <c r="Q13" s="1795">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4"/>
      <c r="Q14" s="1795">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99.75">
      <c r="A15" s="440" t="s">
        <v>2560</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2561</v>
      </c>
      <c r="Q15" s="1810" t="str">
        <f t="shared" si="6"/>
        <v>居住社区成熟度</v>
      </c>
      <c r="R15" s="774" t="s">
        <v>21</v>
      </c>
      <c r="S15" s="775">
        <f t="shared" si="0"/>
        <v>100</v>
      </c>
      <c r="T15" s="774" t="s">
        <v>21</v>
      </c>
      <c r="U15" s="775">
        <f t="shared" si="1"/>
        <v>100</v>
      </c>
      <c r="V15" s="774" t="s">
        <v>21</v>
      </c>
      <c r="W15" s="775">
        <f t="shared" si="2"/>
        <v>100</v>
      </c>
      <c r="X15" s="1813"/>
      <c r="Y15" s="3175" t="s">
        <v>2561</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76"/>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76"/>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6"/>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7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7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7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7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7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76"/>
      <c r="Z31" s="1814">
        <f t="shared" si="18"/>
        <v>111</v>
      </c>
      <c r="AA31" s="1811">
        <f t="shared" si="15"/>
        <v>1</v>
      </c>
      <c r="AB31" s="1811">
        <f t="shared" si="16"/>
        <v>1</v>
      </c>
      <c r="AC31" s="1811">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77" t="s">
        <v>2566</v>
      </c>
      <c r="Q32" s="1810" t="str">
        <f t="shared" si="11"/>
        <v>建筑类型</v>
      </c>
      <c r="R32" s="774" t="s">
        <v>21</v>
      </c>
      <c r="S32" s="775">
        <f t="shared" si="12"/>
        <v>100</v>
      </c>
      <c r="T32" s="774" t="s">
        <v>21</v>
      </c>
      <c r="U32" s="775">
        <f t="shared" si="13"/>
        <v>100</v>
      </c>
      <c r="V32" s="774" t="s">
        <v>21</v>
      </c>
      <c r="W32" s="775">
        <f t="shared" si="14"/>
        <v>100</v>
      </c>
      <c r="X32" s="1813"/>
      <c r="Y32" s="3180"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1" t="e">
        <f t="shared" si="15"/>
        <v>#N/A</v>
      </c>
      <c r="AB33" s="1811" t="e">
        <f t="shared" si="16"/>
        <v>#N/A</v>
      </c>
      <c r="AC33" s="1811"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78"/>
      <c r="Q34" s="1810" t="str">
        <f t="shared" si="11"/>
        <v>建筑结构</v>
      </c>
      <c r="R34" s="774" t="s">
        <v>21</v>
      </c>
      <c r="S34" s="775">
        <f t="shared" si="12"/>
        <v>100</v>
      </c>
      <c r="T34" s="774" t="s">
        <v>21</v>
      </c>
      <c r="U34" s="775">
        <f t="shared" si="13"/>
        <v>100</v>
      </c>
      <c r="V34" s="774" t="s">
        <v>21</v>
      </c>
      <c r="W34" s="775">
        <f t="shared" si="14"/>
        <v>100</v>
      </c>
      <c r="X34" s="1813"/>
      <c r="Y34" s="3180"/>
      <c r="Z34" s="1814" t="str">
        <f t="shared" si="18"/>
        <v>建筑结构</v>
      </c>
      <c r="AA34" s="1811">
        <f t="shared" si="15"/>
        <v>1</v>
      </c>
      <c r="AB34" s="1811">
        <f t="shared" si="16"/>
        <v>1</v>
      </c>
      <c r="AC34" s="1811">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78"/>
      <c r="Q35" s="1810" t="str">
        <f t="shared" si="11"/>
        <v>建筑品质</v>
      </c>
      <c r="R35" s="774" t="s">
        <v>21</v>
      </c>
      <c r="S35" s="775">
        <f t="shared" si="12"/>
        <v>100</v>
      </c>
      <c r="T35" s="774" t="s">
        <v>21</v>
      </c>
      <c r="U35" s="775">
        <f t="shared" si="13"/>
        <v>100</v>
      </c>
      <c r="V35" s="774" t="s">
        <v>21</v>
      </c>
      <c r="W35" s="775">
        <f t="shared" si="14"/>
        <v>100</v>
      </c>
      <c r="X35" s="1813"/>
      <c r="Y35" s="3180"/>
      <c r="Z35" s="1814" t="str">
        <f t="shared" si="18"/>
        <v>建筑品质</v>
      </c>
      <c r="AA35" s="1811">
        <f t="shared" si="15"/>
        <v>1</v>
      </c>
      <c r="AB35" s="1811">
        <f t="shared" si="16"/>
        <v>1</v>
      </c>
      <c r="AC35" s="1811">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78"/>
      <c r="Q36" s="1810" t="str">
        <f t="shared" si="11"/>
        <v>公共部分装修</v>
      </c>
      <c r="R36" s="774" t="s">
        <v>21</v>
      </c>
      <c r="S36" s="775">
        <f t="shared" si="12"/>
        <v>100</v>
      </c>
      <c r="T36" s="774" t="s">
        <v>21</v>
      </c>
      <c r="U36" s="775">
        <f t="shared" si="13"/>
        <v>100</v>
      </c>
      <c r="V36" s="774" t="s">
        <v>21</v>
      </c>
      <c r="W36" s="775">
        <f t="shared" si="14"/>
        <v>100</v>
      </c>
      <c r="X36" s="1813"/>
      <c r="Y36" s="3180"/>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8"/>
      <c r="Q37" s="1795"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78" t="s">
        <v>2566</v>
      </c>
      <c r="Q38" s="1810" t="str">
        <f t="shared" si="11"/>
        <v>物业管理</v>
      </c>
      <c r="R38" s="774" t="s">
        <v>21</v>
      </c>
      <c r="S38" s="775">
        <f t="shared" si="12"/>
        <v>100</v>
      </c>
      <c r="T38" s="774" t="s">
        <v>21</v>
      </c>
      <c r="U38" s="775">
        <f t="shared" si="13"/>
        <v>100</v>
      </c>
      <c r="V38" s="774" t="s">
        <v>21</v>
      </c>
      <c r="W38" s="775">
        <f t="shared" si="14"/>
        <v>100</v>
      </c>
      <c r="X38" s="1813"/>
      <c r="Y38" s="3180" t="s">
        <v>2566</v>
      </c>
      <c r="Z38" s="1814" t="str">
        <f t="shared" si="18"/>
        <v>物业管理</v>
      </c>
      <c r="AA38" s="1811">
        <f t="shared" si="15"/>
        <v>1</v>
      </c>
      <c r="AB38" s="1811">
        <f t="shared" si="16"/>
        <v>1</v>
      </c>
      <c r="AC38" s="1811">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78"/>
      <c r="Q39" s="1810" t="str">
        <f t="shared" si="11"/>
        <v>市政基础设施</v>
      </c>
      <c r="R39" s="774" t="s">
        <v>21</v>
      </c>
      <c r="S39" s="775">
        <f t="shared" si="12"/>
        <v>100</v>
      </c>
      <c r="T39" s="774" t="s">
        <v>21</v>
      </c>
      <c r="U39" s="775">
        <f t="shared" si="13"/>
        <v>100</v>
      </c>
      <c r="V39" s="774" t="s">
        <v>21</v>
      </c>
      <c r="W39" s="775">
        <f t="shared" si="14"/>
        <v>100</v>
      </c>
      <c r="X39" s="1813"/>
      <c r="Y39" s="3180"/>
      <c r="Z39" s="1814" t="str">
        <f t="shared" si="18"/>
        <v>市政基础设施</v>
      </c>
      <c r="AA39" s="1811">
        <f t="shared" si="15"/>
        <v>1</v>
      </c>
      <c r="AB39" s="1811">
        <f t="shared" si="16"/>
        <v>1</v>
      </c>
      <c r="AC39" s="1811">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78"/>
      <c r="Q40" s="1810" t="str">
        <f t="shared" si="11"/>
        <v>房型</v>
      </c>
      <c r="R40" s="774" t="s">
        <v>21</v>
      </c>
      <c r="S40" s="775">
        <f t="shared" si="12"/>
        <v>100</v>
      </c>
      <c r="T40" s="774" t="s">
        <v>21</v>
      </c>
      <c r="U40" s="775">
        <f t="shared" si="13"/>
        <v>100</v>
      </c>
      <c r="V40" s="774" t="s">
        <v>21</v>
      </c>
      <c r="W40" s="775">
        <f t="shared" si="14"/>
        <v>100</v>
      </c>
      <c r="X40" s="1813"/>
      <c r="Y40" s="3180"/>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1">
        <f t="shared" si="15"/>
        <v>1</v>
      </c>
      <c r="AB41" s="1811">
        <f t="shared" si="16"/>
        <v>1</v>
      </c>
      <c r="AC41" s="1811">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78"/>
      <c r="Q42" s="1810" t="str">
        <f t="shared" si="11"/>
        <v>内部装修</v>
      </c>
      <c r="R42" s="774" t="s">
        <v>21</v>
      </c>
      <c r="S42" s="775">
        <f t="shared" si="12"/>
        <v>100</v>
      </c>
      <c r="T42" s="774" t="s">
        <v>21</v>
      </c>
      <c r="U42" s="775">
        <f t="shared" si="13"/>
        <v>100</v>
      </c>
      <c r="V42" s="774" t="s">
        <v>21</v>
      </c>
      <c r="W42" s="775">
        <f t="shared" si="14"/>
        <v>100</v>
      </c>
      <c r="X42" s="1813"/>
      <c r="Y42" s="3180"/>
      <c r="Z42" s="1814" t="str">
        <f t="shared" si="18"/>
        <v>内部装修</v>
      </c>
      <c r="AA42" s="1811">
        <f t="shared" si="15"/>
        <v>1</v>
      </c>
      <c r="AB42" s="1811">
        <f t="shared" si="16"/>
        <v>1</v>
      </c>
      <c r="AC42" s="1811">
        <f t="shared" si="17"/>
        <v>1</v>
      </c>
    </row>
    <row r="43" spans="1:29" ht="15">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78"/>
      <c r="Q43" s="1810" t="str">
        <f t="shared" si="11"/>
        <v>内部装修维护情况</v>
      </c>
      <c r="R43" s="774" t="s">
        <v>21</v>
      </c>
      <c r="S43" s="775">
        <f t="shared" si="12"/>
        <v>100</v>
      </c>
      <c r="T43" s="774" t="s">
        <v>21</v>
      </c>
      <c r="U43" s="775">
        <f t="shared" si="13"/>
        <v>100</v>
      </c>
      <c r="V43" s="774" t="s">
        <v>21</v>
      </c>
      <c r="W43" s="775">
        <f t="shared" si="14"/>
        <v>100</v>
      </c>
      <c r="X43" s="1813"/>
      <c r="Y43" s="318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78"/>
      <c r="Q44" s="1795">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78"/>
      <c r="Q45" s="1810">
        <f t="shared" si="11"/>
        <v>111</v>
      </c>
      <c r="R45" s="774" t="s">
        <v>21</v>
      </c>
      <c r="S45" s="775">
        <f t="shared" si="12"/>
        <v>100</v>
      </c>
      <c r="T45" s="774" t="s">
        <v>21</v>
      </c>
      <c r="U45" s="775">
        <f t="shared" si="13"/>
        <v>100</v>
      </c>
      <c r="V45" s="774" t="s">
        <v>21</v>
      </c>
      <c r="W45" s="775">
        <f t="shared" si="14"/>
        <v>100</v>
      </c>
      <c r="X45" s="1813"/>
      <c r="Y45" s="3180"/>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79"/>
      <c r="Q46" s="1810">
        <f t="shared" si="11"/>
        <v>111</v>
      </c>
      <c r="R46" s="774" t="s">
        <v>20</v>
      </c>
      <c r="S46" s="775">
        <f t="shared" si="12"/>
        <v>100</v>
      </c>
      <c r="T46" s="774" t="s">
        <v>20</v>
      </c>
      <c r="U46" s="775">
        <f t="shared" si="13"/>
        <v>100</v>
      </c>
      <c r="V46" s="774" t="s">
        <v>20</v>
      </c>
      <c r="W46" s="775">
        <f t="shared" si="14"/>
        <v>100</v>
      </c>
      <c r="X46" s="1813"/>
      <c r="Y46" s="3181"/>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5"/>
      <c r="L47" s="1143"/>
      <c r="M47" s="1144"/>
      <c r="N47" s="1131"/>
      <c r="O47" s="1144"/>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6"/>
      <c r="L48" s="1143"/>
      <c r="M48" s="1144"/>
      <c r="N48" s="1144"/>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7"/>
      <c r="L49" s="1143"/>
      <c r="M49" s="1144"/>
      <c r="N49" s="1144"/>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30"/>
      <c r="Q57" s="504"/>
    </row>
    <row r="58" spans="1:29" s="508" customFormat="1" ht="15">
      <c r="A58" s="505" t="s">
        <v>2585</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2587</v>
      </c>
      <c r="B61" s="510"/>
      <c r="C61" s="522" t="s">
        <v>2588</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2589</v>
      </c>
      <c r="B63" s="528" t="s">
        <v>2555</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2611</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2612</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2564</v>
      </c>
      <c r="B100" s="528" t="s">
        <v>2613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2616</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2617</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2618</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2619</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2620</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4">
        <v>6</v>
      </c>
      <c r="C139" s="1085">
        <v>96</v>
      </c>
      <c r="D139" s="2652" t="s">
        <v>2632</v>
      </c>
      <c r="E139" s="1086">
        <v>100</v>
      </c>
      <c r="F139" s="1087">
        <v>102.5</v>
      </c>
      <c r="G139" s="2652" t="s">
        <v>2632</v>
      </c>
      <c r="H139" s="1088">
        <v>105</v>
      </c>
      <c r="I139" s="2653" t="s">
        <v>2633</v>
      </c>
      <c r="J139" s="1085">
        <v>20</v>
      </c>
      <c r="K139" s="1089">
        <f>C145/(J139-2)</f>
        <v>4.0555555555555553E-3</v>
      </c>
    </row>
    <row r="140" spans="1:17" ht="15">
      <c r="B140" s="1090">
        <v>5</v>
      </c>
      <c r="C140" s="1091">
        <v>100</v>
      </c>
      <c r="D140" s="1091"/>
      <c r="E140" s="1092"/>
      <c r="F140" s="1093">
        <v>102</v>
      </c>
      <c r="G140" s="1091"/>
      <c r="H140" s="1094"/>
      <c r="I140" s="2654" t="s">
        <v>2634</v>
      </c>
      <c r="J140" s="315">
        <f>ROUNDUP((J139-1)/2,0)</f>
        <v>10</v>
      </c>
      <c r="K140" s="1095">
        <v>100</v>
      </c>
    </row>
    <row r="141" spans="1:17" ht="15">
      <c r="B141" s="1090">
        <v>4</v>
      </c>
      <c r="C141" s="1091">
        <v>102</v>
      </c>
      <c r="D141" s="1091"/>
      <c r="E141" s="1092"/>
      <c r="F141" s="1093">
        <v>101.5</v>
      </c>
      <c r="G141" s="1091"/>
      <c r="H141" s="1094"/>
      <c r="I141" s="2654" t="s">
        <v>2635</v>
      </c>
      <c r="J141" s="315">
        <v>1</v>
      </c>
      <c r="K141" s="1096">
        <f>ROUND(100+(J141-J140)*K139*100,1)</f>
        <v>96.4</v>
      </c>
    </row>
    <row r="142" spans="1:17" ht="15">
      <c r="B142" s="1090">
        <v>3</v>
      </c>
      <c r="C142" s="1091">
        <v>103</v>
      </c>
      <c r="D142" s="1091"/>
      <c r="E142" s="1092"/>
      <c r="F142" s="1093">
        <v>101</v>
      </c>
      <c r="G142" s="1091"/>
      <c r="H142" s="1094"/>
      <c r="I142" s="2654" t="s">
        <v>2636</v>
      </c>
      <c r="J142" s="315">
        <f>J139</f>
        <v>20</v>
      </c>
      <c r="K142" s="1097">
        <v>95</v>
      </c>
    </row>
    <row r="143" spans="1:17" ht="15">
      <c r="B143" s="1090">
        <v>2</v>
      </c>
      <c r="C143" s="1091">
        <v>100</v>
      </c>
      <c r="D143" s="1091"/>
      <c r="E143" s="1092"/>
      <c r="F143" s="1093">
        <v>100.5</v>
      </c>
      <c r="G143" s="1091"/>
      <c r="H143" s="1094"/>
      <c r="I143" s="2654" t="s">
        <v>2637</v>
      </c>
      <c r="J143" s="1091">
        <v>15</v>
      </c>
      <c r="K143" s="1096">
        <f>ROUND(100+(J143-J140)*K139*100,1)</f>
        <v>102</v>
      </c>
    </row>
    <row r="144" spans="1:17" ht="15">
      <c r="B144" s="1090">
        <v>1</v>
      </c>
      <c r="C144" s="1091">
        <v>98</v>
      </c>
      <c r="D144" s="2655" t="s">
        <v>2638</v>
      </c>
      <c r="E144" s="1092">
        <v>102</v>
      </c>
      <c r="F144" s="1098">
        <v>100</v>
      </c>
      <c r="G144" s="2655" t="s">
        <v>2638</v>
      </c>
      <c r="H144" s="1094">
        <v>105</v>
      </c>
      <c r="I144" s="2654" t="s">
        <v>2637</v>
      </c>
      <c r="J144" s="1091">
        <v>18</v>
      </c>
      <c r="K144" s="1096">
        <f>ROUND(100+(J144-J140)*K139*100,1)</f>
        <v>103.2</v>
      </c>
    </row>
    <row r="145" spans="2:11" ht="15.75" thickBot="1">
      <c r="B145" s="2656" t="s">
        <v>2639</v>
      </c>
      <c r="C145" s="1099">
        <f>ROUND(MAX(C139:C144)/MIN(C139:C144)-1,3)</f>
        <v>7.2999999999999995E-2</v>
      </c>
      <c r="D145" s="1100"/>
      <c r="E145" s="1100"/>
      <c r="F145" s="2657" t="s">
        <v>2640</v>
      </c>
      <c r="G145" s="2658"/>
      <c r="H145" s="2659"/>
      <c r="I145" s="2660" t="s">
        <v>2637</v>
      </c>
      <c r="J145" s="1101">
        <v>8</v>
      </c>
      <c r="K145" s="1102">
        <f>ROUND(100+(J145-J140)*K139*100,1)</f>
        <v>99.2</v>
      </c>
    </row>
    <row r="147" spans="2:11">
      <c r="B147" s="2641" t="s">
        <v>2641</v>
      </c>
    </row>
    <row r="148" spans="2:11">
      <c r="B148" s="264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6" t="s">
        <v>2643</v>
      </c>
      <c r="C1" s="1634" t="s">
        <v>2531</v>
      </c>
      <c r="D1" s="1621"/>
      <c r="E1" s="2661"/>
      <c r="F1" s="2588"/>
      <c r="G1" s="1631" t="s">
        <v>2644</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2328</v>
      </c>
      <c r="B2" s="1418" t="e">
        <f ca="1">IF(C2="——",ROUND(C49*D3/10000,0),ROUND(C49*D3/10000,0)-D2)</f>
        <v>#DIV/0!</v>
      </c>
      <c r="C2" s="2590"/>
      <c r="D2" s="1365" t="e">
        <f ca="1">SUMIF(INDIRECT("'"&amp;F2&amp;"'"&amp;"!A:A"),"承租人权益价值",INDIRECT("'"&amp;F2&amp;"'"&amp;"!c:c"))</f>
        <v>#REF!</v>
      </c>
      <c r="E2" s="2591" t="s">
        <v>2329</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2330</v>
      </c>
      <c r="B3" s="609" t="e">
        <f ca="1">IF(C2="——",C49,ROUND(B2*10000/D3,0))</f>
        <v>#DIV/0!</v>
      </c>
      <c r="C3" s="400" t="s">
        <v>2645</v>
      </c>
      <c r="D3" s="399">
        <f>IF(D1="",'数据-汇总表'!E3,SUMIF('数据-汇总表'!$C19:$C33,D1,'数据-汇总表'!$E19:$E33))</f>
        <v>33427.47</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204"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204"/>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204"/>
      <c r="AC6" s="3187"/>
    </row>
    <row r="7" spans="1:29" s="117" customFormat="1" ht="15.75" thickBot="1">
      <c r="A7" s="408" t="s">
        <v>2549</v>
      </c>
      <c r="B7" s="409"/>
      <c r="C7" s="410">
        <f>'数据-取费表'!B2</f>
        <v>43608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71.25">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2561</v>
      </c>
      <c r="Q15" s="1810" t="str">
        <f t="shared" si="6"/>
        <v>商业繁华度</v>
      </c>
      <c r="R15" s="774" t="s">
        <v>17</v>
      </c>
      <c r="S15" s="775">
        <f t="shared" si="0"/>
        <v>100</v>
      </c>
      <c r="T15" s="774" t="s">
        <v>17</v>
      </c>
      <c r="U15" s="775">
        <f t="shared" si="1"/>
        <v>100</v>
      </c>
      <c r="V15" s="774" t="s">
        <v>17</v>
      </c>
      <c r="W15" s="775">
        <f t="shared" si="2"/>
        <v>100</v>
      </c>
      <c r="X15" s="1813"/>
      <c r="Y15" s="3175"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76"/>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76"/>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76"/>
      <c r="Z26" s="1814" t="str">
        <f>Q26</f>
        <v>平面位置/可视性</v>
      </c>
      <c r="AA26" s="1811">
        <f t="shared" si="3"/>
        <v>1</v>
      </c>
      <c r="AB26" s="1811">
        <f t="shared" si="4"/>
        <v>1</v>
      </c>
      <c r="AC26" s="1811">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76"/>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7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1811">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77" t="s">
        <v>2566</v>
      </c>
      <c r="Q32" s="1810" t="str">
        <f t="shared" si="11"/>
        <v>商业类型</v>
      </c>
      <c r="R32" s="774" t="s">
        <v>17</v>
      </c>
      <c r="S32" s="775">
        <f t="shared" si="12"/>
        <v>100</v>
      </c>
      <c r="T32" s="774" t="s">
        <v>17</v>
      </c>
      <c r="U32" s="775">
        <f t="shared" si="13"/>
        <v>100</v>
      </c>
      <c r="V32" s="774" t="s">
        <v>17</v>
      </c>
      <c r="W32" s="775">
        <f t="shared" si="14"/>
        <v>100</v>
      </c>
      <c r="X32" s="1813"/>
      <c r="Y32" s="3180"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1" t="e">
        <f t="shared" si="3"/>
        <v>#N/A</v>
      </c>
      <c r="AB33" s="1811" t="e">
        <f t="shared" si="4"/>
        <v>#N/A</v>
      </c>
      <c r="AC33" s="1811"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78"/>
      <c r="Q34" s="1810" t="str">
        <f t="shared" si="11"/>
        <v>建筑结构</v>
      </c>
      <c r="R34" s="774" t="s">
        <v>17</v>
      </c>
      <c r="S34" s="775">
        <f t="shared" si="12"/>
        <v>100</v>
      </c>
      <c r="T34" s="774" t="s">
        <v>17</v>
      </c>
      <c r="U34" s="775">
        <f t="shared" si="13"/>
        <v>100</v>
      </c>
      <c r="V34" s="774" t="s">
        <v>17</v>
      </c>
      <c r="W34" s="775">
        <f t="shared" si="14"/>
        <v>100</v>
      </c>
      <c r="X34" s="1813"/>
      <c r="Y34" s="3180"/>
      <c r="Z34" s="1814" t="str">
        <f t="shared" si="15"/>
        <v>建筑结构</v>
      </c>
      <c r="AA34" s="1811">
        <f t="shared" si="3"/>
        <v>1</v>
      </c>
      <c r="AB34" s="1811">
        <f t="shared" si="4"/>
        <v>1</v>
      </c>
      <c r="AC34" s="1811">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78"/>
      <c r="Q35" s="1810" t="str">
        <f t="shared" si="11"/>
        <v>公共部分装修</v>
      </c>
      <c r="R35" s="774" t="s">
        <v>17</v>
      </c>
      <c r="S35" s="775">
        <f t="shared" si="12"/>
        <v>100</v>
      </c>
      <c r="T35" s="774" t="s">
        <v>17</v>
      </c>
      <c r="U35" s="775">
        <f t="shared" si="13"/>
        <v>100</v>
      </c>
      <c r="V35" s="774" t="s">
        <v>17</v>
      </c>
      <c r="W35" s="775">
        <f t="shared" si="14"/>
        <v>100</v>
      </c>
      <c r="X35" s="1813"/>
      <c r="Y35" s="3180"/>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8"/>
      <c r="Q36" s="1810" t="str">
        <f t="shared" si="11"/>
        <v>成新度</v>
      </c>
      <c r="R36" s="774" t="s">
        <v>17</v>
      </c>
      <c r="S36" s="775" t="e">
        <f t="shared" si="12"/>
        <v>#N/A</v>
      </c>
      <c r="T36" s="774" t="s">
        <v>17</v>
      </c>
      <c r="U36" s="775" t="e">
        <f t="shared" si="13"/>
        <v>#N/A</v>
      </c>
      <c r="V36" s="774" t="s">
        <v>17</v>
      </c>
      <c r="W36" s="775" t="e">
        <f t="shared" si="14"/>
        <v>#N/A</v>
      </c>
      <c r="X36" s="1813"/>
      <c r="Y36" s="3180"/>
      <c r="Z36" s="1814" t="str">
        <f t="shared" si="15"/>
        <v>成新度</v>
      </c>
      <c r="AA36" s="1811" t="e">
        <f t="shared" si="3"/>
        <v>#N/A</v>
      </c>
      <c r="AB36" s="1811" t="e">
        <f t="shared" si="4"/>
        <v>#N/A</v>
      </c>
      <c r="AC36" s="1811"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78"/>
      <c r="Q37" s="1795"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78" t="s">
        <v>2566</v>
      </c>
      <c r="Q38" s="1810" t="str">
        <f t="shared" si="11"/>
        <v>业态</v>
      </c>
      <c r="R38" s="774" t="s">
        <v>17</v>
      </c>
      <c r="S38" s="775">
        <f t="shared" si="12"/>
        <v>100</v>
      </c>
      <c r="T38" s="774" t="s">
        <v>17</v>
      </c>
      <c r="U38" s="775">
        <f t="shared" si="13"/>
        <v>100</v>
      </c>
      <c r="V38" s="774" t="s">
        <v>17</v>
      </c>
      <c r="W38" s="775">
        <f t="shared" si="14"/>
        <v>100</v>
      </c>
      <c r="X38" s="1813"/>
      <c r="Y38" s="3180" t="s">
        <v>2566</v>
      </c>
      <c r="Z38" s="1814" t="str">
        <f t="shared" si="15"/>
        <v>业态</v>
      </c>
      <c r="AA38" s="1811">
        <f t="shared" si="3"/>
        <v>1</v>
      </c>
      <c r="AB38" s="1811">
        <f t="shared" si="4"/>
        <v>1</v>
      </c>
      <c r="AC38" s="1811">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78"/>
      <c r="Q39" s="1810" t="str">
        <f t="shared" si="11"/>
        <v>层高</v>
      </c>
      <c r="R39" s="774" t="s">
        <v>17</v>
      </c>
      <c r="S39" s="775">
        <f t="shared" si="12"/>
        <v>100</v>
      </c>
      <c r="T39" s="774" t="s">
        <v>17</v>
      </c>
      <c r="U39" s="775">
        <f t="shared" si="13"/>
        <v>100</v>
      </c>
      <c r="V39" s="774" t="s">
        <v>17</v>
      </c>
      <c r="W39" s="775">
        <f t="shared" si="14"/>
        <v>100</v>
      </c>
      <c r="X39" s="1813"/>
      <c r="Y39" s="3180"/>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8"/>
      <c r="Q40" s="1810" t="str">
        <f t="shared" si="11"/>
        <v>单套建筑面积</v>
      </c>
      <c r="R40" s="774" t="s">
        <v>17</v>
      </c>
      <c r="S40" s="775">
        <f t="shared" si="12"/>
        <v>100</v>
      </c>
      <c r="T40" s="774" t="s">
        <v>17</v>
      </c>
      <c r="U40" s="775">
        <f t="shared" si="13"/>
        <v>100</v>
      </c>
      <c r="V40" s="774" t="s">
        <v>17</v>
      </c>
      <c r="W40" s="775">
        <f t="shared" si="14"/>
        <v>100</v>
      </c>
      <c r="X40" s="1813"/>
      <c r="Y40" s="3180"/>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1">
        <f t="shared" si="3"/>
        <v>1</v>
      </c>
      <c r="AB41" s="1811">
        <f t="shared" si="4"/>
        <v>1</v>
      </c>
      <c r="AC41" s="1811">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78"/>
      <c r="Q42" s="1810" t="str">
        <f t="shared" si="11"/>
        <v>内部装修</v>
      </c>
      <c r="R42" s="774" t="s">
        <v>17</v>
      </c>
      <c r="S42" s="775">
        <f t="shared" si="12"/>
        <v>100</v>
      </c>
      <c r="T42" s="774" t="s">
        <v>17</v>
      </c>
      <c r="U42" s="775">
        <f t="shared" si="13"/>
        <v>100</v>
      </c>
      <c r="V42" s="774" t="s">
        <v>17</v>
      </c>
      <c r="W42" s="775">
        <f t="shared" si="14"/>
        <v>100</v>
      </c>
      <c r="X42" s="1813"/>
      <c r="Y42" s="3180"/>
      <c r="Z42" s="1814" t="str">
        <f t="shared" si="15"/>
        <v>内部装修</v>
      </c>
      <c r="AA42" s="1811">
        <f t="shared" si="3"/>
        <v>1</v>
      </c>
      <c r="AB42" s="1811">
        <f t="shared" si="4"/>
        <v>1</v>
      </c>
      <c r="AC42" s="1811">
        <f t="shared" si="5"/>
        <v>1</v>
      </c>
    </row>
    <row r="43" spans="1:29" ht="15">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78"/>
      <c r="Q43" s="1810" t="str">
        <f t="shared" si="11"/>
        <v>内部装修维护情况</v>
      </c>
      <c r="R43" s="774" t="s">
        <v>17</v>
      </c>
      <c r="S43" s="775">
        <f t="shared" si="12"/>
        <v>100</v>
      </c>
      <c r="T43" s="774" t="s">
        <v>17</v>
      </c>
      <c r="U43" s="775">
        <f t="shared" si="13"/>
        <v>100</v>
      </c>
      <c r="V43" s="774" t="s">
        <v>17</v>
      </c>
      <c r="W43" s="775">
        <f t="shared" si="14"/>
        <v>100</v>
      </c>
      <c r="X43" s="1813"/>
      <c r="Y43" s="31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8"/>
      <c r="Q44" s="1795">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8"/>
      <c r="Q45" s="1810">
        <f t="shared" si="11"/>
        <v>111</v>
      </c>
      <c r="R45" s="774" t="s">
        <v>17</v>
      </c>
      <c r="S45" s="775">
        <f t="shared" si="12"/>
        <v>100</v>
      </c>
      <c r="T45" s="774" t="s">
        <v>17</v>
      </c>
      <c r="U45" s="775">
        <f t="shared" si="13"/>
        <v>100</v>
      </c>
      <c r="V45" s="774" t="s">
        <v>17</v>
      </c>
      <c r="W45" s="775">
        <f t="shared" si="14"/>
        <v>100</v>
      </c>
      <c r="X45" s="1813"/>
      <c r="Y45" s="3180"/>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173" t="str">
        <f>A47</f>
        <v>成交单价（元/平方米）</v>
      </c>
      <c r="Q47" s="3173"/>
      <c r="R47" s="3204">
        <f>E47</f>
        <v>0</v>
      </c>
      <c r="S47" s="3204"/>
      <c r="T47" s="3204">
        <f>G47</f>
        <v>0</v>
      </c>
      <c r="U47" s="3204"/>
      <c r="V47" s="3204">
        <f>I47</f>
        <v>0</v>
      </c>
      <c r="W47" s="3204"/>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2549</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2551</v>
      </c>
      <c r="B61" s="510"/>
      <c r="C61" s="522" t="s">
        <v>2653</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2589</v>
      </c>
      <c r="B63" s="528" t="s">
        <v>2555</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2681</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2564</v>
      </c>
      <c r="B100" s="528" t="s">
        <v>2682</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2617</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2683</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2684</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2685</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3" t="s">
        <v>2687</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90"/>
      <c r="D2" s="1365"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33427.47</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222" t="s">
        <v>2652</v>
      </c>
      <c r="Q4" s="3223"/>
      <c r="R4" s="3226" t="s">
        <v>2648</v>
      </c>
      <c r="S4" s="3227"/>
      <c r="T4" s="3226" t="s">
        <v>2649</v>
      </c>
      <c r="U4" s="3227"/>
      <c r="V4" s="3228" t="s">
        <v>2650</v>
      </c>
      <c r="W4" s="3228"/>
      <c r="X4" s="2674"/>
      <c r="Y4" s="3226" t="s">
        <v>2652</v>
      </c>
      <c r="Z4" s="3227"/>
      <c r="AA4" s="3230" t="s">
        <v>2648</v>
      </c>
      <c r="AB4" s="3230" t="s">
        <v>2649</v>
      </c>
      <c r="AC4" s="3219" t="s">
        <v>2650</v>
      </c>
    </row>
    <row r="5" spans="1:29" ht="15">
      <c r="A5" s="404"/>
      <c r="B5" s="405"/>
      <c r="C5" s="3207" t="s">
        <v>2543</v>
      </c>
      <c r="D5" s="3208"/>
      <c r="E5" s="3214" t="s">
        <v>2544</v>
      </c>
      <c r="F5" s="3215"/>
      <c r="G5" s="3207" t="s">
        <v>2545</v>
      </c>
      <c r="H5" s="3208"/>
      <c r="I5" s="3207" t="s">
        <v>2546</v>
      </c>
      <c r="J5" s="3208"/>
      <c r="K5" s="610"/>
      <c r="L5" s="1130"/>
      <c r="M5" s="1131"/>
      <c r="N5" s="1131"/>
      <c r="O5" s="1131"/>
      <c r="P5" s="3224"/>
      <c r="Q5" s="3195"/>
      <c r="R5" s="3200"/>
      <c r="S5" s="3201"/>
      <c r="T5" s="3200"/>
      <c r="U5" s="3201"/>
      <c r="V5" s="3204"/>
      <c r="W5" s="3204"/>
      <c r="X5" s="1813"/>
      <c r="Y5" s="3200"/>
      <c r="Z5" s="3201"/>
      <c r="AA5" s="3186"/>
      <c r="AB5" s="3186"/>
      <c r="AC5" s="3220"/>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225"/>
      <c r="Q6" s="3197"/>
      <c r="R6" s="3200"/>
      <c r="S6" s="3201"/>
      <c r="T6" s="3202"/>
      <c r="U6" s="3203"/>
      <c r="V6" s="3204"/>
      <c r="W6" s="3204"/>
      <c r="X6" s="1813"/>
      <c r="Y6" s="3202"/>
      <c r="Z6" s="3203"/>
      <c r="AA6" s="3187"/>
      <c r="AB6" s="3187"/>
      <c r="AC6" s="3221"/>
    </row>
    <row r="7" spans="1:29" s="117" customFormat="1" ht="15.75" thickBot="1">
      <c r="A7" s="408" t="s">
        <v>2549</v>
      </c>
      <c r="B7" s="409"/>
      <c r="C7" s="410">
        <f>'数据-取费表'!B2</f>
        <v>43608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2675"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2553</v>
      </c>
      <c r="Q8" s="3210"/>
      <c r="R8" s="770" t="s">
        <v>17</v>
      </c>
      <c r="S8" s="771">
        <f t="shared" si="0"/>
        <v>0</v>
      </c>
      <c r="T8" s="770" t="s">
        <v>17</v>
      </c>
      <c r="U8" s="771">
        <f t="shared" si="1"/>
        <v>0</v>
      </c>
      <c r="V8" s="770" t="s">
        <v>17</v>
      </c>
      <c r="W8" s="771">
        <f t="shared" si="2"/>
        <v>0</v>
      </c>
      <c r="X8" s="772"/>
      <c r="Y8" s="3209" t="s">
        <v>2553</v>
      </c>
      <c r="Z8" s="3210"/>
      <c r="AA8" s="773" t="e">
        <f t="shared" ref="AA8:AA47" si="3">D8/F8</f>
        <v>#DIV/0!</v>
      </c>
      <c r="AB8" s="773" t="e">
        <f t="shared" ref="AB8:AB47" si="4">D8/H8</f>
        <v>#DIV/0!</v>
      </c>
      <c r="AC8" s="2675"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2675">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5">
        <f t="shared" si="5"/>
        <v>1</v>
      </c>
    </row>
    <row r="15" spans="1:29" ht="71.25">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2" t="s">
        <v>2561</v>
      </c>
      <c r="Q15" s="1810" t="str">
        <f t="shared" si="6"/>
        <v>办公集聚程度</v>
      </c>
      <c r="R15" s="774" t="s">
        <v>17</v>
      </c>
      <c r="S15" s="775">
        <f t="shared" si="0"/>
        <v>100</v>
      </c>
      <c r="T15" s="774" t="s">
        <v>17</v>
      </c>
      <c r="U15" s="775">
        <f t="shared" si="1"/>
        <v>100</v>
      </c>
      <c r="V15" s="774" t="s">
        <v>17</v>
      </c>
      <c r="W15" s="775">
        <f t="shared" si="2"/>
        <v>100</v>
      </c>
      <c r="X15" s="1813"/>
      <c r="Y15" s="3175" t="s">
        <v>2561</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183"/>
      <c r="Q18" s="1810"/>
      <c r="R18" s="774"/>
      <c r="S18" s="775"/>
      <c r="T18" s="774"/>
      <c r="U18" s="775"/>
      <c r="V18" s="774"/>
      <c r="W18" s="775"/>
      <c r="X18" s="1813"/>
      <c r="Y18" s="3176"/>
      <c r="Z18" s="1814"/>
      <c r="AA18" s="1811">
        <v>1</v>
      </c>
      <c r="AB18" s="1811">
        <v>1</v>
      </c>
      <c r="AC18" s="2678">
        <v>1</v>
      </c>
    </row>
    <row r="19" spans="1:29" ht="42.75">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183"/>
      <c r="Q20" s="1810"/>
      <c r="R20" s="774"/>
      <c r="S20" s="775"/>
      <c r="T20" s="774"/>
      <c r="U20" s="775"/>
      <c r="V20" s="774"/>
      <c r="W20" s="775"/>
      <c r="X20" s="1813"/>
      <c r="Y20" s="3176"/>
      <c r="Z20" s="1814"/>
      <c r="AA20" s="1811">
        <v>1</v>
      </c>
      <c r="AB20" s="1811">
        <v>1</v>
      </c>
      <c r="AC20" s="2678">
        <v>1</v>
      </c>
    </row>
    <row r="21" spans="1:29" ht="28.5">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183"/>
      <c r="Q22" s="1810"/>
      <c r="R22" s="774"/>
      <c r="S22" s="775"/>
      <c r="T22" s="774"/>
      <c r="U22" s="775"/>
      <c r="V22" s="774"/>
      <c r="W22" s="775"/>
      <c r="X22" s="1813"/>
      <c r="Y22" s="3176"/>
      <c r="Z22" s="1814"/>
      <c r="AA22" s="1811">
        <v>1</v>
      </c>
      <c r="AB22" s="1811">
        <v>1</v>
      </c>
      <c r="AC22" s="2678">
        <v>1</v>
      </c>
    </row>
    <row r="23" spans="1:29" ht="42.75">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3"/>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183"/>
      <c r="Q24" s="1810"/>
      <c r="R24" s="774"/>
      <c r="S24" s="775"/>
      <c r="T24" s="774"/>
      <c r="U24" s="775"/>
      <c r="V24" s="774"/>
      <c r="W24" s="775"/>
      <c r="X24" s="1813"/>
      <c r="Y24" s="3176"/>
      <c r="Z24" s="1814"/>
      <c r="AA24" s="1811">
        <v>1</v>
      </c>
      <c r="AB24" s="1811">
        <v>1</v>
      </c>
      <c r="AC24" s="2678">
        <v>1</v>
      </c>
    </row>
    <row r="25" spans="1:29" ht="27">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76"/>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183"/>
      <c r="Q26" s="1810"/>
      <c r="R26" s="774"/>
      <c r="S26" s="775"/>
      <c r="T26" s="774"/>
      <c r="U26" s="775"/>
      <c r="V26" s="774"/>
      <c r="W26" s="775"/>
      <c r="X26" s="1813"/>
      <c r="Y26" s="3176"/>
      <c r="Z26" s="1814"/>
      <c r="AA26" s="1811">
        <v>1</v>
      </c>
      <c r="AB26" s="1811">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76"/>
      <c r="Z27" s="1814" t="str">
        <f>Q27</f>
        <v>楼层</v>
      </c>
      <c r="AA27" s="1811">
        <f t="shared" si="3"/>
        <v>1</v>
      </c>
      <c r="AB27" s="1811">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183"/>
      <c r="Q28" s="1795" t="str">
        <f t="shared" si="11"/>
        <v>朝向</v>
      </c>
      <c r="R28" s="770" t="s">
        <v>17</v>
      </c>
      <c r="S28" s="771">
        <f>F28</f>
        <v>100</v>
      </c>
      <c r="T28" s="770" t="s">
        <v>17</v>
      </c>
      <c r="U28" s="771">
        <f>H28</f>
        <v>100</v>
      </c>
      <c r="V28" s="770" t="s">
        <v>17</v>
      </c>
      <c r="W28" s="771">
        <f>J28</f>
        <v>100</v>
      </c>
      <c r="X28" s="772"/>
      <c r="Y28" s="3176"/>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183"/>
      <c r="Q29" s="1810">
        <f t="shared" si="11"/>
        <v>111</v>
      </c>
      <c r="R29" s="774" t="s">
        <v>17</v>
      </c>
      <c r="S29" s="775">
        <f t="shared" ref="S29:S47" si="12">F29</f>
        <v>100</v>
      </c>
      <c r="T29" s="774" t="s">
        <v>17</v>
      </c>
      <c r="U29" s="775">
        <f t="shared" ref="U29:U47" si="13">H29</f>
        <v>100</v>
      </c>
      <c r="V29" s="774" t="s">
        <v>17</v>
      </c>
      <c r="W29" s="775">
        <f t="shared" ref="W29:W47" si="14">J29</f>
        <v>100</v>
      </c>
      <c r="X29" s="1813"/>
      <c r="Y29" s="3176"/>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183"/>
      <c r="Q32" s="1810">
        <f t="shared" si="11"/>
        <v>111</v>
      </c>
      <c r="R32" s="774" t="s">
        <v>17</v>
      </c>
      <c r="S32" s="775">
        <f t="shared" si="12"/>
        <v>100</v>
      </c>
      <c r="T32" s="774" t="s">
        <v>17</v>
      </c>
      <c r="U32" s="775">
        <f t="shared" si="13"/>
        <v>100</v>
      </c>
      <c r="V32" s="774" t="s">
        <v>17</v>
      </c>
      <c r="W32" s="775">
        <f t="shared" si="14"/>
        <v>100</v>
      </c>
      <c r="X32" s="1813"/>
      <c r="Y32" s="3176"/>
      <c r="Z32" s="1814">
        <f t="shared" si="15"/>
        <v>111</v>
      </c>
      <c r="AA32" s="1811">
        <f t="shared" si="3"/>
        <v>1</v>
      </c>
      <c r="AB32" s="1811">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77" t="s">
        <v>2566</v>
      </c>
      <c r="Q33" s="1810" t="str">
        <f t="shared" si="11"/>
        <v>建筑类型</v>
      </c>
      <c r="R33" s="774" t="s">
        <v>17</v>
      </c>
      <c r="S33" s="775">
        <f t="shared" si="12"/>
        <v>100</v>
      </c>
      <c r="T33" s="774" t="s">
        <v>17</v>
      </c>
      <c r="U33" s="775">
        <f t="shared" si="13"/>
        <v>100</v>
      </c>
      <c r="V33" s="774" t="s">
        <v>17</v>
      </c>
      <c r="W33" s="775">
        <f t="shared" si="14"/>
        <v>100</v>
      </c>
      <c r="X33" s="1813"/>
      <c r="Y33" s="3180" t="s">
        <v>2566</v>
      </c>
      <c r="Z33" s="1814" t="str">
        <f t="shared" si="15"/>
        <v>建筑类型</v>
      </c>
      <c r="AA33" s="1811">
        <f t="shared" si="3"/>
        <v>1</v>
      </c>
      <c r="AB33" s="1811">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8"/>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1" t="e">
        <f t="shared" si="3"/>
        <v>#N/A</v>
      </c>
      <c r="AB34" s="1811"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8"/>
      <c r="Q35" s="1810" t="str">
        <f t="shared" si="11"/>
        <v>建筑结构</v>
      </c>
      <c r="R35" s="774" t="s">
        <v>17</v>
      </c>
      <c r="S35" s="775">
        <f t="shared" si="12"/>
        <v>100</v>
      </c>
      <c r="T35" s="774" t="s">
        <v>17</v>
      </c>
      <c r="U35" s="775">
        <f t="shared" si="13"/>
        <v>100</v>
      </c>
      <c r="V35" s="774" t="s">
        <v>17</v>
      </c>
      <c r="W35" s="775">
        <f t="shared" si="14"/>
        <v>100</v>
      </c>
      <c r="X35" s="1813"/>
      <c r="Y35" s="3180"/>
      <c r="Z35" s="1814" t="str">
        <f t="shared" si="15"/>
        <v>建筑结构</v>
      </c>
      <c r="AA35" s="1811">
        <f t="shared" si="3"/>
        <v>1</v>
      </c>
      <c r="AB35" s="1811">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8"/>
      <c r="Q36" s="1810" t="str">
        <f t="shared" si="11"/>
        <v>公共部分装修</v>
      </c>
      <c r="R36" s="774" t="s">
        <v>17</v>
      </c>
      <c r="S36" s="775">
        <f t="shared" si="12"/>
        <v>100</v>
      </c>
      <c r="T36" s="774" t="s">
        <v>17</v>
      </c>
      <c r="U36" s="775">
        <f t="shared" si="13"/>
        <v>100</v>
      </c>
      <c r="V36" s="774" t="s">
        <v>17</v>
      </c>
      <c r="W36" s="775">
        <f t="shared" si="14"/>
        <v>100</v>
      </c>
      <c r="X36" s="1813"/>
      <c r="Y36" s="3180"/>
      <c r="Z36" s="1814" t="str">
        <f t="shared" si="15"/>
        <v>公共部分装修</v>
      </c>
      <c r="AA36" s="1811">
        <f t="shared" si="3"/>
        <v>1</v>
      </c>
      <c r="AB36" s="1811">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8"/>
      <c r="Q37" s="1810" t="str">
        <f t="shared" si="11"/>
        <v>成新度</v>
      </c>
      <c r="R37" s="774" t="s">
        <v>17</v>
      </c>
      <c r="S37" s="775" t="e">
        <f t="shared" si="12"/>
        <v>#N/A</v>
      </c>
      <c r="T37" s="774" t="s">
        <v>17</v>
      </c>
      <c r="U37" s="775" t="e">
        <f t="shared" si="13"/>
        <v>#N/A</v>
      </c>
      <c r="V37" s="774" t="s">
        <v>17</v>
      </c>
      <c r="W37" s="775" t="e">
        <f t="shared" si="14"/>
        <v>#N/A</v>
      </c>
      <c r="X37" s="1813"/>
      <c r="Y37" s="3180"/>
      <c r="Z37" s="1814" t="str">
        <f t="shared" si="15"/>
        <v>成新度</v>
      </c>
      <c r="AA37" s="1811" t="e">
        <f t="shared" si="3"/>
        <v>#N/A</v>
      </c>
      <c r="AB37" s="1811"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8"/>
      <c r="Q38" s="1795"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8" t="s">
        <v>2566</v>
      </c>
      <c r="Q39" s="1810" t="str">
        <f t="shared" si="11"/>
        <v>物业管理</v>
      </c>
      <c r="R39" s="774" t="s">
        <v>17</v>
      </c>
      <c r="S39" s="775">
        <f t="shared" si="12"/>
        <v>100</v>
      </c>
      <c r="T39" s="774" t="s">
        <v>17</v>
      </c>
      <c r="U39" s="775">
        <f t="shared" si="13"/>
        <v>100</v>
      </c>
      <c r="V39" s="774" t="s">
        <v>17</v>
      </c>
      <c r="W39" s="775">
        <f t="shared" si="14"/>
        <v>100</v>
      </c>
      <c r="X39" s="1813"/>
      <c r="Y39" s="3180" t="s">
        <v>2566</v>
      </c>
      <c r="Z39" s="1814" t="str">
        <f t="shared" si="15"/>
        <v>物业管理</v>
      </c>
      <c r="AA39" s="1811">
        <f t="shared" si="3"/>
        <v>1</v>
      </c>
      <c r="AB39" s="1811">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8"/>
      <c r="Q40" s="1810" t="str">
        <f t="shared" si="11"/>
        <v>市政基础设施</v>
      </c>
      <c r="R40" s="774" t="s">
        <v>17</v>
      </c>
      <c r="S40" s="775">
        <f t="shared" si="12"/>
        <v>100</v>
      </c>
      <c r="T40" s="774" t="s">
        <v>17</v>
      </c>
      <c r="U40" s="775">
        <f t="shared" si="13"/>
        <v>100</v>
      </c>
      <c r="V40" s="774" t="s">
        <v>17</v>
      </c>
      <c r="W40" s="775">
        <f t="shared" si="14"/>
        <v>100</v>
      </c>
      <c r="X40" s="1813"/>
      <c r="Y40" s="3180"/>
      <c r="Z40" s="1814" t="str">
        <f t="shared" si="15"/>
        <v>市政基础设施</v>
      </c>
      <c r="AA40" s="1811">
        <f t="shared" si="3"/>
        <v>1</v>
      </c>
      <c r="AB40" s="1811">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8"/>
      <c r="Q41" s="1810" t="str">
        <f t="shared" si="11"/>
        <v>层高</v>
      </c>
      <c r="R41" s="774" t="s">
        <v>17</v>
      </c>
      <c r="S41" s="775">
        <f t="shared" si="12"/>
        <v>100</v>
      </c>
      <c r="T41" s="774" t="s">
        <v>17</v>
      </c>
      <c r="U41" s="775">
        <f t="shared" si="13"/>
        <v>100</v>
      </c>
      <c r="V41" s="774" t="s">
        <v>17</v>
      </c>
      <c r="W41" s="775">
        <f t="shared" si="14"/>
        <v>100</v>
      </c>
      <c r="X41" s="1813"/>
      <c r="Y41" s="3180"/>
      <c r="Z41" s="1814" t="str">
        <f t="shared" si="15"/>
        <v>层高</v>
      </c>
      <c r="AA41" s="1811">
        <f t="shared" si="3"/>
        <v>1</v>
      </c>
      <c r="AB41" s="1811">
        <f t="shared" si="4"/>
        <v>1</v>
      </c>
      <c r="AC41" s="2678">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1">
        <f t="shared" si="3"/>
        <v>1</v>
      </c>
      <c r="AB42" s="1811">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8"/>
      <c r="Q43" s="1810" t="str">
        <f t="shared" si="11"/>
        <v>内部装修</v>
      </c>
      <c r="R43" s="774" t="s">
        <v>17</v>
      </c>
      <c r="S43" s="775">
        <f t="shared" si="12"/>
        <v>100</v>
      </c>
      <c r="T43" s="774" t="s">
        <v>17</v>
      </c>
      <c r="U43" s="775">
        <f t="shared" si="13"/>
        <v>100</v>
      </c>
      <c r="V43" s="774" t="s">
        <v>17</v>
      </c>
      <c r="W43" s="775">
        <f t="shared" si="14"/>
        <v>100</v>
      </c>
      <c r="X43" s="1813"/>
      <c r="Y43" s="3180"/>
      <c r="Z43" s="1814" t="str">
        <f t="shared" si="15"/>
        <v>内部装修</v>
      </c>
      <c r="AA43" s="1811">
        <f t="shared" si="3"/>
        <v>1</v>
      </c>
      <c r="AB43" s="1811">
        <f t="shared" si="4"/>
        <v>1</v>
      </c>
      <c r="AC43" s="2678">
        <f t="shared" si="5"/>
        <v>1</v>
      </c>
    </row>
    <row r="44" spans="1:29" ht="15">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78"/>
      <c r="Q44" s="1810" t="str">
        <f t="shared" si="11"/>
        <v>内部装修维护情况</v>
      </c>
      <c r="R44" s="774" t="s">
        <v>17</v>
      </c>
      <c r="S44" s="775">
        <f t="shared" si="12"/>
        <v>100</v>
      </c>
      <c r="T44" s="774" t="s">
        <v>17</v>
      </c>
      <c r="U44" s="775">
        <f t="shared" si="13"/>
        <v>100</v>
      </c>
      <c r="V44" s="774" t="s">
        <v>17</v>
      </c>
      <c r="W44" s="775">
        <f t="shared" si="14"/>
        <v>100</v>
      </c>
      <c r="X44" s="1813"/>
      <c r="Y44" s="3180"/>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8"/>
      <c r="Q45" s="1795">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9"/>
      <c r="Q47" s="1810">
        <f t="shared" si="11"/>
        <v>111</v>
      </c>
      <c r="R47" s="774" t="s">
        <v>17</v>
      </c>
      <c r="S47" s="775">
        <f t="shared" si="12"/>
        <v>100</v>
      </c>
      <c r="T47" s="774" t="s">
        <v>17</v>
      </c>
      <c r="U47" s="775">
        <f t="shared" si="13"/>
        <v>100</v>
      </c>
      <c r="V47" s="774" t="s">
        <v>17</v>
      </c>
      <c r="W47" s="775">
        <f t="shared" si="14"/>
        <v>100</v>
      </c>
      <c r="X47" s="1813"/>
      <c r="Y47" s="3181"/>
      <c r="Z47" s="1814">
        <f t="shared" si="15"/>
        <v>111</v>
      </c>
      <c r="AA47" s="1811">
        <f t="shared" si="3"/>
        <v>1</v>
      </c>
      <c r="AB47" s="1811">
        <f t="shared" si="4"/>
        <v>1</v>
      </c>
      <c r="AC47" s="2678">
        <f t="shared" si="5"/>
        <v>1</v>
      </c>
    </row>
    <row r="48" spans="1:29" ht="15">
      <c r="A48" s="479" t="s">
        <v>2578</v>
      </c>
      <c r="B48" s="480"/>
      <c r="C48" s="1407" t="s">
        <v>1</v>
      </c>
      <c r="D48" s="1408"/>
      <c r="E48" s="1409"/>
      <c r="F48" s="1410"/>
      <c r="G48" s="1411"/>
      <c r="H48" s="1412"/>
      <c r="I48" s="1409"/>
      <c r="J48" s="485"/>
      <c r="K48" s="783"/>
      <c r="L48" s="1143"/>
      <c r="M48" s="1131"/>
      <c r="N48" s="1131"/>
      <c r="O48" s="1131"/>
      <c r="P48" s="3184" t="str">
        <f>A48</f>
        <v>成交单价（元/平方米）</v>
      </c>
      <c r="Q48" s="3173"/>
      <c r="R48" s="3174">
        <f>E48</f>
        <v>0</v>
      </c>
      <c r="S48" s="3174"/>
      <c r="T48" s="3174">
        <f>G48</f>
        <v>0</v>
      </c>
      <c r="U48" s="3174"/>
      <c r="V48" s="3174">
        <f>I48</f>
        <v>0</v>
      </c>
      <c r="W48" s="3174"/>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16" t="str">
        <f>A50</f>
        <v>估价对象XX用房的比较价值（楼面单价，元/平方米）</v>
      </c>
      <c r="Q50" s="3217"/>
      <c r="R50" s="3218" t="e">
        <f>IF(F1="售价",ROUND(AVERAGE(R49:V49),0),ROUND(AVERAGE(R49:V49),1))</f>
        <v>#DIV/0!</v>
      </c>
      <c r="S50" s="3218"/>
      <c r="T50" s="3218"/>
      <c r="U50" s="3218"/>
      <c r="V50" s="3218"/>
      <c r="W50" s="3218"/>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5"/>
      <c r="Q58" s="504"/>
    </row>
    <row r="59" spans="1:29" s="508" customFormat="1" ht="15">
      <c r="A59" s="505" t="s">
        <v>2549</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2586</v>
      </c>
      <c r="B61" s="516"/>
      <c r="C61" s="517"/>
      <c r="D61" s="518"/>
      <c r="E61" s="518"/>
      <c r="F61" s="518"/>
      <c r="G61" s="518"/>
      <c r="H61" s="518"/>
      <c r="I61" s="518"/>
      <c r="J61" s="518"/>
      <c r="K61" s="518"/>
      <c r="L61" s="518"/>
      <c r="M61" s="519"/>
      <c r="N61" s="518"/>
      <c r="O61" s="519"/>
      <c r="P61" s="2686"/>
      <c r="Q61" s="504"/>
    </row>
    <row r="62" spans="1:29" s="117" customFormat="1" ht="15">
      <c r="A62" s="521" t="s">
        <v>2551</v>
      </c>
      <c r="B62" s="510"/>
      <c r="C62" s="522" t="s">
        <v>2653</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2589</v>
      </c>
      <c r="B64" s="528" t="s">
        <v>2555</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2700</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2564</v>
      </c>
      <c r="B101" s="528" t="s">
        <v>2613</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2615</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2617</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2618</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2619</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2702</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2621</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估价对象为房地产，为所有。根据《国有土地使用证》[]，估价对象（分摊）出让国有建设用地使用权面积为0平方米，建筑面积为33427.47平方米。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估价对象为房地产,属开发建设的，该项目尚在开发建设中。根据《国有土地使用证》[]，估价对象（分摊）出让国有建设用地使用权面积为0平方米，规划建筑面积为33427.47平方米。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2019年5月23日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3" t="s">
        <v>2703</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90"/>
      <c r="D2" s="1124"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33427.47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43608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3"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2561</v>
      </c>
      <c r="Q15" s="1810" t="str">
        <f t="shared" si="6"/>
        <v>产业集聚程度</v>
      </c>
      <c r="R15" s="774" t="s">
        <v>17</v>
      </c>
      <c r="S15" s="775">
        <f t="shared" si="0"/>
        <v>100</v>
      </c>
      <c r="T15" s="774" t="s">
        <v>17</v>
      </c>
      <c r="U15" s="775">
        <f t="shared" si="1"/>
        <v>100</v>
      </c>
      <c r="V15" s="774" t="s">
        <v>17</v>
      </c>
      <c r="W15" s="775">
        <f t="shared" si="2"/>
        <v>100</v>
      </c>
      <c r="X15" s="1813"/>
      <c r="Y15" s="3175"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76"/>
      <c r="Q18" s="1810"/>
      <c r="R18" s="774"/>
      <c r="S18" s="775"/>
      <c r="T18" s="774"/>
      <c r="U18" s="775"/>
      <c r="V18" s="774"/>
      <c r="W18" s="775"/>
      <c r="X18" s="1813"/>
      <c r="Y18" s="3176"/>
      <c r="Z18" s="1814"/>
      <c r="AA18" s="1811">
        <v>1</v>
      </c>
      <c r="AB18" s="1811">
        <v>1</v>
      </c>
      <c r="AC18" s="1811">
        <v>1</v>
      </c>
    </row>
    <row r="19" spans="1:29" ht="42.75">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76"/>
      <c r="Q20" s="1810"/>
      <c r="R20" s="774"/>
      <c r="S20" s="775"/>
      <c r="T20" s="774"/>
      <c r="U20" s="775"/>
      <c r="V20" s="774"/>
      <c r="W20" s="775"/>
      <c r="X20" s="1813"/>
      <c r="Y20" s="3176"/>
      <c r="Z20" s="1814"/>
      <c r="AA20" s="1811">
        <v>1</v>
      </c>
      <c r="AB20" s="1811">
        <v>1</v>
      </c>
      <c r="AC20" s="1811">
        <v>1</v>
      </c>
    </row>
    <row r="21" spans="1:29" ht="28.5">
      <c r="A21" s="428"/>
      <c r="B21" s="1384"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76"/>
      <c r="Q22" s="1810"/>
      <c r="R22" s="774"/>
      <c r="S22" s="775"/>
      <c r="T22" s="774"/>
      <c r="U22" s="775"/>
      <c r="V22" s="774"/>
      <c r="W22" s="775"/>
      <c r="X22" s="1813"/>
      <c r="Y22" s="3176"/>
      <c r="Z22" s="1814"/>
      <c r="AA22" s="1811">
        <v>1</v>
      </c>
      <c r="AB22" s="1811">
        <v>1</v>
      </c>
      <c r="AC22" s="1811">
        <v>1</v>
      </c>
    </row>
    <row r="23" spans="1:29" ht="71.25">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76"/>
      <c r="Q24" s="1810"/>
      <c r="R24" s="774"/>
      <c r="S24" s="775"/>
      <c r="T24" s="774"/>
      <c r="U24" s="775"/>
      <c r="V24" s="774"/>
      <c r="W24" s="775"/>
      <c r="X24" s="1813"/>
      <c r="Y24" s="317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10">
        <f>B25</f>
        <v>111</v>
      </c>
      <c r="R25" s="774" t="s">
        <v>17</v>
      </c>
      <c r="S25" s="775">
        <f>F25</f>
        <v>100</v>
      </c>
      <c r="T25" s="774" t="s">
        <v>17</v>
      </c>
      <c r="U25" s="775">
        <f>H25</f>
        <v>100</v>
      </c>
      <c r="V25" s="774" t="s">
        <v>17</v>
      </c>
      <c r="W25" s="775">
        <f>J25</f>
        <v>100</v>
      </c>
      <c r="X25" s="1813"/>
      <c r="Y25" s="317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10">
        <f t="shared" ref="Q26:Q40" si="11">B26</f>
        <v>111</v>
      </c>
      <c r="R26" s="774" t="s">
        <v>17</v>
      </c>
      <c r="S26" s="775">
        <f>F26</f>
        <v>100</v>
      </c>
      <c r="T26" s="774" t="s">
        <v>17</v>
      </c>
      <c r="U26" s="775">
        <f>H26</f>
        <v>100</v>
      </c>
      <c r="V26" s="774" t="s">
        <v>17</v>
      </c>
      <c r="W26" s="775">
        <f>J26</f>
        <v>100</v>
      </c>
      <c r="X26" s="1813"/>
      <c r="Y26" s="317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5">
        <f t="shared" si="11"/>
        <v>111</v>
      </c>
      <c r="R27" s="770" t="s">
        <v>17</v>
      </c>
      <c r="S27" s="771">
        <f>F27</f>
        <v>100</v>
      </c>
      <c r="T27" s="770" t="s">
        <v>17</v>
      </c>
      <c r="U27" s="771">
        <f>H27</f>
        <v>100</v>
      </c>
      <c r="V27" s="770" t="s">
        <v>17</v>
      </c>
      <c r="W27" s="771">
        <f>J27</f>
        <v>100</v>
      </c>
      <c r="X27" s="772"/>
      <c r="Y27" s="317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10">
        <f t="shared" si="11"/>
        <v>111</v>
      </c>
      <c r="R28" s="774" t="s">
        <v>17</v>
      </c>
      <c r="S28" s="775">
        <f t="shared" ref="S28:S40" si="12">F28</f>
        <v>100</v>
      </c>
      <c r="T28" s="774" t="s">
        <v>17</v>
      </c>
      <c r="U28" s="775">
        <f t="shared" ref="U28:U40" si="13">H28</f>
        <v>100</v>
      </c>
      <c r="V28" s="774" t="s">
        <v>17</v>
      </c>
      <c r="W28" s="775">
        <f t="shared" ref="W28:W40" si="14">J28</f>
        <v>100</v>
      </c>
      <c r="X28" s="1813"/>
      <c r="Y28" s="3176"/>
      <c r="Z28" s="1814">
        <f t="shared" ref="Z28:Z40" si="15">Q28</f>
        <v>111</v>
      </c>
      <c r="AA28" s="1811">
        <f t="shared" si="3"/>
        <v>1</v>
      </c>
      <c r="AB28" s="1811">
        <f t="shared" si="4"/>
        <v>1</v>
      </c>
      <c r="AC28" s="1811">
        <f t="shared" si="5"/>
        <v>1</v>
      </c>
    </row>
    <row r="29" spans="1:29" ht="28.5">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31" t="s">
        <v>2566</v>
      </c>
      <c r="Q29" s="1810" t="str">
        <f t="shared" si="11"/>
        <v>建筑类型</v>
      </c>
      <c r="R29" s="774" t="s">
        <v>17</v>
      </c>
      <c r="S29" s="775">
        <f t="shared" si="12"/>
        <v>100</v>
      </c>
      <c r="T29" s="774" t="s">
        <v>17</v>
      </c>
      <c r="U29" s="775">
        <f t="shared" si="13"/>
        <v>100</v>
      </c>
      <c r="V29" s="774" t="s">
        <v>17</v>
      </c>
      <c r="W29" s="775">
        <f t="shared" si="14"/>
        <v>100</v>
      </c>
      <c r="X29" s="1813"/>
      <c r="Y29" s="3180"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10" t="str">
        <f t="shared" si="11"/>
        <v>建筑结构</v>
      </c>
      <c r="R31" s="774" t="s">
        <v>17</v>
      </c>
      <c r="S31" s="775">
        <f t="shared" si="12"/>
        <v>100</v>
      </c>
      <c r="T31" s="774" t="s">
        <v>17</v>
      </c>
      <c r="U31" s="775">
        <f t="shared" si="13"/>
        <v>100</v>
      </c>
      <c r="V31" s="774" t="s">
        <v>17</v>
      </c>
      <c r="W31" s="775">
        <f t="shared" si="14"/>
        <v>100</v>
      </c>
      <c r="X31" s="1813"/>
      <c r="Y31" s="3180"/>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10" t="str">
        <f t="shared" si="11"/>
        <v>公共部分装修</v>
      </c>
      <c r="R32" s="774" t="s">
        <v>17</v>
      </c>
      <c r="S32" s="775">
        <f t="shared" si="12"/>
        <v>100</v>
      </c>
      <c r="T32" s="774" t="s">
        <v>17</v>
      </c>
      <c r="U32" s="775">
        <f t="shared" si="13"/>
        <v>100</v>
      </c>
      <c r="V32" s="774" t="s">
        <v>17</v>
      </c>
      <c r="W32" s="775">
        <f t="shared" si="14"/>
        <v>100</v>
      </c>
      <c r="X32" s="1813"/>
      <c r="Y32" s="3180"/>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10" t="str">
        <f t="shared" si="11"/>
        <v>成新度</v>
      </c>
      <c r="R33" s="774" t="s">
        <v>17</v>
      </c>
      <c r="S33" s="775" t="e">
        <f t="shared" si="12"/>
        <v>#N/A</v>
      </c>
      <c r="T33" s="774" t="s">
        <v>17</v>
      </c>
      <c r="U33" s="775" t="e">
        <f t="shared" si="13"/>
        <v>#N/A</v>
      </c>
      <c r="V33" s="774" t="s">
        <v>17</v>
      </c>
      <c r="W33" s="775" t="e">
        <f t="shared" si="14"/>
        <v>#N/A</v>
      </c>
      <c r="X33" s="1813"/>
      <c r="Y33" s="3180"/>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5"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2566</v>
      </c>
      <c r="Q35" s="1810" t="str">
        <f t="shared" si="11"/>
        <v>市政基础设施</v>
      </c>
      <c r="R35" s="774" t="s">
        <v>17</v>
      </c>
      <c r="S35" s="775">
        <f t="shared" si="12"/>
        <v>100</v>
      </c>
      <c r="T35" s="774" t="s">
        <v>17</v>
      </c>
      <c r="U35" s="775">
        <f t="shared" si="13"/>
        <v>100</v>
      </c>
      <c r="V35" s="774" t="s">
        <v>17</v>
      </c>
      <c r="W35" s="775">
        <f t="shared" si="14"/>
        <v>100</v>
      </c>
      <c r="X35" s="1813"/>
      <c r="Y35" s="3180"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10" t="str">
        <f t="shared" si="11"/>
        <v>内部装修</v>
      </c>
      <c r="R36" s="774" t="s">
        <v>17</v>
      </c>
      <c r="S36" s="775">
        <f t="shared" si="12"/>
        <v>100</v>
      </c>
      <c r="T36" s="774" t="s">
        <v>17</v>
      </c>
      <c r="U36" s="775">
        <f t="shared" si="13"/>
        <v>100</v>
      </c>
      <c r="V36" s="774" t="s">
        <v>17</v>
      </c>
      <c r="W36" s="775">
        <f t="shared" si="14"/>
        <v>100</v>
      </c>
      <c r="X36" s="1813"/>
      <c r="Y36" s="3180"/>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10" t="str">
        <f t="shared" si="11"/>
        <v>内部装修状况</v>
      </c>
      <c r="R37" s="774" t="s">
        <v>17</v>
      </c>
      <c r="S37" s="775">
        <f t="shared" si="12"/>
        <v>100</v>
      </c>
      <c r="T37" s="774" t="s">
        <v>17</v>
      </c>
      <c r="U37" s="775">
        <f t="shared" si="13"/>
        <v>100</v>
      </c>
      <c r="V37" s="774" t="s">
        <v>17</v>
      </c>
      <c r="W37" s="775">
        <f t="shared" si="14"/>
        <v>100</v>
      </c>
      <c r="X37" s="1813"/>
      <c r="Y37" s="31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10">
        <f t="shared" si="11"/>
        <v>111</v>
      </c>
      <c r="R39" s="774" t="s">
        <v>17</v>
      </c>
      <c r="S39" s="775">
        <f t="shared" si="12"/>
        <v>100</v>
      </c>
      <c r="T39" s="774" t="s">
        <v>17</v>
      </c>
      <c r="U39" s="775">
        <f t="shared" si="13"/>
        <v>100</v>
      </c>
      <c r="V39" s="774" t="s">
        <v>17</v>
      </c>
      <c r="W39" s="775">
        <f t="shared" si="14"/>
        <v>100</v>
      </c>
      <c r="X39" s="1813"/>
      <c r="Y39" s="3180"/>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1"/>
      <c r="Q40" s="1810">
        <f t="shared" si="11"/>
        <v>111</v>
      </c>
      <c r="R40" s="774" t="s">
        <v>17</v>
      </c>
      <c r="S40" s="775">
        <f t="shared" si="12"/>
        <v>100</v>
      </c>
      <c r="T40" s="774" t="s">
        <v>17</v>
      </c>
      <c r="U40" s="775">
        <f t="shared" si="13"/>
        <v>100</v>
      </c>
      <c r="V40" s="774" t="s">
        <v>17</v>
      </c>
      <c r="W40" s="775">
        <f t="shared" si="14"/>
        <v>100</v>
      </c>
      <c r="X40" s="1813"/>
      <c r="Y40" s="3181"/>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170" t="str">
        <f>A43</f>
        <v>估价对象XX用房的比较价值（楼面单价，元/平方米）</v>
      </c>
      <c r="Q43" s="3171"/>
      <c r="R43" s="3172" t="e">
        <f>IF(F1="售价",ROUND(AVERAGE(R42:V42),0),ROUND(AVERAGE(R42:V42),1))</f>
        <v>#DIV/0!</v>
      </c>
      <c r="S43" s="3172"/>
      <c r="T43" s="3172"/>
      <c r="U43" s="3172"/>
      <c r="V43" s="3172"/>
      <c r="W43" s="317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8"/>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90"/>
      <c r="D2" s="1124" t="e">
        <f ca="1">SUMIF(INDIRECT("'"&amp;F2&amp;"'"&amp;"!A:A"),"承租人权益价值",INDIRECT("'"&amp;F2&amp;"'"&amp;"!c:c"))</f>
        <v>#REF!</v>
      </c>
      <c r="E2" s="2591" t="s">
        <v>2329</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43608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2550</v>
      </c>
      <c r="Q7" s="3211"/>
      <c r="R7" s="770" t="s">
        <v>17</v>
      </c>
      <c r="S7" s="771">
        <f t="shared" ref="S7:S14" si="0">F7</f>
        <v>0</v>
      </c>
      <c r="T7" s="770" t="s">
        <v>17</v>
      </c>
      <c r="U7" s="771">
        <f t="shared" ref="U7:U14" si="1">H7</f>
        <v>0</v>
      </c>
      <c r="V7" s="770" t="s">
        <v>17</v>
      </c>
      <c r="W7" s="771">
        <f t="shared" ref="W7:W14" si="2">J7</f>
        <v>0</v>
      </c>
      <c r="X7" s="772"/>
      <c r="Y7" s="3209" t="s">
        <v>2550</v>
      </c>
      <c r="Z7" s="321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3" t="s">
        <v>2556</v>
      </c>
      <c r="Q9" s="1795" t="str">
        <f t="shared" ref="Q9:Q14" si="6">B9</f>
        <v>用途</v>
      </c>
      <c r="R9" s="770" t="s">
        <v>17</v>
      </c>
      <c r="S9" s="771">
        <f t="shared" si="0"/>
        <v>100</v>
      </c>
      <c r="T9" s="770" t="s">
        <v>17</v>
      </c>
      <c r="U9" s="771">
        <f t="shared" si="1"/>
        <v>100</v>
      </c>
      <c r="V9" s="770" t="s">
        <v>17</v>
      </c>
      <c r="W9" s="771">
        <f t="shared" si="2"/>
        <v>100</v>
      </c>
      <c r="X9" s="772"/>
      <c r="Y9" s="299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2561</v>
      </c>
      <c r="Q14" s="1810" t="str">
        <f t="shared" si="6"/>
        <v>交通便捷度</v>
      </c>
      <c r="R14" s="774" t="s">
        <v>17</v>
      </c>
      <c r="S14" s="775">
        <f t="shared" si="0"/>
        <v>100</v>
      </c>
      <c r="T14" s="774" t="s">
        <v>17</v>
      </c>
      <c r="U14" s="775">
        <f t="shared" si="1"/>
        <v>100</v>
      </c>
      <c r="V14" s="774" t="s">
        <v>17</v>
      </c>
      <c r="W14" s="775">
        <f t="shared" si="2"/>
        <v>100</v>
      </c>
      <c r="X14" s="1813"/>
      <c r="Y14" s="3175"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6"/>
      <c r="Q15" s="1810"/>
      <c r="R15" s="774"/>
      <c r="S15" s="775"/>
      <c r="T15" s="774"/>
      <c r="U15" s="775"/>
      <c r="V15" s="774"/>
      <c r="W15" s="775"/>
      <c r="X15" s="1813"/>
      <c r="Y15" s="3176"/>
      <c r="Z15" s="1814"/>
      <c r="AA15" s="1811">
        <v>1</v>
      </c>
      <c r="AB15" s="1811">
        <v>1</v>
      </c>
      <c r="AC15" s="1811">
        <v>1</v>
      </c>
    </row>
    <row r="16" spans="1:29" ht="42.75">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76"/>
      <c r="Q17" s="1810"/>
      <c r="R17" s="774"/>
      <c r="S17" s="775"/>
      <c r="T17" s="774"/>
      <c r="U17" s="775"/>
      <c r="V17" s="774"/>
      <c r="W17" s="775"/>
      <c r="X17" s="1813"/>
      <c r="Y17" s="3176"/>
      <c r="Z17" s="1814"/>
      <c r="AA17" s="1811">
        <v>1</v>
      </c>
      <c r="AB17" s="1811">
        <v>1</v>
      </c>
      <c r="AC17" s="1811">
        <v>1</v>
      </c>
    </row>
    <row r="18" spans="1:29" ht="28.5">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76"/>
      <c r="Q19" s="1810"/>
      <c r="R19" s="774"/>
      <c r="S19" s="775"/>
      <c r="T19" s="774"/>
      <c r="U19" s="775"/>
      <c r="V19" s="774"/>
      <c r="W19" s="775"/>
      <c r="X19" s="1813"/>
      <c r="Y19" s="3176"/>
      <c r="Z19" s="1814"/>
      <c r="AA19" s="1811">
        <v>1</v>
      </c>
      <c r="AB19" s="1811">
        <v>1</v>
      </c>
      <c r="AC19" s="1811">
        <v>1</v>
      </c>
    </row>
    <row r="20" spans="1:29" ht="57">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6"/>
      <c r="Q21" s="1810"/>
      <c r="R21" s="774"/>
      <c r="S21" s="775"/>
      <c r="T21" s="774"/>
      <c r="U21" s="775"/>
      <c r="V21" s="774"/>
      <c r="W21" s="775"/>
      <c r="X21" s="1813"/>
      <c r="Y21" s="3176"/>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10">
        <f t="shared" ref="Q24:Q36"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652" t="s">
        <v>2564</v>
      </c>
      <c r="B26" s="70" t="s">
        <v>2713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0"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10" t="str">
        <f t="shared" si="11"/>
        <v>公共部分装修</v>
      </c>
      <c r="R28" s="774" t="s">
        <v>17</v>
      </c>
      <c r="S28" s="775">
        <f t="shared" si="12"/>
        <v>100</v>
      </c>
      <c r="T28" s="774" t="s">
        <v>17</v>
      </c>
      <c r="U28" s="775">
        <f t="shared" si="13"/>
        <v>100</v>
      </c>
      <c r="V28" s="774" t="s">
        <v>17</v>
      </c>
      <c r="W28" s="775">
        <f t="shared" si="14"/>
        <v>100</v>
      </c>
      <c r="X28" s="1813"/>
      <c r="Y28" s="3180"/>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10" t="str">
        <f t="shared" si="11"/>
        <v>成新率</v>
      </c>
      <c r="R29" s="774" t="s">
        <v>17</v>
      </c>
      <c r="S29" s="775" t="e">
        <f t="shared" si="12"/>
        <v>#N/A</v>
      </c>
      <c r="T29" s="774" t="s">
        <v>17</v>
      </c>
      <c r="U29" s="775" t="e">
        <f t="shared" si="13"/>
        <v>#N/A</v>
      </c>
      <c r="V29" s="774" t="s">
        <v>17</v>
      </c>
      <c r="W29" s="775" t="e">
        <f t="shared" si="14"/>
        <v>#N/A</v>
      </c>
      <c r="X29" s="1813"/>
      <c r="Y29" s="3180"/>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10" t="str">
        <f t="shared" si="11"/>
        <v>物业等级</v>
      </c>
      <c r="R30" s="774" t="s">
        <v>17</v>
      </c>
      <c r="S30" s="775">
        <f t="shared" si="12"/>
        <v>100</v>
      </c>
      <c r="T30" s="774" t="s">
        <v>17</v>
      </c>
      <c r="U30" s="775">
        <f t="shared" si="13"/>
        <v>100</v>
      </c>
      <c r="V30" s="774" t="s">
        <v>17</v>
      </c>
      <c r="W30" s="775">
        <f t="shared" si="14"/>
        <v>100</v>
      </c>
      <c r="X30" s="1813"/>
      <c r="Y30" s="3180"/>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5"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2566</v>
      </c>
      <c r="Q32" s="1810" t="str">
        <f t="shared" si="11"/>
        <v>车位类型</v>
      </c>
      <c r="R32" s="774" t="s">
        <v>17</v>
      </c>
      <c r="S32" s="775">
        <f t="shared" si="12"/>
        <v>100</v>
      </c>
      <c r="T32" s="774" t="s">
        <v>17</v>
      </c>
      <c r="U32" s="775">
        <f t="shared" si="13"/>
        <v>100</v>
      </c>
      <c r="V32" s="774" t="s">
        <v>17</v>
      </c>
      <c r="W32" s="775">
        <f t="shared" si="14"/>
        <v>100</v>
      </c>
      <c r="X32" s="1813"/>
      <c r="Y32" s="3180"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10" t="str">
        <f t="shared" si="11"/>
        <v>是否直接入户</v>
      </c>
      <c r="R33" s="774" t="s">
        <v>17</v>
      </c>
      <c r="S33" s="775">
        <f t="shared" si="12"/>
        <v>100</v>
      </c>
      <c r="T33" s="774" t="s">
        <v>17</v>
      </c>
      <c r="U33" s="775">
        <f t="shared" si="13"/>
        <v>100</v>
      </c>
      <c r="V33" s="774" t="s">
        <v>17</v>
      </c>
      <c r="W33" s="775">
        <f t="shared" si="14"/>
        <v>100</v>
      </c>
      <c r="X33" s="1813"/>
      <c r="Y33" s="31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10">
        <f t="shared" si="11"/>
        <v>111</v>
      </c>
      <c r="R36" s="774" t="s">
        <v>17</v>
      </c>
      <c r="S36" s="775">
        <f t="shared" si="12"/>
        <v>100</v>
      </c>
      <c r="T36" s="774" t="s">
        <v>17</v>
      </c>
      <c r="U36" s="775">
        <f t="shared" si="13"/>
        <v>100</v>
      </c>
      <c r="V36" s="774" t="s">
        <v>17</v>
      </c>
      <c r="W36" s="775">
        <f t="shared" si="14"/>
        <v>100</v>
      </c>
      <c r="X36" s="1813"/>
      <c r="Y36" s="3180"/>
      <c r="Z36" s="1814">
        <f t="shared" si="15"/>
        <v>111</v>
      </c>
      <c r="AA36" s="1811">
        <f t="shared" si="3"/>
        <v>1</v>
      </c>
      <c r="AB36" s="1811">
        <f t="shared" si="4"/>
        <v>1</v>
      </c>
      <c r="AC36" s="1811">
        <f t="shared" si="5"/>
        <v>1</v>
      </c>
    </row>
    <row r="37" spans="1:29" ht="15">
      <c r="A37" s="479" t="s">
        <v>2721</v>
      </c>
      <c r="B37" s="2699" t="s">
        <v>2722</v>
      </c>
      <c r="C37" s="1407" t="s">
        <v>1</v>
      </c>
      <c r="D37" s="1408"/>
      <c r="E37" s="1409"/>
      <c r="F37" s="1410"/>
      <c r="G37" s="1411"/>
      <c r="H37" s="1412"/>
      <c r="I37" s="1409"/>
      <c r="J37" s="1412"/>
      <c r="K37" s="619"/>
      <c r="L37" s="1143"/>
      <c r="M37" s="1144"/>
      <c r="N37" s="1131"/>
      <c r="O37" s="1144"/>
      <c r="P37" s="3173" t="str">
        <f>A37</f>
        <v>成交单价</v>
      </c>
      <c r="Q37" s="3173"/>
      <c r="R37" s="3174">
        <f>E37</f>
        <v>0</v>
      </c>
      <c r="S37" s="3174"/>
      <c r="T37" s="3174">
        <f>G37</f>
        <v>0</v>
      </c>
      <c r="U37" s="3174"/>
      <c r="V37" s="3174">
        <f>I37</f>
        <v>0</v>
      </c>
      <c r="W37" s="3174"/>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170" t="str">
        <f>A39</f>
        <v>估价对象XX用房的比较价值（楼面单价，元/平方米）</v>
      </c>
      <c r="Q39" s="3171"/>
      <c r="R39" s="3172" t="e">
        <f>IF(F1="售价",ROUND(AVERAGE(R38:V38),0),ROUND(AVERAGE(R38:V38),1))</f>
        <v>#DIV/0!</v>
      </c>
      <c r="S39" s="3172"/>
      <c r="T39" s="3172"/>
      <c r="U39" s="3172"/>
      <c r="V39" s="3172"/>
      <c r="W39" s="317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90"/>
      <c r="D2" s="1124" t="e">
        <f ca="1">SUMIF(INDIRECT("'"&amp;F2&amp;"'"&amp;"!A:A"),"承租人权益价值",INDIRECT("'"&amp;F2&amp;"'"&amp;"!c:c"))</f>
        <v>#REF!</v>
      </c>
      <c r="E2" s="2591" t="s">
        <v>2329</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2547</v>
      </c>
      <c r="D6" s="3206"/>
      <c r="E6" s="3212" t="s">
        <v>2547</v>
      </c>
      <c r="F6" s="3213"/>
      <c r="G6" s="3205" t="s">
        <v>2547</v>
      </c>
      <c r="H6" s="3206"/>
      <c r="I6" s="3205" t="s">
        <v>2547</v>
      </c>
      <c r="J6" s="3206"/>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43608</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09" t="s">
        <v>2550</v>
      </c>
      <c r="Q7" s="3211"/>
      <c r="R7" s="770" t="s">
        <v>17</v>
      </c>
      <c r="S7" s="771">
        <f t="shared" ref="S7:S14" si="0">F7</f>
        <v>0</v>
      </c>
      <c r="T7" s="770" t="s">
        <v>17</v>
      </c>
      <c r="U7" s="771">
        <f t="shared" ref="U7:U14" si="1">H7</f>
        <v>0</v>
      </c>
      <c r="V7" s="770" t="s">
        <v>17</v>
      </c>
      <c r="W7" s="771">
        <f t="shared" ref="W7:W14" si="2">J7</f>
        <v>0</v>
      </c>
      <c r="X7" s="772"/>
      <c r="Y7" s="3209" t="s">
        <v>2550</v>
      </c>
      <c r="Z7" s="321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3" t="s">
        <v>2556</v>
      </c>
      <c r="Q9" s="1795" t="str">
        <f t="shared" ref="Q9:Q14" si="6">B9</f>
        <v>用途</v>
      </c>
      <c r="R9" s="770" t="s">
        <v>17</v>
      </c>
      <c r="S9" s="771">
        <f t="shared" si="0"/>
        <v>100</v>
      </c>
      <c r="T9" s="770" t="s">
        <v>17</v>
      </c>
      <c r="U9" s="771">
        <f t="shared" si="1"/>
        <v>100</v>
      </c>
      <c r="V9" s="770" t="s">
        <v>17</v>
      </c>
      <c r="W9" s="771">
        <f t="shared" si="2"/>
        <v>100</v>
      </c>
      <c r="X9" s="772"/>
      <c r="Y9" s="299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2561</v>
      </c>
      <c r="Q14" s="1810" t="str">
        <f t="shared" si="6"/>
        <v>交通便捷度</v>
      </c>
      <c r="R14" s="774" t="s">
        <v>17</v>
      </c>
      <c r="S14" s="775">
        <f t="shared" si="0"/>
        <v>100</v>
      </c>
      <c r="T14" s="774" t="s">
        <v>17</v>
      </c>
      <c r="U14" s="775">
        <f t="shared" si="1"/>
        <v>100</v>
      </c>
      <c r="V14" s="774" t="s">
        <v>17</v>
      </c>
      <c r="W14" s="775">
        <f t="shared" si="2"/>
        <v>100</v>
      </c>
      <c r="X14" s="1813"/>
      <c r="Y14" s="3175"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6"/>
      <c r="Q15" s="1810"/>
      <c r="R15" s="774"/>
      <c r="S15" s="775"/>
      <c r="T15" s="774"/>
      <c r="U15" s="775"/>
      <c r="V15" s="774"/>
      <c r="W15" s="775"/>
      <c r="X15" s="1813"/>
      <c r="Y15" s="3176"/>
      <c r="Z15" s="1814"/>
      <c r="AA15" s="1811">
        <v>1</v>
      </c>
      <c r="AB15" s="1811">
        <v>1</v>
      </c>
      <c r="AC15" s="1811">
        <v>1</v>
      </c>
    </row>
    <row r="16" spans="1:29" ht="42.75">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76"/>
      <c r="Q17" s="1810"/>
      <c r="R17" s="774"/>
      <c r="S17" s="775"/>
      <c r="T17" s="774"/>
      <c r="U17" s="775"/>
      <c r="V17" s="774"/>
      <c r="W17" s="775"/>
      <c r="X17" s="1813"/>
      <c r="Y17" s="3176"/>
      <c r="Z17" s="1814"/>
      <c r="AA17" s="1811">
        <v>1</v>
      </c>
      <c r="AB17" s="1811">
        <v>1</v>
      </c>
      <c r="AC17" s="1811">
        <v>1</v>
      </c>
    </row>
    <row r="18" spans="1:29" ht="28.5">
      <c r="A18" s="428"/>
      <c r="B18" s="1384"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76"/>
      <c r="Q19" s="1810"/>
      <c r="R19" s="774"/>
      <c r="S19" s="775"/>
      <c r="T19" s="774"/>
      <c r="U19" s="775"/>
      <c r="V19" s="774"/>
      <c r="W19" s="775"/>
      <c r="X19" s="1813"/>
      <c r="Y19" s="3176"/>
      <c r="Z19" s="1814"/>
      <c r="AA19" s="1811">
        <v>1</v>
      </c>
      <c r="AB19" s="1811">
        <v>1</v>
      </c>
      <c r="AC19" s="1811">
        <v>1</v>
      </c>
    </row>
    <row r="20" spans="1:29" ht="57">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6"/>
      <c r="Q21" s="1810"/>
      <c r="R21" s="774"/>
      <c r="S21" s="775"/>
      <c r="T21" s="774"/>
      <c r="U21" s="775"/>
      <c r="V21" s="774"/>
      <c r="W21" s="775"/>
      <c r="X21" s="1813"/>
      <c r="Y21" s="3176"/>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10">
        <f t="shared" ref="Q24:Q34"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31"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0"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10" t="str">
        <f t="shared" si="11"/>
        <v>物业等级</v>
      </c>
      <c r="R28" s="774" t="s">
        <v>17</v>
      </c>
      <c r="S28" s="775">
        <f t="shared" si="12"/>
        <v>100</v>
      </c>
      <c r="T28" s="774" t="s">
        <v>17</v>
      </c>
      <c r="U28" s="775">
        <f t="shared" si="13"/>
        <v>100</v>
      </c>
      <c r="V28" s="774" t="s">
        <v>17</v>
      </c>
      <c r="W28" s="775">
        <f t="shared" si="14"/>
        <v>100</v>
      </c>
      <c r="X28" s="1813"/>
      <c r="Y28" s="3180"/>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10" t="str">
        <f t="shared" si="11"/>
        <v>有无电梯</v>
      </c>
      <c r="R29" s="774" t="s">
        <v>17</v>
      </c>
      <c r="S29" s="775">
        <f t="shared" si="12"/>
        <v>100</v>
      </c>
      <c r="T29" s="774" t="s">
        <v>17</v>
      </c>
      <c r="U29" s="775">
        <f t="shared" si="13"/>
        <v>100</v>
      </c>
      <c r="V29" s="774" t="s">
        <v>17</v>
      </c>
      <c r="W29" s="775">
        <f t="shared" si="14"/>
        <v>100</v>
      </c>
      <c r="X29" s="1813"/>
      <c r="Y29" s="3180"/>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10" t="str">
        <f t="shared" si="11"/>
        <v>建筑面积</v>
      </c>
      <c r="R30" s="774" t="s">
        <v>17</v>
      </c>
      <c r="S30" s="775" t="e">
        <f t="shared" si="12"/>
        <v>#N/A</v>
      </c>
      <c r="T30" s="774" t="s">
        <v>17</v>
      </c>
      <c r="U30" s="775" t="e">
        <f t="shared" si="13"/>
        <v>#N/A</v>
      </c>
      <c r="V30" s="774" t="s">
        <v>17</v>
      </c>
      <c r="W30" s="775" t="e">
        <f t="shared" si="14"/>
        <v>#N/A</v>
      </c>
      <c r="X30" s="1813"/>
      <c r="Y30" s="3180"/>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5"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2566</v>
      </c>
      <c r="Q32" s="1810">
        <f t="shared" si="11"/>
        <v>111</v>
      </c>
      <c r="R32" s="774" t="s">
        <v>17</v>
      </c>
      <c r="S32" s="775">
        <f t="shared" si="12"/>
        <v>100</v>
      </c>
      <c r="T32" s="774" t="s">
        <v>17</v>
      </c>
      <c r="U32" s="775">
        <f t="shared" si="13"/>
        <v>100</v>
      </c>
      <c r="V32" s="774" t="s">
        <v>17</v>
      </c>
      <c r="W32" s="775">
        <f t="shared" si="14"/>
        <v>100</v>
      </c>
      <c r="X32" s="1813"/>
      <c r="Y32" s="3180" t="s">
        <v>2566</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10">
        <f t="shared" si="11"/>
        <v>111</v>
      </c>
      <c r="R33" s="774" t="s">
        <v>17</v>
      </c>
      <c r="S33" s="775">
        <f t="shared" si="12"/>
        <v>100</v>
      </c>
      <c r="T33" s="774" t="s">
        <v>17</v>
      </c>
      <c r="U33" s="775">
        <f t="shared" si="13"/>
        <v>100</v>
      </c>
      <c r="V33" s="774" t="s">
        <v>17</v>
      </c>
      <c r="W33" s="775">
        <f t="shared" si="14"/>
        <v>100</v>
      </c>
      <c r="X33" s="1813"/>
      <c r="Y33" s="3180"/>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170" t="str">
        <f>A37</f>
        <v>估价对象XX用房的比较价值（楼面单价，元/平方米）</v>
      </c>
      <c r="Q37" s="3171"/>
      <c r="R37" s="3172" t="e">
        <f>IF(F1="售价",ROUND(AVERAGE(R36:V36),0),ROUND(AVERAGE(R36:V36),1))</f>
        <v>#DIV/0!</v>
      </c>
      <c r="S37" s="3172"/>
      <c r="T37" s="3172"/>
      <c r="U37" s="3172"/>
      <c r="V37" s="3172"/>
      <c r="W37" s="317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0"/>
      <c r="M4" s="1131"/>
      <c r="N4" s="1131"/>
      <c r="O4" s="1131"/>
      <c r="P4" s="3192" t="s">
        <v>2652</v>
      </c>
      <c r="Q4" s="3193"/>
      <c r="R4" s="3198" t="s">
        <v>2648</v>
      </c>
      <c r="S4" s="3199"/>
      <c r="T4" s="3198" t="s">
        <v>2649</v>
      </c>
      <c r="U4" s="3199"/>
      <c r="V4" s="3204" t="s">
        <v>2650</v>
      </c>
      <c r="W4" s="3204"/>
      <c r="X4" s="1813"/>
      <c r="Y4" s="3198" t="s">
        <v>2652</v>
      </c>
      <c r="Z4" s="3199"/>
      <c r="AA4" s="3185" t="s">
        <v>2648</v>
      </c>
      <c r="AB4" s="3186" t="s">
        <v>2649</v>
      </c>
      <c r="AC4" s="3185" t="s">
        <v>2650</v>
      </c>
    </row>
    <row r="5" spans="1:29" ht="15">
      <c r="A5" s="404"/>
      <c r="B5" s="405"/>
      <c r="C5" s="3207" t="s">
        <v>2543</v>
      </c>
      <c r="D5" s="3208"/>
      <c r="E5" s="3214" t="s">
        <v>2544</v>
      </c>
      <c r="F5" s="3215"/>
      <c r="G5" s="3207" t="s">
        <v>2545</v>
      </c>
      <c r="H5" s="3208"/>
      <c r="I5" s="3207" t="s">
        <v>2546</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36" t="s">
        <v>2797</v>
      </c>
      <c r="D6" s="3237"/>
      <c r="E6" s="3238" t="s">
        <v>2797</v>
      </c>
      <c r="F6" s="3239"/>
      <c r="G6" s="3236" t="s">
        <v>2797</v>
      </c>
      <c r="H6" s="3237"/>
      <c r="I6" s="3236" t="s">
        <v>2797</v>
      </c>
      <c r="J6" s="3237"/>
      <c r="K6" s="610" t="s">
        <v>2548</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2549</v>
      </c>
      <c r="B7" s="409"/>
      <c r="C7" s="410">
        <f>'数据-取费表'!B2</f>
        <v>43608</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09" t="s">
        <v>2550</v>
      </c>
      <c r="Q7" s="3211"/>
      <c r="R7" s="770" t="s">
        <v>17</v>
      </c>
      <c r="S7" s="771">
        <f t="shared" ref="S7:S15" si="0">F7</f>
        <v>0</v>
      </c>
      <c r="T7" s="770" t="s">
        <v>17</v>
      </c>
      <c r="U7" s="771">
        <f t="shared" ref="U7:U15" si="1">H7</f>
        <v>0</v>
      </c>
      <c r="V7" s="770" t="s">
        <v>17</v>
      </c>
      <c r="W7" s="771">
        <f t="shared" ref="W7:W15" si="2">J7</f>
        <v>0</v>
      </c>
      <c r="X7" s="772"/>
      <c r="Y7" s="3209" t="s">
        <v>2550</v>
      </c>
      <c r="Z7" s="321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2553</v>
      </c>
      <c r="Q8" s="3210"/>
      <c r="R8" s="770" t="s">
        <v>17</v>
      </c>
      <c r="S8" s="771">
        <f t="shared" si="0"/>
        <v>0</v>
      </c>
      <c r="T8" s="770" t="s">
        <v>17</v>
      </c>
      <c r="U8" s="771">
        <f t="shared" si="1"/>
        <v>0</v>
      </c>
      <c r="V8" s="770" t="s">
        <v>17</v>
      </c>
      <c r="W8" s="771">
        <f t="shared" si="2"/>
        <v>0</v>
      </c>
      <c r="X8" s="772"/>
      <c r="Y8" s="3209" t="s">
        <v>2553</v>
      </c>
      <c r="Z8" s="3210"/>
      <c r="AA8" s="773" t="e">
        <f t="shared" ref="AA8:AA40" si="3">D8/F8</f>
        <v>#DIV/0!</v>
      </c>
      <c r="AB8" s="773" t="e">
        <f t="shared" ref="AB8:AB40" si="4">D8/H8</f>
        <v>#DIV/0!</v>
      </c>
      <c r="AC8" s="773" t="e">
        <f t="shared" ref="AC8:AC40" si="5">D8/J8</f>
        <v>#DIV/0!</v>
      </c>
    </row>
    <row r="9" spans="1:29" s="117" customFormat="1">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73" t="s">
        <v>2556</v>
      </c>
      <c r="Q9" s="1795" t="str">
        <f t="shared" ref="Q9:Q15" si="6">B9</f>
        <v>用途</v>
      </c>
      <c r="R9" s="770" t="s">
        <v>17</v>
      </c>
      <c r="S9" s="771">
        <f t="shared" si="0"/>
        <v>100</v>
      </c>
      <c r="T9" s="770" t="s">
        <v>17</v>
      </c>
      <c r="U9" s="771">
        <f t="shared" si="1"/>
        <v>100</v>
      </c>
      <c r="V9" s="770" t="s">
        <v>17</v>
      </c>
      <c r="W9" s="771">
        <f t="shared" si="2"/>
        <v>100</v>
      </c>
      <c r="X9" s="772"/>
      <c r="Y9" s="299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73"/>
      <c r="Q10" s="1795" t="str">
        <f t="shared" si="6"/>
        <v>土地使用年限（年）</v>
      </c>
      <c r="R10" s="770" t="s">
        <v>17</v>
      </c>
      <c r="S10" s="771">
        <f t="shared" si="0"/>
        <v>117</v>
      </c>
      <c r="T10" s="770" t="s">
        <v>17</v>
      </c>
      <c r="U10" s="771">
        <f t="shared" si="1"/>
        <v>117</v>
      </c>
      <c r="V10" s="770" t="s">
        <v>17</v>
      </c>
      <c r="W10" s="771">
        <f t="shared" si="2"/>
        <v>117</v>
      </c>
      <c r="X10" s="772"/>
      <c r="Y10" s="2998"/>
      <c r="Z10" s="55" t="str">
        <f t="shared" si="7"/>
        <v>土地使用年限（年）</v>
      </c>
      <c r="AA10" s="773">
        <f t="shared" si="3"/>
        <v>0.85470085470085466</v>
      </c>
      <c r="AB10" s="773">
        <f t="shared" si="4"/>
        <v>0.85470085470085466</v>
      </c>
      <c r="AC10" s="773">
        <f t="shared" si="5"/>
        <v>0.85470085470085466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2560</v>
      </c>
      <c r="B15" s="629" t="s">
        <v>2798</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2561</v>
      </c>
      <c r="Q15" s="1810" t="str">
        <f t="shared" si="6"/>
        <v>产业集聚程度</v>
      </c>
      <c r="R15" s="774" t="s">
        <v>17</v>
      </c>
      <c r="S15" s="775">
        <f t="shared" si="0"/>
        <v>100</v>
      </c>
      <c r="T15" s="774" t="s">
        <v>17</v>
      </c>
      <c r="U15" s="775">
        <f t="shared" si="1"/>
        <v>100</v>
      </c>
      <c r="V15" s="774" t="s">
        <v>17</v>
      </c>
      <c r="W15" s="775">
        <f t="shared" si="2"/>
        <v>100</v>
      </c>
      <c r="X15" s="1813"/>
      <c r="Y15" s="3175" t="s">
        <v>2561</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15">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10" t="str">
        <f t="shared" ref="Q19:Q33" si="8">B19</f>
        <v>区域土地利用方向</v>
      </c>
      <c r="R19" s="774" t="s">
        <v>17</v>
      </c>
      <c r="S19" s="775">
        <f>F19</f>
        <v>100</v>
      </c>
      <c r="T19" s="774" t="s">
        <v>17</v>
      </c>
      <c r="U19" s="775">
        <f>H19</f>
        <v>100</v>
      </c>
      <c r="V19" s="774" t="s">
        <v>17</v>
      </c>
      <c r="W19" s="775">
        <f>J19</f>
        <v>100</v>
      </c>
      <c r="X19" s="1813"/>
      <c r="Y19" s="3176"/>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76"/>
      <c r="Q20" s="1810"/>
      <c r="R20" s="774"/>
      <c r="S20" s="775"/>
      <c r="T20" s="774"/>
      <c r="U20" s="775"/>
      <c r="V20" s="774"/>
      <c r="W20" s="775"/>
      <c r="X20" s="1813"/>
      <c r="Y20" s="3176"/>
      <c r="Z20" s="1814"/>
      <c r="AA20" s="1811"/>
      <c r="AB20" s="1811"/>
      <c r="AC20" s="1811"/>
    </row>
    <row r="21" spans="1:29" ht="71.25">
      <c r="A21" s="404"/>
      <c r="B21" s="631" t="s">
        <v>2799</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10" t="str">
        <f t="shared" si="8"/>
        <v>环境状况</v>
      </c>
      <c r="R21" s="774" t="s">
        <v>17</v>
      </c>
      <c r="S21" s="775">
        <f>F21</f>
        <v>100</v>
      </c>
      <c r="T21" s="774" t="s">
        <v>17</v>
      </c>
      <c r="U21" s="775">
        <f>H21</f>
        <v>100</v>
      </c>
      <c r="V21" s="774" t="s">
        <v>17</v>
      </c>
      <c r="W21" s="775">
        <f>J21</f>
        <v>100</v>
      </c>
      <c r="X21" s="1813"/>
      <c r="Y21" s="3176"/>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s="117" customFormat="1" ht="42.75">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5" t="str">
        <f t="shared" si="8"/>
        <v>公共配套设施</v>
      </c>
      <c r="R23" s="770" t="s">
        <v>17</v>
      </c>
      <c r="S23" s="771">
        <f>F23</f>
        <v>100</v>
      </c>
      <c r="T23" s="770" t="s">
        <v>17</v>
      </c>
      <c r="U23" s="771">
        <f>H23</f>
        <v>100</v>
      </c>
      <c r="V23" s="770" t="s">
        <v>17</v>
      </c>
      <c r="W23" s="771">
        <f>J23</f>
        <v>100</v>
      </c>
      <c r="X23" s="772"/>
      <c r="Y23" s="3176"/>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76"/>
      <c r="Q24" s="1795"/>
      <c r="R24" s="770"/>
      <c r="S24" s="771"/>
      <c r="T24" s="770"/>
      <c r="U24" s="771"/>
      <c r="V24" s="770"/>
      <c r="W24" s="771"/>
      <c r="X24" s="772"/>
      <c r="Y24" s="3176"/>
      <c r="Z24" s="55"/>
      <c r="AA24" s="773">
        <v>1</v>
      </c>
      <c r="AB24" s="773">
        <v>1</v>
      </c>
      <c r="AC24" s="773">
        <v>1</v>
      </c>
    </row>
    <row r="25" spans="1:29" s="117" customFormat="1" ht="28.5">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5"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76"/>
      <c r="Q26" s="1795"/>
      <c r="R26" s="770"/>
      <c r="S26" s="771"/>
      <c r="T26" s="770"/>
      <c r="U26" s="771"/>
      <c r="V26" s="770"/>
      <c r="W26" s="771"/>
      <c r="X26" s="772"/>
      <c r="Y26" s="317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6"/>
      <c r="Z27" s="1814" t="str">
        <f t="shared" ref="Z27:Z40" si="13">Q27</f>
        <v>临街状况</v>
      </c>
      <c r="AA27" s="1811">
        <f t="shared" si="3"/>
        <v>1</v>
      </c>
      <c r="AB27" s="1811">
        <f t="shared" si="4"/>
        <v>1</v>
      </c>
      <c r="AC27" s="1811">
        <f t="shared" si="5"/>
        <v>1</v>
      </c>
    </row>
    <row r="28" spans="1:29" ht="27">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10" t="str">
        <f t="shared" si="8"/>
        <v>毗邻道路的类型与等级</v>
      </c>
      <c r="R28" s="774" t="s">
        <v>17</v>
      </c>
      <c r="S28" s="775">
        <f t="shared" si="10"/>
        <v>100</v>
      </c>
      <c r="T28" s="774" t="s">
        <v>17</v>
      </c>
      <c r="U28" s="775">
        <f t="shared" si="11"/>
        <v>100</v>
      </c>
      <c r="V28" s="774" t="s">
        <v>17</v>
      </c>
      <c r="W28" s="775">
        <f t="shared" si="12"/>
        <v>100</v>
      </c>
      <c r="X28" s="1813"/>
      <c r="Y28" s="3176"/>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76"/>
      <c r="Q29" s="1810"/>
      <c r="R29" s="774"/>
      <c r="S29" s="775"/>
      <c r="T29" s="774"/>
      <c r="U29" s="775"/>
      <c r="V29" s="774"/>
      <c r="W29" s="775"/>
      <c r="X29" s="1813"/>
      <c r="Y29" s="3176"/>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10" t="str">
        <f t="shared" si="8"/>
        <v>土地级别</v>
      </c>
      <c r="R30" s="774" t="s">
        <v>17</v>
      </c>
      <c r="S30" s="775">
        <f t="shared" si="10"/>
        <v>100</v>
      </c>
      <c r="T30" s="774" t="s">
        <v>17</v>
      </c>
      <c r="U30" s="775">
        <f t="shared" si="11"/>
        <v>100</v>
      </c>
      <c r="V30" s="774" t="s">
        <v>17</v>
      </c>
      <c r="W30" s="775">
        <f t="shared" si="12"/>
        <v>100</v>
      </c>
      <c r="X30" s="1813"/>
      <c r="Y30" s="3176"/>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10">
        <f t="shared" si="8"/>
        <v>111</v>
      </c>
      <c r="R31" s="774" t="s">
        <v>17</v>
      </c>
      <c r="S31" s="775">
        <f t="shared" si="10"/>
        <v>100</v>
      </c>
      <c r="T31" s="774" t="s">
        <v>17</v>
      </c>
      <c r="U31" s="775">
        <f t="shared" si="11"/>
        <v>100</v>
      </c>
      <c r="V31" s="774" t="s">
        <v>17</v>
      </c>
      <c r="W31" s="775">
        <f t="shared" si="12"/>
        <v>100</v>
      </c>
      <c r="X31" s="1813"/>
      <c r="Y31" s="3176"/>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2566</v>
      </c>
      <c r="Q32" s="1810">
        <f t="shared" si="8"/>
        <v>111</v>
      </c>
      <c r="R32" s="774" t="s">
        <v>17</v>
      </c>
      <c r="S32" s="775">
        <f t="shared" si="10"/>
        <v>100</v>
      </c>
      <c r="T32" s="774" t="s">
        <v>17</v>
      </c>
      <c r="U32" s="775">
        <f t="shared" si="11"/>
        <v>100</v>
      </c>
      <c r="V32" s="774" t="s">
        <v>17</v>
      </c>
      <c r="W32" s="775">
        <f t="shared" si="12"/>
        <v>100</v>
      </c>
      <c r="X32" s="1813"/>
      <c r="Y32" s="3180" t="s">
        <v>2566</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10">
        <f t="shared" si="8"/>
        <v>111</v>
      </c>
      <c r="R33" s="777" t="s">
        <v>17</v>
      </c>
      <c r="S33" s="778">
        <f t="shared" si="10"/>
        <v>100</v>
      </c>
      <c r="T33" s="777" t="s">
        <v>17</v>
      </c>
      <c r="U33" s="778">
        <f t="shared" si="11"/>
        <v>100</v>
      </c>
      <c r="V33" s="777" t="s">
        <v>17</v>
      </c>
      <c r="W33" s="778">
        <f t="shared" si="12"/>
        <v>100</v>
      </c>
      <c r="X33" s="779"/>
      <c r="Y33" s="3180"/>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0"/>
      <c r="Q34" s="1810" t="str">
        <f>B34</f>
        <v>宗地面积</v>
      </c>
      <c r="R34" s="774" t="s">
        <v>17</v>
      </c>
      <c r="S34" s="775" t="e">
        <f t="shared" si="10"/>
        <v>#N/A</v>
      </c>
      <c r="T34" s="774" t="s">
        <v>17</v>
      </c>
      <c r="U34" s="775" t="e">
        <f t="shared" si="11"/>
        <v>#N/A</v>
      </c>
      <c r="V34" s="774" t="s">
        <v>17</v>
      </c>
      <c r="W34" s="775" t="e">
        <f t="shared" si="12"/>
        <v>#N/A</v>
      </c>
      <c r="X34" s="1813"/>
      <c r="Y34" s="3180"/>
      <c r="Z34" s="1814" t="str">
        <f t="shared" si="13"/>
        <v>宗地面积</v>
      </c>
      <c r="AA34" s="1811" t="e">
        <f t="shared" si="3"/>
        <v>#N/A</v>
      </c>
      <c r="AB34" s="1811" t="e">
        <f t="shared" si="4"/>
        <v>#N/A</v>
      </c>
      <c r="AC34" s="1811"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80"/>
      <c r="Q35" s="1810" t="str">
        <f t="shared" ref="Q35:Q40" si="14">B35</f>
        <v>宗地形状</v>
      </c>
      <c r="R35" s="774" t="s">
        <v>17</v>
      </c>
      <c r="S35" s="775">
        <f t="shared" si="10"/>
        <v>100</v>
      </c>
      <c r="T35" s="774" t="s">
        <v>17</v>
      </c>
      <c r="U35" s="775">
        <f t="shared" si="11"/>
        <v>100</v>
      </c>
      <c r="V35" s="774" t="s">
        <v>17</v>
      </c>
      <c r="W35" s="775">
        <f t="shared" si="12"/>
        <v>100</v>
      </c>
      <c r="X35" s="1813"/>
      <c r="Y35" s="3180"/>
      <c r="Z35" s="1814" t="str">
        <f t="shared" si="13"/>
        <v>宗地形状</v>
      </c>
      <c r="AA35" s="1811">
        <f t="shared" si="3"/>
        <v>1</v>
      </c>
      <c r="AB35" s="1811">
        <f t="shared" si="4"/>
        <v>1</v>
      </c>
      <c r="AC35" s="1811">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80"/>
      <c r="Q36" s="1810"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80" t="s">
        <v>2566</v>
      </c>
      <c r="Q37" s="1810" t="str">
        <f t="shared" si="14"/>
        <v>工程地质条件</v>
      </c>
      <c r="R37" s="774" t="s">
        <v>17</v>
      </c>
      <c r="S37" s="775">
        <f t="shared" si="10"/>
        <v>100</v>
      </c>
      <c r="T37" s="774" t="s">
        <v>17</v>
      </c>
      <c r="U37" s="775">
        <f t="shared" si="11"/>
        <v>100</v>
      </c>
      <c r="V37" s="774" t="s">
        <v>17</v>
      </c>
      <c r="W37" s="775">
        <f t="shared" si="12"/>
        <v>100</v>
      </c>
      <c r="X37" s="1813"/>
      <c r="Y37" s="3180"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10">
        <f t="shared" si="14"/>
        <v>111</v>
      </c>
      <c r="R38" s="774" t="s">
        <v>17</v>
      </c>
      <c r="S38" s="775">
        <f t="shared" si="10"/>
        <v>100</v>
      </c>
      <c r="T38" s="774" t="s">
        <v>17</v>
      </c>
      <c r="U38" s="775">
        <f t="shared" si="11"/>
        <v>100</v>
      </c>
      <c r="V38" s="774" t="s">
        <v>17</v>
      </c>
      <c r="W38" s="775">
        <f t="shared" si="12"/>
        <v>100</v>
      </c>
      <c r="X38" s="1813"/>
      <c r="Y38" s="31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10">
        <f t="shared" si="14"/>
        <v>111</v>
      </c>
      <c r="R39" s="774" t="s">
        <v>17</v>
      </c>
      <c r="S39" s="775">
        <f t="shared" si="10"/>
        <v>100</v>
      </c>
      <c r="T39" s="774" t="s">
        <v>17</v>
      </c>
      <c r="U39" s="775">
        <f t="shared" si="11"/>
        <v>100</v>
      </c>
      <c r="V39" s="774" t="s">
        <v>17</v>
      </c>
      <c r="W39" s="775">
        <f t="shared" si="12"/>
        <v>100</v>
      </c>
      <c r="X39" s="1813"/>
      <c r="Y39" s="3180"/>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10">
        <f t="shared" si="14"/>
        <v>111</v>
      </c>
      <c r="R40" s="777" t="s">
        <v>17</v>
      </c>
      <c r="S40" s="778">
        <f t="shared" si="10"/>
        <v>100</v>
      </c>
      <c r="T40" s="777" t="s">
        <v>17</v>
      </c>
      <c r="U40" s="778">
        <f t="shared" si="11"/>
        <v>100</v>
      </c>
      <c r="V40" s="777" t="s">
        <v>17</v>
      </c>
      <c r="W40" s="778">
        <f t="shared" si="12"/>
        <v>100</v>
      </c>
      <c r="X40" s="779"/>
      <c r="Y40" s="3180"/>
      <c r="Z40" s="780">
        <f t="shared" si="13"/>
        <v>111</v>
      </c>
      <c r="AA40" s="1811">
        <f t="shared" si="3"/>
        <v>1</v>
      </c>
      <c r="AB40" s="1811">
        <f t="shared" si="4"/>
        <v>1</v>
      </c>
      <c r="AC40" s="1811">
        <f t="shared" si="5"/>
        <v>1</v>
      </c>
    </row>
    <row r="41" spans="1:29" ht="15">
      <c r="A41" s="479" t="s">
        <v>2721</v>
      </c>
      <c r="B41" s="2708" t="s">
        <v>2800</v>
      </c>
      <c r="C41" s="682" t="s">
        <v>1</v>
      </c>
      <c r="D41" s="481"/>
      <c r="E41" s="482"/>
      <c r="F41" s="483"/>
      <c r="G41" s="484"/>
      <c r="H41" s="485"/>
      <c r="I41" s="482"/>
      <c r="J41" s="485"/>
      <c r="K41" s="783"/>
      <c r="L41" s="1143"/>
      <c r="M41" s="1131"/>
      <c r="N41" s="1131"/>
      <c r="O41" s="1144"/>
      <c r="P41" s="3173" t="str">
        <f>A41</f>
        <v>成交单价</v>
      </c>
      <c r="Q41" s="3173"/>
      <c r="R41" s="3204">
        <f>E41</f>
        <v>0</v>
      </c>
      <c r="S41" s="3204"/>
      <c r="T41" s="3204">
        <f>G41</f>
        <v>0</v>
      </c>
      <c r="U41" s="3204"/>
      <c r="V41" s="3204">
        <f>I41</f>
        <v>0</v>
      </c>
      <c r="W41" s="320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3" t="str">
        <f>A42</f>
        <v>比较价值（元/平方米）</v>
      </c>
      <c r="Q42" s="3173"/>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70" t="str">
        <f>A43</f>
        <v>估价对象XX用房的比较价值（楼面单价，元/平方米）</v>
      </c>
      <c r="Q43" s="3171"/>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9" t="s">
        <v>2760</v>
      </c>
      <c r="D50" s="2710" t="s">
        <v>2761</v>
      </c>
      <c r="E50" s="686" t="s">
        <v>2762</v>
      </c>
      <c r="F50" s="687" t="s">
        <v>2763</v>
      </c>
      <c r="G50" s="3188" t="s">
        <v>2764</v>
      </c>
      <c r="H50" s="3234"/>
      <c r="I50" s="1814" t="s">
        <v>2801</v>
      </c>
      <c r="J50" s="1814">
        <f>项目基本情况!F35</f>
        <v>0</v>
      </c>
      <c r="K50" s="2712" t="s">
        <v>2766</v>
      </c>
      <c r="L50" s="1106"/>
      <c r="M50" s="1144"/>
      <c r="N50" s="1144"/>
      <c r="O50" s="1144"/>
    </row>
    <row r="51" spans="1:17" s="692" customFormat="1">
      <c r="A51" s="688" t="s">
        <v>2767</v>
      </c>
      <c r="B51" s="689" t="e">
        <f>C43</f>
        <v>#DIV/0!</v>
      </c>
      <c r="C51" s="690">
        <v>1</v>
      </c>
      <c r="D51" s="1163">
        <v>1</v>
      </c>
      <c r="E51" s="690">
        <f>'数据-汇总表'!E8+'数据-汇总表'!E9</f>
        <v>33427.47</v>
      </c>
      <c r="F51" s="691" t="e">
        <f t="shared" ref="F51:F60" si="15">ROUND(B51*E51/10000,0)</f>
        <v>#DIV/0!</v>
      </c>
      <c r="G51" s="3184"/>
      <c r="H51" s="3173"/>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3"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4"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5"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2804</v>
      </c>
      <c r="B1" s="241"/>
      <c r="C1" s="245" t="s">
        <v>2805</v>
      </c>
      <c r="D1" s="388">
        <f>SUM(D29:D30,D33:D39)</f>
        <v>0</v>
      </c>
      <c r="E1" s="2721"/>
      <c r="F1" s="2721"/>
      <c r="G1" s="2721"/>
      <c r="H1" s="2721"/>
      <c r="I1" s="2721"/>
      <c r="J1" s="2721"/>
      <c r="K1" s="1370"/>
      <c r="L1" s="2722" t="s">
        <v>2806</v>
      </c>
      <c r="M1" s="1080">
        <f>SUMPRODUCT((区片价!B5:B9=I2)*(区片价!C3:F3=E2)*(区片价!C5:F9))</f>
        <v>0</v>
      </c>
      <c r="N1" s="1083">
        <f>SUMPRODUCT((因素修正幅度!B5:B9=I2)*(因素修正幅度!C3:F3=E2)*(因素修正幅度!C5:F9))</f>
        <v>0</v>
      </c>
      <c r="O1" s="2723"/>
      <c r="P1" s="2723"/>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0"/>
      <c r="L2" s="2730"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5" t="s">
        <v>2819</v>
      </c>
      <c r="D3" s="2726" t="s">
        <v>2820</v>
      </c>
      <c r="E3" s="2731"/>
      <c r="F3" s="2732" t="s">
        <v>2821</v>
      </c>
      <c r="G3" s="916" t="e">
        <f>IF(F3="宗地容积率",'数据-汇总表'!I4,IF(F3="估价对象容积率",'数据-汇总表'!I6,'数据-汇总表'!I7))</f>
        <v>#DIV/0!</v>
      </c>
      <c r="H3" s="198" t="s">
        <v>2822</v>
      </c>
      <c r="I3" s="944"/>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3"/>
      <c r="B4" s="3244"/>
      <c r="C4" s="3244"/>
      <c r="D4" s="3245"/>
      <c r="E4" s="3245"/>
      <c r="F4" s="3245"/>
      <c r="G4" s="3245"/>
      <c r="H4" s="3245"/>
      <c r="I4" s="3245"/>
      <c r="J4" s="3246"/>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2826</v>
      </c>
      <c r="C5" s="917" t="e">
        <f>ROUND(IF(E2="商业",C6*C7+C16,(IF(E2="住宅",C6*C12+C16,C6+C16))),0)</f>
        <v>#DIV/0!</v>
      </c>
      <c r="D5" s="1787" t="e">
        <f>ROUND(IF(F17="增加",C6+C16,C6-C16),0)</f>
        <v>#DIV/0!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2828</v>
      </c>
      <c r="B6" s="2744" t="s">
        <v>2829</v>
      </c>
      <c r="C6" s="918">
        <f>SUMIF(L1:L12,G2,M1:M12)</f>
        <v>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47" t="str">
        <f>IF(E2="商业",IF(C8="不临58条商业街","",2),"")</f>
        <v/>
      </c>
      <c r="B7" s="2749" t="s">
        <v>2832</v>
      </c>
      <c r="C7" s="919" t="e">
        <f>IF(C8="不临58条商业街",1,ROUND(1+(1.6*E8+1.2*E9+0.8*E10+0.4*E11)*C9,4))</f>
        <v>#DIV/0!</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248"/>
      <c r="B8" s="198" t="s">
        <v>2837</v>
      </c>
      <c r="C8" s="2754"/>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0" t="s">
        <v>2840</v>
      </c>
      <c r="X8" s="3241"/>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48"/>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2"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8"/>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8"/>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2"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7"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2"/>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9"/>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t="e">
        <f t="shared" si="0"/>
        <v>#DIV/0!</v>
      </c>
      <c r="U13" s="1603"/>
      <c r="V13" s="1602" t="e">
        <f t="shared" si="1"/>
        <v>#DIV/0!</v>
      </c>
      <c r="W13" s="324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49"/>
      <c r="B14" s="2772"/>
      <c r="C14" s="2773"/>
      <c r="D14" s="2774"/>
      <c r="E14" s="2774"/>
      <c r="F14" s="2775"/>
      <c r="G14" s="2776" t="s">
        <v>2877</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0"/>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7" t="s">
        <v>2883</v>
      </c>
      <c r="B16" s="2749" t="s">
        <v>2884</v>
      </c>
      <c r="C16" s="2939" t="e">
        <f>ROUND(IF(F17="与级别开发程度一致",0,(G17-E17)/C17),0)</f>
        <v>#DIV/0!</v>
      </c>
      <c r="D16" s="3261" t="s">
        <v>2888</v>
      </c>
      <c r="E16" s="3262"/>
      <c r="F16" s="3261" t="s">
        <v>2885</v>
      </c>
      <c r="G16" s="3262"/>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1"/>
      <c r="B17" s="2950" t="s">
        <v>2887</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2890</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2891</v>
      </c>
      <c r="C19" s="924" t="e">
        <f>ROUND(IF(H19="按公示增长率计算",SUMPRODUCT((地价!A3:A26=YEAR(G19)&amp;"-"&amp;ROUNDUP(MONTH(G19)/3,0))*(地价!X2:AB2=E2)*(地价!X3:AB26)),IF(H19="地价指数",M20/M19,(1+I19)^O19)),4)</f>
        <v>#DIV/0!</v>
      </c>
      <c r="D19" s="2793" t="s">
        <v>2892</v>
      </c>
      <c r="E19" s="925">
        <v>41640</v>
      </c>
      <c r="F19" s="2793" t="s">
        <v>2893</v>
      </c>
      <c r="G19" s="926">
        <f>'数据-取费表'!B2</f>
        <v>43608</v>
      </c>
      <c r="H19" s="2794" t="s">
        <v>2894</v>
      </c>
      <c r="I19" s="927" t="str">
        <f>IF(H19="季度增幅（自定义）",SUMIF(N21:N24,E2,O21:O24),"")</f>
        <v/>
      </c>
      <c r="J19" s="2791"/>
      <c r="K19" s="1377"/>
      <c r="L19" s="2795" t="s">
        <v>2895</v>
      </c>
      <c r="M19" s="1734">
        <f>ROUND(SUMIF(地价!B2:F2,E2,地价!B26:F26),0)</f>
        <v>0</v>
      </c>
      <c r="N19" s="2796"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2897</v>
      </c>
      <c r="C20" s="929" t="e">
        <f>ROUND(POWER(1+G20,J20-I20)*(POWER(1+G20,I20)-1)/(POWER(1+G20,J20)-1),4)</f>
        <v>#DIV/0!</v>
      </c>
      <c r="D20" s="2802" t="s">
        <v>2898</v>
      </c>
      <c r="E20" s="1768">
        <f ca="1">存贷款利率!D4/100</f>
        <v>4.3499999999999997E-2</v>
      </c>
      <c r="F20" s="2802" t="s">
        <v>2889</v>
      </c>
      <c r="G20" s="934">
        <f>SUMIF(M26:P26,E2,M28:P28)</f>
        <v>0</v>
      </c>
      <c r="H20" s="2802" t="s">
        <v>2899</v>
      </c>
      <c r="I20" s="935" t="e">
        <f>SUMIF('数据-取费表'!C6:C15,E2,'数据-取费表'!F6:F15)/COUNTIF('数据-取费表'!C6:C15,E2)</f>
        <v>#DIV/0!</v>
      </c>
      <c r="J20" s="936">
        <f>IF(E2="住宅",70,IF(E2="商业",40,50))</f>
        <v>50</v>
      </c>
      <c r="K20" s="1377"/>
      <c r="L20" s="2803" t="s">
        <v>2900</v>
      </c>
      <c r="M20" s="1735">
        <f>ROUND(SUMPRODUCT((地价!A4:A26=YEAR(G19)&amp;"-"&amp;ROUNDUP(MONTH(G19)/3,0))*(地价!B2:F2=E2)*(地价!B4:F26)),0)</f>
        <v>0</v>
      </c>
      <c r="N20" s="2804" t="s">
        <v>2901</v>
      </c>
      <c r="O20" s="2805" t="s">
        <v>2902</v>
      </c>
      <c r="P20" s="2806" t="s">
        <v>2903</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2904</v>
      </c>
      <c r="C21" s="937" t="e">
        <f>IF(B21="容积率修正",IF(G3&lt;=10,D22,J22),C23)</f>
        <v>#DIV/0!</v>
      </c>
      <c r="D21" s="2809"/>
      <c r="E21" s="2809"/>
      <c r="F21" s="2809"/>
      <c r="G21" s="2809"/>
      <c r="H21" s="2809"/>
      <c r="I21" s="2809"/>
      <c r="J21" s="2810"/>
      <c r="K21" s="1377"/>
      <c r="N21" s="2811"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2906</v>
      </c>
      <c r="B22" s="2812" t="s">
        <v>2907</v>
      </c>
      <c r="C22" s="1810" t="s">
        <v>2908</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1"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2910</v>
      </c>
      <c r="B23" s="2813" t="s">
        <v>2911</v>
      </c>
      <c r="C23" s="1013" t="e">
        <f>ROUND(IF(G3&gt;1,IF(I3&lt;7,SUMPRODUCT((B93:B98=I3)*(C92:N92=G2)*(C93:N98)),SUMIF(C92:N92,G2,C100:N100)),IF(I3&lt;7,SUMPRODUCT((B102:B107=I3)*(C92:N92=G2)*(C102:N107)),SUMIF(C92:N92,G2,C109:N109))),4)</f>
        <v>#DIV/0!</v>
      </c>
      <c r="D23" s="2777"/>
      <c r="E23" s="2777"/>
      <c r="F23" s="2814"/>
      <c r="G23" s="2815"/>
      <c r="H23" s="2816"/>
      <c r="I23" s="2817"/>
      <c r="J23" s="2818"/>
      <c r="K23" s="1370"/>
      <c r="N23" s="2811"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2913</v>
      </c>
      <c r="C24" s="924">
        <f>SUMIF(A45:A88,E2,B45:B88)</f>
        <v>0</v>
      </c>
      <c r="D24" s="2790"/>
      <c r="E24" s="2819"/>
      <c r="F24" s="2819"/>
      <c r="G24" s="2819"/>
      <c r="H24" s="2819"/>
      <c r="I24" s="2819"/>
      <c r="J24" s="2820"/>
      <c r="K24" s="1377"/>
      <c r="N24" s="2821"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2915</v>
      </c>
      <c r="C25" s="930"/>
      <c r="D25" s="2752"/>
      <c r="E25" s="2752"/>
      <c r="F25" s="2823"/>
      <c r="G25" s="2752"/>
      <c r="H25" s="2752"/>
      <c r="I25" s="2752"/>
      <c r="J25" s="2753"/>
      <c r="K25" s="1370"/>
      <c r="N25" s="2824"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2917</v>
      </c>
      <c r="C26" s="206" t="e">
        <f>E29+SUM(E33:E39)</f>
        <v>#DIV/0!</v>
      </c>
      <c r="D26" s="2826"/>
      <c r="E26" s="2777"/>
      <c r="F26" s="2827"/>
      <c r="G26" s="2777"/>
      <c r="H26" s="2777"/>
      <c r="I26" s="2777"/>
      <c r="J26" s="2828"/>
      <c r="K26" s="1370"/>
      <c r="L26" s="2781" t="s">
        <v>2814</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75" thickBot="1">
      <c r="A27" s="2825"/>
      <c r="B27" s="2829" t="s">
        <v>2918</v>
      </c>
      <c r="C27" s="931" t="e">
        <f>E30+SUM(I33:I39)</f>
        <v>#DIV/0!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2919</v>
      </c>
      <c r="C28" s="2836" t="s">
        <v>2920</v>
      </c>
      <c r="D28" s="2836" t="s">
        <v>2921</v>
      </c>
      <c r="E28" s="2837" t="s">
        <v>2922</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2923</v>
      </c>
      <c r="C29" s="206" t="e">
        <f>ROUND(C5*C18*C19*C20*C21*C24,0)</f>
        <v>#DIV/0!</v>
      </c>
      <c r="D29" s="2841"/>
      <c r="E29" s="942" t="e">
        <f>ROUND(C29*D29/10000,0)</f>
        <v>#DIV/0!</v>
      </c>
      <c r="F29" s="2842" t="s">
        <v>2924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2925</v>
      </c>
      <c r="C30" s="229" t="e">
        <f>ROUND(IF(E2="工业",C29*M39,C29*M38),0)</f>
        <v>#DIV/0!</v>
      </c>
      <c r="D30" s="2847"/>
      <c r="E30" s="942" t="e">
        <f>ROUND(C30*D30/10000,0)</f>
        <v>#DIV/0!</v>
      </c>
      <c r="F30" s="2848" t="s">
        <v>2926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2927</v>
      </c>
      <c r="C31" s="2853" t="s">
        <v>2928</v>
      </c>
      <c r="D31" s="2765"/>
      <c r="E31" s="2853"/>
      <c r="F31" s="2853"/>
      <c r="G31" s="2763" t="s">
        <v>2929</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2920</v>
      </c>
      <c r="D32" s="498" t="s">
        <v>2921</v>
      </c>
      <c r="E32" s="498" t="s">
        <v>2922</v>
      </c>
      <c r="F32" s="388" t="s">
        <v>2930</v>
      </c>
      <c r="G32" s="2856" t="s">
        <v>2920</v>
      </c>
      <c r="H32" s="2856" t="s">
        <v>2921</v>
      </c>
      <c r="I32" s="2856"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58" t="s">
        <v>2931</v>
      </c>
      <c r="B33" s="2857" t="s">
        <v>2932</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9" t="s">
        <v>2933</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9" t="s">
        <v>2934</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60"/>
      <c r="B36" s="2769" t="s">
        <v>2935</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2936</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2937</v>
      </c>
      <c r="M37" s="2861"/>
      <c r="N37" s="1370"/>
      <c r="O37" s="1370"/>
      <c r="P37" s="1370"/>
      <c r="Q37" s="1370"/>
      <c r="R37" s="1370"/>
      <c r="S37" s="1370"/>
      <c r="T37" s="1370"/>
      <c r="U37" s="1370"/>
      <c r="V37" s="1370"/>
      <c r="W37" s="1370"/>
      <c r="X37" s="1370"/>
      <c r="Y37" s="1370"/>
      <c r="Z37" s="1371"/>
    </row>
    <row r="38" spans="1:37">
      <c r="A38" s="2859"/>
      <c r="B38" s="2769" t="s">
        <v>2938</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2939</v>
      </c>
      <c r="M38" s="2862">
        <v>0.25</v>
      </c>
      <c r="N38" s="1370"/>
      <c r="O38" s="1370"/>
      <c r="P38" s="1370"/>
      <c r="Q38" s="1370"/>
      <c r="R38" s="1370"/>
      <c r="S38" s="1370"/>
      <c r="T38" s="1370"/>
      <c r="U38" s="1370"/>
      <c r="V38" s="1370"/>
      <c r="W38" s="1370"/>
      <c r="X38" s="1370"/>
      <c r="Y38" s="1370"/>
      <c r="Z38" s="1371"/>
    </row>
    <row r="39" spans="1:37" ht="13.5" thickBot="1">
      <c r="A39" s="2845"/>
      <c r="B39" s="2863" t="s">
        <v>2940</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3050</v>
      </c>
      <c r="C41" s="388" t="e">
        <f>ROUND(POWER(1+E41,H41-G41)*(POWER(1+E41,G41)-1)/(POWER(1+E41,H41)-1),4)</f>
        <v>#DIV/0!</v>
      </c>
      <c r="D41" s="200" t="s">
        <v>2889</v>
      </c>
      <c r="E41" s="2933">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2941</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2942</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2943</v>
      </c>
      <c r="B47" s="1809" t="s">
        <v>2944</v>
      </c>
      <c r="C47" s="1809" t="s">
        <v>2945</v>
      </c>
      <c r="D47" s="1809" t="s">
        <v>2946</v>
      </c>
      <c r="E47" s="819" t="s">
        <v>2947</v>
      </c>
      <c r="F47" s="2875" t="s">
        <v>2948</v>
      </c>
      <c r="G47" s="1809" t="s">
        <v>754</v>
      </c>
      <c r="H47" s="2876" t="s">
        <v>2949</v>
      </c>
      <c r="I47" s="1809"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4" t="s">
        <v>2951</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2952</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2953</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2954</v>
      </c>
      <c r="B51" s="2879" t="s">
        <v>2955</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2956</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2957</v>
      </c>
      <c r="B53" s="2880" t="s">
        <v>2958</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2959</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2960</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2961</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2962</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2943</v>
      </c>
      <c r="B58" s="1809"/>
      <c r="C58" s="1809" t="s">
        <v>2945</v>
      </c>
      <c r="D58" s="1809" t="s">
        <v>2946</v>
      </c>
      <c r="E58" s="819" t="s">
        <v>2947</v>
      </c>
      <c r="F58" s="2875" t="s">
        <v>2963</v>
      </c>
      <c r="G58" s="1809" t="s">
        <v>754</v>
      </c>
      <c r="H58" s="2876" t="s">
        <v>2949</v>
      </c>
      <c r="I58" s="1809"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4" t="s">
        <v>2964</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2952</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2953</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2954</v>
      </c>
      <c r="B62" s="2879" t="s">
        <v>2955</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2956</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2957</v>
      </c>
      <c r="B64" s="2880" t="s">
        <v>2958</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2959</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2960</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2961</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2965</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2943</v>
      </c>
      <c r="B69" s="1809"/>
      <c r="C69" s="1809" t="s">
        <v>2945</v>
      </c>
      <c r="D69" s="1809" t="s">
        <v>2946</v>
      </c>
      <c r="E69" s="819" t="s">
        <v>2947</v>
      </c>
      <c r="F69" s="2875" t="s">
        <v>2963</v>
      </c>
      <c r="G69" s="1809" t="s">
        <v>754</v>
      </c>
      <c r="H69" s="2876" t="s">
        <v>2949</v>
      </c>
      <c r="I69" s="1809"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4" t="s">
        <v>2966</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2952</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2953</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2967</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2959</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2960</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2957</v>
      </c>
      <c r="B76" s="2880" t="s">
        <v>2958</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2961</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2968</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2969</v>
      </c>
      <c r="B79" s="2871">
        <f>1+E81</f>
        <v>1</v>
      </c>
      <c r="C79" s="814"/>
      <c r="D79" s="814"/>
      <c r="E79" s="815"/>
      <c r="F79" s="2873"/>
      <c r="G79" s="6"/>
      <c r="H79" s="6"/>
      <c r="I79" s="6"/>
      <c r="J79" s="7"/>
      <c r="K79" s="7"/>
      <c r="L79" s="7"/>
      <c r="M79" s="7"/>
      <c r="N79" s="7"/>
      <c r="Z79" s="2724"/>
      <c r="AA79" s="2792"/>
      <c r="AG79" s="1372"/>
      <c r="AK79" s="2792"/>
    </row>
    <row r="80" spans="1:37" ht="24.75">
      <c r="A80" s="2874" t="s">
        <v>2943</v>
      </c>
      <c r="B80" s="1809"/>
      <c r="C80" s="1809" t="s">
        <v>2945</v>
      </c>
      <c r="D80" s="1809" t="s">
        <v>2946</v>
      </c>
      <c r="E80" s="819" t="s">
        <v>2947</v>
      </c>
      <c r="F80" s="2875" t="s">
        <v>2963</v>
      </c>
      <c r="G80" s="1809" t="s">
        <v>754</v>
      </c>
      <c r="H80" s="2876" t="s">
        <v>2949</v>
      </c>
      <c r="I80" s="1809" t="s">
        <v>2950</v>
      </c>
      <c r="J80" s="603" t="s">
        <v>2598</v>
      </c>
      <c r="K80" s="603" t="s">
        <v>2599</v>
      </c>
      <c r="L80" s="603" t="s">
        <v>2600</v>
      </c>
      <c r="M80" s="603" t="s">
        <v>2601</v>
      </c>
      <c r="N80" s="603" t="s">
        <v>2602</v>
      </c>
      <c r="Z80" s="2724"/>
      <c r="AA80" s="2792"/>
      <c r="AG80" s="1372"/>
      <c r="AK80" s="2792"/>
    </row>
    <row r="81" spans="1:37" ht="38.25">
      <c r="A81" s="2874" t="s">
        <v>2970</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2952</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2953</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2967</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2959</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2960</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2957</v>
      </c>
      <c r="B87" s="2880" t="s">
        <v>2971</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2972</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52" t="s">
        <v>2973</v>
      </c>
      <c r="B90" s="3252"/>
      <c r="C90" s="3252"/>
      <c r="D90" s="3252"/>
      <c r="E90" s="3252"/>
      <c r="F90" s="3252"/>
      <c r="G90" s="3252"/>
      <c r="H90" s="3252"/>
      <c r="I90" s="3252"/>
      <c r="J90" s="3252"/>
      <c r="K90" s="2888"/>
      <c r="L90" s="2888"/>
      <c r="M90" s="2888"/>
      <c r="N90" s="2888"/>
    </row>
    <row r="91" spans="1:37">
      <c r="A91" s="3254" t="s">
        <v>2974</v>
      </c>
      <c r="B91" s="3254" t="s">
        <v>2975</v>
      </c>
      <c r="C91" s="2842" t="s">
        <v>2976</v>
      </c>
      <c r="D91" s="2843"/>
      <c r="E91" s="2843"/>
      <c r="F91" s="2843"/>
      <c r="G91" s="2843"/>
      <c r="H91" s="2843"/>
      <c r="I91" s="2843"/>
      <c r="J91" s="2889"/>
      <c r="K91" s="2890"/>
      <c r="L91" s="2890"/>
      <c r="M91" s="2890"/>
      <c r="N91" s="2890"/>
    </row>
    <row r="92" spans="1:37">
      <c r="A92" s="3254"/>
      <c r="B92" s="325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5"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6"/>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5" t="s">
        <v>2978</v>
      </c>
      <c r="B101" s="2895" t="s">
        <v>2979</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56"/>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56"/>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56"/>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56"/>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56"/>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56"/>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56"/>
      <c r="B108" s="3113"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7"/>
      <c r="B109" s="3114"/>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53" t="s">
        <v>2981</v>
      </c>
      <c r="B110" s="3253"/>
      <c r="C110" s="3253"/>
      <c r="D110" s="3253"/>
      <c r="E110" s="3253"/>
      <c r="F110" s="3253"/>
      <c r="G110" s="3253"/>
      <c r="H110" s="3253"/>
      <c r="I110" s="3253"/>
      <c r="J110" s="3253"/>
      <c r="K110" s="2897"/>
      <c r="L110" s="2897"/>
      <c r="M110" s="2897"/>
      <c r="N110" s="2897"/>
    </row>
    <row r="112" spans="1:14" ht="13.5" thickBot="1"/>
    <row r="113" spans="1:13" ht="25.5" thickBot="1">
      <c r="A113" s="903" t="s">
        <v>2982</v>
      </c>
      <c r="B113" s="1287" t="e">
        <f>G3</f>
        <v>#DIV/0!</v>
      </c>
      <c r="C113" s="904" t="s">
        <v>2983</v>
      </c>
      <c r="D113" s="905" t="e">
        <f>SUMPRODUCT((A115:A118=F113)*(B114:M114=H113)*B115:M118)</f>
        <v>#DIV/0!</v>
      </c>
      <c r="E113" s="2728" t="s">
        <v>2814</v>
      </c>
      <c r="F113" s="2899">
        <f>E2</f>
        <v>0</v>
      </c>
      <c r="G113" s="2728" t="s">
        <v>2815</v>
      </c>
      <c r="H113" s="2899">
        <f>G2</f>
        <v>0</v>
      </c>
      <c r="I113" s="2728"/>
      <c r="J113" s="2900"/>
      <c r="K113" s="2900"/>
      <c r="L113" s="2900"/>
      <c r="M113" s="2900"/>
    </row>
    <row r="114" spans="1:13">
      <c r="A114" s="908"/>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9">
        <f ca="1">SUMIF(INDIRECT("'"&amp;A6&amp;"'"&amp;"!C:C"),"建筑面积",INDIRECT("'"&amp;A6&amp;"'"&amp;"!D:D"))</f>
        <v>0</v>
      </c>
    </row>
    <row r="7" spans="1:5" ht="15.75">
      <c r="A7" s="2911"/>
      <c r="B7" s="2907" t="e">
        <f ca="1">SUMIF(INDIRECT("'"&amp;A7&amp;"'"&amp;"!A:A"),"总价",INDIRECT("'"&amp;A7&amp;"'"&amp;"!B:B"))</f>
        <v>#REF!</v>
      </c>
      <c r="C7" s="2906" t="s">
        <v>2997</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9" t="e">
        <f t="shared" ca="1" si="0"/>
        <v>#REF!</v>
      </c>
    </row>
    <row r="9" spans="1:5" ht="15.75">
      <c r="A9" s="2911"/>
      <c r="B9" s="2907" t="e">
        <f t="shared" ca="1" si="1"/>
        <v>#REF!</v>
      </c>
      <c r="C9" s="2906" t="s">
        <v>2997</v>
      </c>
      <c r="D9" s="2908"/>
      <c r="E9" s="2579" t="e">
        <f t="shared" ca="1" si="0"/>
        <v>#REF!</v>
      </c>
    </row>
    <row r="10" spans="1:5" ht="15.75">
      <c r="A10" s="2911"/>
      <c r="B10" s="2907" t="e">
        <f t="shared" ca="1" si="1"/>
        <v>#REF!</v>
      </c>
      <c r="C10" s="2906" t="s">
        <v>2997</v>
      </c>
      <c r="D10" s="2908"/>
      <c r="E10" s="2579" t="e">
        <f t="shared" ca="1" si="0"/>
        <v>#REF!</v>
      </c>
    </row>
    <row r="11" spans="1:5" ht="15.75">
      <c r="A11" s="2911"/>
      <c r="B11" s="2907" t="e">
        <f t="shared" ca="1" si="1"/>
        <v>#REF!</v>
      </c>
      <c r="C11" s="2906" t="s">
        <v>2997</v>
      </c>
      <c r="D11" s="2908"/>
      <c r="E11" s="2579" t="e">
        <f t="shared" ca="1" si="0"/>
        <v>#REF!</v>
      </c>
    </row>
    <row r="12" spans="1:5" ht="15.75">
      <c r="A12" s="2911"/>
      <c r="B12" s="2907" t="e">
        <f t="shared" ca="1" si="1"/>
        <v>#REF!</v>
      </c>
      <c r="C12" s="2906" t="s">
        <v>2997</v>
      </c>
      <c r="D12" s="2908"/>
      <c r="E12" s="2579" t="e">
        <f t="shared" ca="1" si="0"/>
        <v>#REF!</v>
      </c>
    </row>
    <row r="13" spans="1:5" ht="15.75">
      <c r="A13" s="2911"/>
      <c r="B13" s="2907" t="e">
        <f t="shared" ca="1" si="1"/>
        <v>#REF!</v>
      </c>
      <c r="C13" s="2906" t="s">
        <v>2997</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3038</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5">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6" t="s">
        <v>3007</v>
      </c>
      <c r="D1" s="3277"/>
      <c r="E1" s="3277"/>
      <c r="F1" s="3277"/>
      <c r="G1" s="3277"/>
      <c r="H1" s="3277"/>
      <c r="I1" s="3277"/>
      <c r="J1" s="3277"/>
      <c r="K1" s="3277"/>
      <c r="L1" s="3277"/>
      <c r="M1" s="3277"/>
      <c r="N1" s="3277"/>
      <c r="O1" s="3277"/>
      <c r="P1" s="3277"/>
      <c r="Q1" s="3277"/>
      <c r="R1" s="3277"/>
      <c r="S1" s="3278"/>
      <c r="T1" s="1204" t="s">
        <v>3008</v>
      </c>
    </row>
    <row r="2" spans="1:45" s="707" customFormat="1">
      <c r="A2" s="1205"/>
      <c r="B2" s="703" t="s">
        <v>3009</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3016</v>
      </c>
      <c r="B17" s="2913" t="s">
        <v>3017</v>
      </c>
      <c r="C17" s="1231" t="s">
        <v>3077</v>
      </c>
      <c r="D17" s="1232" t="s">
        <v>3075</v>
      </c>
      <c r="E17" s="1232" t="s">
        <v>3076</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5" t="s">
        <v>3020</v>
      </c>
      <c r="E20" s="1793"/>
      <c r="F20" s="1204" t="e">
        <f ca="1">SUMIF(INDIRECT("'"&amp;H20&amp;"'"&amp;"!A:A"),"承租人权益价值",INDIRECT("'"&amp;H20&amp;"'"&amp;"!c:c"))</f>
        <v>#REF!</v>
      </c>
      <c r="G20" s="1204" t="s">
        <v>3021</v>
      </c>
      <c r="H20" s="2916"/>
      <c r="I20" s="168"/>
      <c r="J20" s="168"/>
      <c r="K20" s="168"/>
      <c r="L20" s="168"/>
      <c r="M20" s="168"/>
      <c r="N20" s="168"/>
      <c r="O20" s="168"/>
      <c r="P20" s="168"/>
      <c r="Q20" s="168"/>
      <c r="R20" s="788"/>
      <c r="S20" s="138"/>
    </row>
    <row r="21" spans="1:45" ht="15.75">
      <c r="A21" s="715" t="s">
        <v>3022</v>
      </c>
      <c r="B21" s="338">
        <f>R22</f>
        <v>3</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33427.47</v>
      </c>
      <c r="C22" s="3135" t="s">
        <v>33</v>
      </c>
      <c r="D22" s="3136"/>
      <c r="E22" s="3136"/>
      <c r="F22" s="3136"/>
      <c r="G22" s="3136"/>
      <c r="H22" s="3136"/>
      <c r="I22" s="3136"/>
      <c r="J22" s="3136"/>
      <c r="K22" s="3136"/>
      <c r="L22" s="3136"/>
      <c r="M22" s="3136"/>
      <c r="N22" s="3136"/>
      <c r="O22" s="3136"/>
      <c r="P22" s="3136"/>
      <c r="Q22" s="3275"/>
      <c r="R22" s="716">
        <f>ROUND(S22*10000/B22,0)</f>
        <v>3</v>
      </c>
      <c r="S22" s="24">
        <f>SUM(S24:S10000)</f>
        <v>11</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284" t="s">
        <v>3074</v>
      </c>
      <c r="B24" s="718">
        <f>'数据-基础表'!I13</f>
        <v>11131.29</v>
      </c>
      <c r="C24" s="719">
        <v>1</v>
      </c>
      <c r="D24" s="720"/>
      <c r="E24" s="719">
        <v>1</v>
      </c>
      <c r="F24" s="720"/>
      <c r="G24" s="719">
        <v>1</v>
      </c>
      <c r="H24" s="720"/>
      <c r="I24" s="719">
        <v>1</v>
      </c>
      <c r="J24" s="720"/>
      <c r="K24" s="719">
        <v>1</v>
      </c>
      <c r="L24" s="720"/>
      <c r="M24" s="719">
        <v>1</v>
      </c>
      <c r="N24" s="720"/>
      <c r="O24" s="719">
        <v>1</v>
      </c>
      <c r="P24" s="720" t="s">
        <v>3073</v>
      </c>
      <c r="Q24" s="719">
        <v>1</v>
      </c>
      <c r="R24" s="721">
        <v>4.5</v>
      </c>
      <c r="S24" s="719">
        <f t="shared" ref="S24:S54" si="11">ROUND(R24*B24/10000,0)</f>
        <v>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3075</v>
      </c>
      <c r="B25" s="59">
        <f>'数据-基础表'!I14</f>
        <v>11149.75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3078</v>
      </c>
      <c r="Q25" s="24">
        <f>(SUMIF($17:$17,P25,$18:$18)-SUMIF($17:$17,$P$24,$18:$18)+100)/100</f>
        <v>0.7</v>
      </c>
      <c r="R25" s="716">
        <f>IF(B25="",0,ROUND($R$24*C25*E25*G25*I25*K25*M25*O25*Q25,0))</f>
        <v>3</v>
      </c>
      <c r="S25" s="361">
        <f t="shared" si="11"/>
        <v>3</v>
      </c>
    </row>
    <row r="26" spans="1:45">
      <c r="A26" s="159" t="s">
        <v>3076</v>
      </c>
      <c r="B26" s="59">
        <f>'数据-基础表'!I15</f>
        <v>11146.43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3079</v>
      </c>
      <c r="Q26" s="24">
        <f t="shared" ref="Q26:Q89" si="19">(SUMIF($17:$17,P26,$18:$18)-SUMIF($17:$17,$P$24,$18:$18)+100)/100</f>
        <v>0.6</v>
      </c>
      <c r="R26" s="716">
        <f t="shared" ref="R26:R89" si="20">IF(B26="",0,ROUND($R$24*C26*E26*G26*I26*K26*M26*O26*Q26,0))</f>
        <v>3</v>
      </c>
      <c r="S26" s="361">
        <f t="shared" si="11"/>
        <v>3</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1"/>
      <c r="B4" s="2958" t="s">
        <v>1626</v>
      </c>
      <c r="C4" s="2958"/>
      <c r="D4" s="2958"/>
      <c r="E4" s="1961"/>
    </row>
    <row r="5" spans="1:5" ht="16.5" thickTop="1">
      <c r="A5" s="1959"/>
      <c r="B5" s="2956" t="s">
        <v>1618</v>
      </c>
      <c r="C5" s="1962" t="s">
        <v>1619</v>
      </c>
      <c r="D5" s="1040">
        <f ca="1">结果表!H101</f>
        <v>34223</v>
      </c>
      <c r="E5" s="1959"/>
    </row>
    <row r="6" spans="1:5" ht="15.75">
      <c r="A6" s="1959"/>
      <c r="B6" s="2956"/>
      <c r="C6" s="1962" t="s">
        <v>1620</v>
      </c>
      <c r="D6" s="1040" t="str">
        <f ca="1">NUMBERSTRING(INT(D5*10000),2)&amp;"元整"</f>
        <v>叁亿肆仟贰佰贰拾叁万元整</v>
      </c>
      <c r="E6" s="1959"/>
    </row>
    <row r="7" spans="1:5" ht="15.75">
      <c r="A7" s="1959"/>
      <c r="B7" s="2961"/>
      <c r="C7" s="1963" t="s">
        <v>1621</v>
      </c>
      <c r="D7" s="1041">
        <f ca="1">结果表!H102</f>
        <v>10238</v>
      </c>
      <c r="E7" s="1959"/>
    </row>
    <row r="8" spans="1:5" ht="15.75">
      <c r="A8" s="1959"/>
      <c r="B8" s="2962" t="str">
        <f>结果表!E103</f>
        <v>2.估价师知悉的法定优先受偿款</v>
      </c>
      <c r="C8" s="1964" t="s">
        <v>1622</v>
      </c>
      <c r="D8" s="1041">
        <f>结果表!H103</f>
        <v>0</v>
      </c>
      <c r="E8" s="1959"/>
    </row>
    <row r="9" spans="1:5" ht="15.75">
      <c r="A9" s="1959"/>
      <c r="B9" s="2964"/>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5" t="str">
        <f>结果表!E107</f>
        <v>3.房地产抵押价值</v>
      </c>
      <c r="C13" s="1967" t="s">
        <v>1619</v>
      </c>
      <c r="D13" s="1043">
        <f ca="1">结果表!H107</f>
        <v>34223</v>
      </c>
      <c r="E13" s="1959"/>
    </row>
    <row r="14" spans="1:5" ht="15.75">
      <c r="A14" s="1959"/>
      <c r="B14" s="2956"/>
      <c r="C14" s="1962" t="s">
        <v>1620</v>
      </c>
      <c r="D14" s="1040" t="str">
        <f ca="1">NUMBERSTRING(INT(D13*10000),2)&amp;"元整"</f>
        <v>叁亿肆仟贰佰贰拾叁万元整</v>
      </c>
      <c r="E14" s="1959"/>
    </row>
    <row r="15" spans="1:5" ht="15">
      <c r="A15" s="1959"/>
      <c r="B15" s="2961"/>
      <c r="C15" s="1963" t="s">
        <v>1630</v>
      </c>
      <c r="D15" s="1052">
        <f ca="1">结果表!H108</f>
        <v>10238</v>
      </c>
      <c r="E15" s="1959"/>
    </row>
    <row r="16" spans="1:5" ht="15">
      <c r="A16" s="1959"/>
      <c r="B16" s="2962" t="str">
        <f>结果表!E109</f>
        <v>——</v>
      </c>
      <c r="C16" s="1967" t="s">
        <v>1631</v>
      </c>
      <c r="D16" s="1968" t="str">
        <f>结果表!H109</f>
        <v>——</v>
      </c>
      <c r="E16" s="1959"/>
    </row>
    <row r="17" spans="1:5" ht="15.75">
      <c r="A17" s="1959"/>
      <c r="B17" s="2963"/>
      <c r="C17" s="1962" t="s">
        <v>1632</v>
      </c>
      <c r="D17" s="1040" t="e">
        <f>NUMBERSTRING(INT(D16*10000),2)&amp;"元整"</f>
        <v>#VALUE!</v>
      </c>
      <c r="E17" s="1959"/>
    </row>
    <row r="18" spans="1:5" ht="15">
      <c r="A18" s="1959"/>
      <c r="B18" s="2964"/>
      <c r="C18" s="1963" t="s">
        <v>1621</v>
      </c>
      <c r="D18" s="1052" t="str">
        <f>结果表!H110</f>
        <v>——</v>
      </c>
      <c r="E18" s="1959"/>
    </row>
    <row r="19" spans="1:5" ht="15.75">
      <c r="A19" s="1959"/>
      <c r="B19" s="2955" t="str">
        <f>结果表!E111</f>
        <v>——</v>
      </c>
      <c r="C19" s="1967" t="s">
        <v>1619</v>
      </c>
      <c r="D19" s="1041" t="str">
        <f>结果表!H111</f>
        <v>——</v>
      </c>
      <c r="E19" s="1959"/>
    </row>
    <row r="20" spans="1:5" ht="15.75">
      <c r="A20" s="1959"/>
      <c r="B20" s="2956"/>
      <c r="C20" s="1962" t="s">
        <v>1632</v>
      </c>
      <c r="D20" s="1040" t="e">
        <f>NUMBERSTRING(INT(D19*10000),2)&amp;"元整"</f>
        <v>#VALUE!</v>
      </c>
      <c r="E20" s="1959"/>
    </row>
    <row r="21" spans="1:5" ht="15.75" thickBot="1">
      <c r="A21" s="1959"/>
      <c r="B21" s="2957"/>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44265</v>
      </c>
      <c r="C2" s="2" t="s">
        <v>133</v>
      </c>
      <c r="D2" s="243"/>
      <c r="E2" s="243"/>
      <c r="F2" s="243"/>
      <c r="G2" s="243"/>
    </row>
    <row r="3" spans="1:7" s="244" customFormat="1" ht="18" customHeight="1" thickBot="1">
      <c r="A3" s="247" t="s">
        <v>85</v>
      </c>
      <c r="B3" s="248">
        <f ca="1">ROUND(B2*10000/'数据-汇总表'!E3,0)</f>
        <v>13242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120</v>
      </c>
      <c r="F9" s="265"/>
      <c r="G9" s="270"/>
    </row>
    <row r="10" spans="1:7" s="258" customFormat="1" ht="13.5" customHeight="1">
      <c r="A10" s="950" t="s">
        <v>801</v>
      </c>
      <c r="B10" s="268" t="s">
        <v>94</v>
      </c>
      <c r="C10" s="269">
        <f>ROUND(D10*E10/10000,0)</f>
        <v>401</v>
      </c>
      <c r="D10" s="1032">
        <f>'数据-汇总表'!E6</f>
        <v>33427.47</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669</v>
      </c>
      <c r="D19" s="1036">
        <f>'数据-汇总表'!E3</f>
        <v>33427.47</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1549</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48</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3256</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3256</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11700</v>
      </c>
      <c r="D34" s="261"/>
      <c r="E34" s="264"/>
      <c r="F34" s="301">
        <f>IF('数据-取费表'!B24=0,1,'数据-取费表'!N16)</f>
        <v>1</v>
      </c>
      <c r="G34" s="263" t="s">
        <v>116</v>
      </c>
    </row>
    <row r="35" spans="1:7" ht="13.5" customHeight="1">
      <c r="A35" s="951" t="s">
        <v>796</v>
      </c>
      <c r="B35" s="259" t="s">
        <v>60</v>
      </c>
      <c r="C35" s="264">
        <f>ROUND(C34*F35,0)</f>
        <v>351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669</v>
      </c>
      <c r="D37" s="261">
        <f>'数据-汇总表'!E3</f>
        <v>33427.47</v>
      </c>
      <c r="E37" s="293">
        <f>'数据-取费表'!B35</f>
        <v>200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466</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457</v>
      </c>
      <c r="D42" s="282"/>
      <c r="E42" s="282"/>
      <c r="F42" s="283"/>
      <c r="G42" s="3140" t="s">
        <v>121</v>
      </c>
    </row>
    <row r="43" spans="1:7" ht="13.5" customHeight="1">
      <c r="A43" s="951" t="s">
        <v>792</v>
      </c>
      <c r="B43" s="259" t="s">
        <v>1061</v>
      </c>
      <c r="C43" s="282">
        <f ca="1">ROUND(IF('数据-取费表'!B22&lt;=1,C39*F22*'数据-取费表'!B21/2,C39*(POWER((1+F22),'数据-取费表'!B21/2)-1)),0)</f>
        <v>9</v>
      </c>
      <c r="D43" s="282"/>
      <c r="E43" s="282"/>
      <c r="F43" s="283"/>
      <c r="G43" s="3141"/>
    </row>
    <row r="44" spans="1:7" ht="13.5" customHeight="1">
      <c r="A44" s="951" t="s">
        <v>793</v>
      </c>
      <c r="B44" s="259" t="s">
        <v>1063</v>
      </c>
      <c r="C44" s="282">
        <f ca="1">ROUND(IF('数据-取费表'!B22&lt;=1,C40*F22*'数据-取费表'!B21/2,C40*(POWER((1+F22),'数据-取费表'!B21/2)-1)),4)</f>
        <v>6.9999999999999999E-4</v>
      </c>
      <c r="D44" s="282"/>
      <c r="E44" s="282"/>
      <c r="F44" s="283"/>
      <c r="G44" s="3142"/>
    </row>
    <row r="45" spans="1:7" s="258" customFormat="1" ht="13.5" customHeight="1">
      <c r="A45" s="948" t="s">
        <v>786</v>
      </c>
      <c r="B45" s="288" t="s">
        <v>112</v>
      </c>
      <c r="C45" s="289">
        <f>C46</f>
        <v>1973</v>
      </c>
      <c r="D45" s="279">
        <f>C47</f>
        <v>3.0000000000000001E-3</v>
      </c>
      <c r="E45" s="280" t="s">
        <v>129</v>
      </c>
      <c r="F45" s="290"/>
      <c r="G45" s="291" t="s">
        <v>1069</v>
      </c>
    </row>
    <row r="46" spans="1:7" s="258" customFormat="1" ht="13.5" customHeight="1">
      <c r="A46" s="951" t="s">
        <v>794</v>
      </c>
      <c r="B46" s="292" t="s">
        <v>1062</v>
      </c>
      <c r="C46" s="293">
        <f>ROUND((C33+C39)*F27,0)</f>
        <v>1973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16894</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15542</v>
      </c>
      <c r="D51" s="276"/>
      <c r="E51" s="276"/>
      <c r="F51" s="308"/>
      <c r="G51" s="278" t="s">
        <v>64</v>
      </c>
    </row>
    <row r="52" spans="1:7" s="252" customFormat="1" ht="16.5" thickBot="1">
      <c r="A52" s="309" t="s">
        <v>65</v>
      </c>
      <c r="B52" s="310"/>
      <c r="C52" s="311">
        <f ca="1">C31+C51</f>
        <v>44265</v>
      </c>
      <c r="D52" s="310"/>
      <c r="E52" s="310"/>
      <c r="F52" s="310"/>
      <c r="G52" s="312"/>
    </row>
    <row r="55" spans="1:7" ht="15">
      <c r="B55" s="314" t="s">
        <v>66</v>
      </c>
      <c r="C55" s="315"/>
    </row>
    <row r="56" spans="1:7">
      <c r="B56" s="317" t="s">
        <v>67</v>
      </c>
      <c r="C56" s="318">
        <f ca="1">ROUND(C51/C52,3)</f>
        <v>0.35099999999999998</v>
      </c>
    </row>
    <row r="57" spans="1:7">
      <c r="B57" s="317" t="s">
        <v>68</v>
      </c>
      <c r="C57" s="319">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43608</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
  <sheetViews>
    <sheetView workbookViewId="0">
      <selection activeCell="G12" sqref="G12"/>
    </sheetView>
  </sheetViews>
  <sheetFormatPr defaultRowHeight="13.5"/>
  <cols>
    <col min="8" max="8" width="10.5" bestFit="1" customWidth="1"/>
  </cols>
  <sheetData>
    <row r="2" spans="2:9">
      <c r="B2" s="3285" t="s">
        <v>3080</v>
      </c>
      <c r="C2">
        <f>'数据-基础表'!I13</f>
        <v>11131.29</v>
      </c>
      <c r="D2">
        <v>1</v>
      </c>
      <c r="E2">
        <v>4</v>
      </c>
      <c r="F2">
        <f>E2*C2</f>
        <v>44525.16</v>
      </c>
      <c r="G2">
        <v>14500</v>
      </c>
      <c r="H2">
        <f>G2*C2</f>
        <v>161403705</v>
      </c>
    </row>
    <row r="3" spans="2:9">
      <c r="B3" s="3285" t="s">
        <v>3081</v>
      </c>
      <c r="C3">
        <f>'数据-基础表'!I14</f>
        <v>11149.75</v>
      </c>
      <c r="D3">
        <v>0.7</v>
      </c>
      <c r="E3">
        <f>E2*D3</f>
        <v>2.8</v>
      </c>
      <c r="F3">
        <f>E3*C3</f>
        <v>31219.3</v>
      </c>
      <c r="G3">
        <f>G2*D3</f>
        <v>10150</v>
      </c>
      <c r="H3">
        <f>G3*C3</f>
        <v>113169962.5</v>
      </c>
    </row>
    <row r="4" spans="2:9">
      <c r="B4" s="3285" t="s">
        <v>3082</v>
      </c>
      <c r="C4">
        <f>'数据-基础表'!I15</f>
        <v>11146.43</v>
      </c>
      <c r="D4">
        <v>0.6</v>
      </c>
      <c r="E4">
        <f>E2*D4</f>
        <v>2.4</v>
      </c>
      <c r="F4">
        <f>E4*C4</f>
        <v>26751.432000000001</v>
      </c>
      <c r="G4">
        <f>G2*D4</f>
        <v>8700</v>
      </c>
      <c r="H4">
        <f>G4*C4</f>
        <v>96973941</v>
      </c>
    </row>
    <row r="5" spans="2:9">
      <c r="C5">
        <f>SUM(C2:C4)</f>
        <v>33427.47</v>
      </c>
      <c r="D5">
        <f>SUM(D2:D4)</f>
        <v>2.2999999999999998</v>
      </c>
      <c r="E5">
        <f>ROUND(F5/C5,2)</f>
        <v>3.07</v>
      </c>
      <c r="F5">
        <f>SUM(F2:F4)</f>
        <v>102495.89200000001</v>
      </c>
      <c r="G5">
        <f>H5/C5</f>
        <v>11115.038275406425</v>
      </c>
      <c r="H5">
        <f>SUM(H2:H4)</f>
        <v>371547608.5</v>
      </c>
      <c r="I5">
        <f ca="1">结果表!G19</f>
        <v>34223</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69"/>
      <c r="B3" s="2969"/>
      <c r="C3" s="2969"/>
      <c r="D3" s="1044" t="s">
        <v>1634</v>
      </c>
      <c r="E3" s="1044" t="s">
        <v>1640</v>
      </c>
      <c r="F3" s="1044" t="s">
        <v>1634</v>
      </c>
      <c r="G3" s="1044" t="s">
        <v>1635</v>
      </c>
      <c r="H3" s="1044" t="s">
        <v>1634</v>
      </c>
      <c r="I3" s="1044" t="s">
        <v>1635</v>
      </c>
    </row>
    <row r="4" spans="1:9" ht="30">
      <c r="A4" s="1973" t="str">
        <f>项目基本情况!S2</f>
        <v>房地产</v>
      </c>
      <c r="B4" s="1044">
        <f>项目基本情况!C17</f>
        <v>33427.47</v>
      </c>
      <c r="C4" s="1044">
        <f>项目基本情况!C18</f>
        <v>0</v>
      </c>
      <c r="D4" s="1044" t="e">
        <f ca="1">结果表!D118</f>
        <v>#REF!</v>
      </c>
      <c r="E4" s="1044" t="e">
        <f ca="1">结果表!E118</f>
        <v>#REF!</v>
      </c>
      <c r="F4" s="1044" t="e">
        <f ca="1">结果表!F118</f>
        <v>#REF!</v>
      </c>
      <c r="G4" s="1044" t="e">
        <f ca="1">结果表!G118</f>
        <v>#REF!</v>
      </c>
      <c r="H4" s="1044">
        <f ca="1">结果表!H118</f>
        <v>34223</v>
      </c>
      <c r="I4" s="1044">
        <f ca="1">结果表!I118</f>
        <v>10238</v>
      </c>
    </row>
    <row r="5" spans="1:9" ht="30" customHeight="1">
      <c r="A5" s="2969" t="s">
        <v>1636</v>
      </c>
      <c r="B5" s="2969"/>
      <c r="C5" s="2969"/>
      <c r="D5" s="2970" t="e">
        <f ca="1">结果表!D119</f>
        <v>#REF!</v>
      </c>
      <c r="E5" s="2970"/>
      <c r="F5" s="2970" t="e">
        <f ca="1">结果表!F119</f>
        <v>#REF!</v>
      </c>
      <c r="G5" s="2970"/>
      <c r="H5" s="2970" t="str">
        <f ca="1">结果表!H119</f>
        <v>叁亿肆仟贰佰贰拾叁万元整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1636</v>
      </c>
      <c r="B7" s="2969"/>
      <c r="C7" s="2969"/>
      <c r="D7" s="2971" t="str">
        <f>结果表!D121</f>
        <v>零元整</v>
      </c>
      <c r="E7" s="2972"/>
      <c r="F7" s="2972"/>
      <c r="G7" s="2972"/>
      <c r="H7" s="2972"/>
      <c r="I7" s="2973"/>
    </row>
    <row r="8" spans="1:9" ht="15.75">
      <c r="A8" s="2968" t="str">
        <f>结果表!A122</f>
        <v>房地产抵押价值</v>
      </c>
      <c r="B8" s="2968"/>
      <c r="C8" s="2968"/>
      <c r="D8" s="2968">
        <f ca="1">结果表!D122</f>
        <v>34223</v>
      </c>
      <c r="E8" s="2968"/>
      <c r="F8" s="2968"/>
      <c r="G8" s="2968"/>
      <c r="H8" s="2968"/>
      <c r="I8" s="2968"/>
    </row>
    <row r="9" spans="1:9" ht="15">
      <c r="A9" s="2969" t="s">
        <v>1636</v>
      </c>
      <c r="B9" s="2969"/>
      <c r="C9" s="2969"/>
      <c r="D9" s="2970" t="str">
        <f ca="1">结果表!D123</f>
        <v>叁亿肆仟贰佰贰拾叁万元整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1636</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1636</v>
      </c>
      <c r="B13" s="2965"/>
      <c r="C13" s="2965"/>
      <c r="D13" s="2966" t="e">
        <f>结果表!D127</f>
        <v>#VALUE!</v>
      </c>
      <c r="E13" s="2966"/>
      <c r="F13" s="2966"/>
      <c r="G13" s="2966"/>
      <c r="H13" s="2966"/>
      <c r="I13" s="2966"/>
    </row>
    <row r="14" spans="1:9" ht="15" thickTop="1">
      <c r="A14" s="2967" t="s">
        <v>1641</v>
      </c>
      <c r="B14" s="2967"/>
      <c r="C14" s="2967"/>
      <c r="D14" s="2967"/>
      <c r="E14" s="2967"/>
      <c r="F14" s="2967"/>
      <c r="G14" s="2967"/>
      <c r="H14" s="2967"/>
      <c r="I14" s="296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2" t="s">
        <v>1658</v>
      </c>
      <c r="B1" s="2982"/>
      <c r="C1" s="2982"/>
      <c r="D1" s="2982"/>
    </row>
    <row r="2" spans="1:4" ht="18">
      <c r="A2" s="2983" t="s">
        <v>1642</v>
      </c>
      <c r="B2" s="2983"/>
      <c r="C2" s="2983"/>
      <c r="D2" s="2983"/>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3" t="s">
        <v>1648</v>
      </c>
      <c r="B6" s="2983"/>
      <c r="C6" s="2983"/>
      <c r="D6" s="2983"/>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4"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1"/>
      <c r="C12" s="2981"/>
      <c r="D12" s="2981"/>
    </row>
    <row r="13" spans="1:4" ht="30" customHeight="1">
      <c r="A13" s="2976" t="str">
        <f>IF(项目基本情况!B8="抵押","3.抵押双方在办理抵押登记手续时，应使用本公司出具的正式《房地产评估报告》，特提醒报告使用者注意。","——")</f>
        <v>——</v>
      </c>
      <c r="B13" s="2981"/>
      <c r="C13" s="2981"/>
      <c r="D13" s="2981"/>
    </row>
    <row r="14" spans="1:4" ht="15.75" customHeight="1">
      <c r="A14" s="2976" t="str">
        <f>IF(项目基本情况!B8="抵押","4.本次评估估价师所知悉的法定优先受偿款情况说明如下：","——")</f>
        <v>——</v>
      </c>
      <c r="B14" s="2981"/>
      <c r="C14" s="2981"/>
      <c r="D14" s="2981"/>
    </row>
    <row r="15" spans="1:4" ht="42" customHeight="1">
      <c r="A15" s="2976" t="str">
        <f>IF(项目基本情况!B8="抵押","（1）"&amp;CONCATENATE(项目基本情况!L20,项目基本情况!L21,项目基本情况!L22),"——")</f>
        <v>——</v>
      </c>
      <c r="B15" s="2976"/>
      <c r="C15" s="2976"/>
      <c r="D15" s="2976"/>
    </row>
    <row r="16" spans="1:4" ht="30" customHeight="1">
      <c r="A16" s="2978" t="s">
        <v>1652</v>
      </c>
      <c r="B16" s="2978"/>
      <c r="C16" s="2978"/>
      <c r="D16" s="2978"/>
    </row>
    <row r="17" spans="1:4" ht="144" customHeight="1">
      <c r="A17" s="2978" t="s">
        <v>1653</v>
      </c>
      <c r="B17" s="2978"/>
      <c r="C17" s="2978"/>
      <c r="D17" s="2978"/>
    </row>
    <row r="18" spans="1:4" ht="15.75" customHeight="1">
      <c r="A18" s="2976" t="str">
        <f>IF(项目基本情况!B8="抵押",结果表!K120,"——")</f>
        <v>——</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1654</v>
      </c>
      <c r="B22" s="2980"/>
      <c r="C22" s="2980"/>
      <c r="D22" s="2980"/>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0" t="s">
        <v>1665</v>
      </c>
      <c r="B15" s="2985" t="s">
        <v>136</v>
      </c>
      <c r="C15" s="2986"/>
    </row>
    <row r="16" spans="1:7" ht="13.5">
      <c r="A16" s="2991"/>
      <c r="B16" s="2985" t="s">
        <v>69</v>
      </c>
      <c r="C16" s="2986"/>
    </row>
    <row r="17" spans="1:3" ht="13.5">
      <c r="A17" s="2991"/>
      <c r="B17" s="2988" t="s">
        <v>1666</v>
      </c>
      <c r="C17" s="2000" t="s">
        <v>1665</v>
      </c>
    </row>
    <row r="18" spans="1:3" ht="13.5">
      <c r="A18" s="2991"/>
      <c r="B18" s="2988"/>
      <c r="C18" s="2000" t="s">
        <v>1667</v>
      </c>
    </row>
    <row r="19" spans="1:3" ht="13.5">
      <c r="A19" s="2991"/>
      <c r="B19" s="2988"/>
      <c r="C19" s="2000" t="s">
        <v>1668</v>
      </c>
    </row>
    <row r="20" spans="1:3" ht="13.5">
      <c r="A20" s="2992"/>
      <c r="B20" s="2987" t="s">
        <v>1669</v>
      </c>
      <c r="C20" s="2986"/>
    </row>
    <row r="21" spans="1:3" ht="13.5">
      <c r="A21" s="2001" t="s">
        <v>1670</v>
      </c>
      <c r="B21" s="2002"/>
      <c r="C21" s="2003"/>
    </row>
    <row r="22" spans="1:3" ht="13.5">
      <c r="A22" s="2989" t="s">
        <v>1671</v>
      </c>
      <c r="B22" s="2987" t="s">
        <v>1672</v>
      </c>
      <c r="C22" s="2986"/>
    </row>
    <row r="23" spans="1:3" ht="13.5">
      <c r="A23" s="2989"/>
      <c r="B23" s="2987" t="s">
        <v>1673</v>
      </c>
      <c r="C23" s="2986"/>
    </row>
    <row r="24" spans="1:3" ht="13.5">
      <c r="A24" s="2989"/>
      <c r="B24" s="2987" t="s">
        <v>1674</v>
      </c>
      <c r="C24" s="2986"/>
    </row>
    <row r="25" spans="1:3" ht="13.5">
      <c r="A25" s="2989"/>
      <c r="B25" s="2988" t="s">
        <v>1675</v>
      </c>
      <c r="C25" s="2000" t="s">
        <v>1676</v>
      </c>
    </row>
    <row r="26" spans="1:3" ht="13.5">
      <c r="A26" s="2989"/>
      <c r="B26" s="2988"/>
      <c r="C26" s="2000" t="s">
        <v>1677</v>
      </c>
    </row>
    <row r="27" spans="1:3" ht="13.5">
      <c r="A27" s="2989"/>
      <c r="B27" s="2988"/>
      <c r="C27" s="2000" t="s">
        <v>1678</v>
      </c>
    </row>
    <row r="28" spans="1:3" ht="13.5">
      <c r="A28" s="2989"/>
      <c r="B28" s="2988"/>
      <c r="C28" s="2000" t="s">
        <v>1679</v>
      </c>
    </row>
    <row r="29" spans="1:3" ht="13.5">
      <c r="A29" s="2989"/>
      <c r="B29" s="2988"/>
      <c r="C29" s="2000" t="s">
        <v>1680</v>
      </c>
    </row>
    <row r="30" spans="1:3" ht="13.5">
      <c r="A30" s="2989"/>
      <c r="B30" s="2988"/>
      <c r="C30" s="2000" t="s">
        <v>1681</v>
      </c>
    </row>
    <row r="31" spans="1:3" ht="13.5">
      <c r="A31" s="2989"/>
      <c r="B31" s="2988"/>
      <c r="C31" s="2000" t="s">
        <v>1682</v>
      </c>
    </row>
    <row r="32" spans="1:3" ht="13.5">
      <c r="A32" s="2989"/>
      <c r="B32" s="2988"/>
      <c r="C32" s="2000" t="s">
        <v>1683</v>
      </c>
    </row>
    <row r="33" spans="1:3" ht="13.5">
      <c r="A33" s="2989"/>
      <c r="B33" s="298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43608</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3046</v>
      </c>
      <c r="B14" s="1022">
        <f ca="1">IF(C14&lt;B2,"已过期",1120040230)</f>
        <v>1120040230</v>
      </c>
      <c r="C14" s="2349">
        <v>43835</v>
      </c>
      <c r="D14" s="2352" t="s">
        <v>3046</v>
      </c>
      <c r="E14" s="1022">
        <f ca="1">IF(F14&lt;B2,"已过期",98030020)</f>
        <v>98030020</v>
      </c>
      <c r="F14" s="1030">
        <v>47118</v>
      </c>
    </row>
    <row r="15" spans="1:6" ht="24" customHeight="1">
      <c r="A15" s="1703" t="s">
        <v>3047</v>
      </c>
      <c r="B15" s="1022">
        <f ca="1">IF(C15&lt;B2,"已过期",1120070085)</f>
        <v>1120070085</v>
      </c>
      <c r="C15" s="2349">
        <v>43814</v>
      </c>
      <c r="D15" s="2353" t="s">
        <v>3047</v>
      </c>
      <c r="E15" s="1022">
        <f ca="1">IF(F15&lt;B2,"已过期",2004110128)</f>
        <v>2004110128</v>
      </c>
      <c r="F15" s="1023">
        <v>47118</v>
      </c>
    </row>
    <row r="16" spans="1:6" ht="24" customHeight="1">
      <c r="A16" s="1702" t="s">
        <v>3048</v>
      </c>
      <c r="B16" s="1022">
        <f ca="1">IF(C16&lt;B2,"已过期",1120140022)</f>
        <v>1120140022</v>
      </c>
      <c r="C16" s="2932">
        <v>44029</v>
      </c>
      <c r="D16" s="2352" t="s">
        <v>3048</v>
      </c>
      <c r="E16" s="1022">
        <f ca="1">IF(F16&lt;B2,"已过期",2008110059)</f>
        <v>2008110059</v>
      </c>
      <c r="F16" s="1030">
        <v>47177</v>
      </c>
    </row>
    <row r="17" spans="1:7" ht="24" customHeight="1">
      <c r="A17" s="1702"/>
      <c r="B17" s="1022"/>
      <c r="C17" s="2349"/>
      <c r="D17" s="2352" t="s">
        <v>3049</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2019-05-23T08:07:39Z</dcterms:modified>
</cp:coreProperties>
</file>