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朝阳区三丰北里16幢-3层地下车库\"/>
    </mc:Choice>
  </mc:AlternateContent>
  <xr:revisionPtr revIDLastSave="0" documentId="13_ncr:1_{4F657950-F7D1-402B-8C25-C2EF49D43FD1}" xr6:coauthVersionLast="47" xr6:coauthVersionMax="47" xr10:uidLastSave="{00000000-0000-0000-0000-000000000000}"/>
  <bookViews>
    <workbookView xWindow="-120" yWindow="-120" windowWidth="29040" windowHeight="1584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基准地价修正" sheetId="43" r:id="rId30"/>
    <sheet name="收益法" sheetId="15"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9">基准地价修正!$A$1:$J$44,基准地价修正!$A$47:$H$101,基准地价修正!$R$1:$V$16</definedName>
    <definedName name="_xlnm.Print_Area" localSheetId="21">假设开发法!$A$1:$K$32</definedName>
    <definedName name="_xlnm.Print_Area" localSheetId="18">结果表!$A$1:$I$127</definedName>
    <definedName name="_xlnm.Print_Area" localSheetId="3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O225" i="80" l="1"/>
  <c r="C66" i="9" l="1"/>
  <c r="I19" i="9"/>
  <c r="D42" i="43"/>
  <c r="W21" i="1"/>
  <c r="Y6" i="1"/>
  <c r="N6" i="1"/>
  <c r="G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4" i="79"/>
  <c r="AI34" i="79" s="1"/>
  <c r="U33" i="79"/>
  <c r="AI33" i="79" s="1"/>
  <c r="S20" i="79"/>
  <c r="AG20" i="79" s="1"/>
  <c r="T22" i="79"/>
  <c r="AD38" i="79"/>
  <c r="AD37" i="79"/>
  <c r="AD35"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AR20" i="79"/>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0" i="79"/>
  <c r="AK10" i="79" s="1"/>
  <c r="AH10" i="79"/>
  <c r="W18" i="79"/>
  <c r="AK18" i="79" s="1"/>
  <c r="AH18"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3" i="79"/>
  <c r="AK13" i="79" s="1"/>
  <c r="AH13" i="79"/>
  <c r="W48" i="79"/>
  <c r="AK48" i="79" s="1"/>
  <c r="AH48" i="79"/>
  <c r="W49" i="79"/>
  <c r="AK49" i="79" s="1"/>
  <c r="AH49" i="79"/>
  <c r="W38" i="79"/>
  <c r="AK38" i="79" s="1"/>
  <c r="AH38" i="79"/>
  <c r="W33" i="79"/>
  <c r="AK33" i="79" s="1"/>
  <c r="AH33" i="79"/>
  <c r="W17" i="79"/>
  <c r="AK17" i="79" s="1"/>
  <c r="AH17" i="79"/>
  <c r="W20" i="79"/>
  <c r="AK20" i="79" s="1"/>
  <c r="AH20" i="79"/>
  <c r="W15" i="79"/>
  <c r="AK15" i="79" s="1"/>
  <c r="AH15" i="79"/>
  <c r="W43" i="79"/>
  <c r="AK43" i="79" s="1"/>
  <c r="AH43" i="79"/>
  <c r="W23" i="79"/>
  <c r="AK23" i="79" s="1"/>
  <c r="AH23" i="79"/>
  <c r="W12" i="79"/>
  <c r="AK12" i="79" s="1"/>
  <c r="AH12" i="79"/>
  <c r="W21" i="79"/>
  <c r="AK21" i="79" s="1"/>
  <c r="AH21" i="79"/>
  <c r="W47" i="79"/>
  <c r="AK47" i="79" s="1"/>
  <c r="AH47" i="79"/>
  <c r="W45" i="79"/>
  <c r="AK45" i="79" s="1"/>
  <c r="AH45" i="79"/>
  <c r="W35" i="79"/>
  <c r="AK35" i="79" s="1"/>
  <c r="AH35"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B40" i="71" s="1"/>
  <c r="S40"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AB26" i="71" s="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E38" i="71"/>
  <c r="E39" i="71" s="1"/>
  <c r="E40" i="71" s="1"/>
  <c r="U40" i="71" s="1"/>
  <c r="N68" i="71"/>
  <c r="C30" i="71"/>
  <c r="C38" i="71"/>
  <c r="D38" i="71" s="1"/>
  <c r="Y37" i="71"/>
  <c r="Z37" i="71" s="1"/>
  <c r="X38" i="71"/>
  <c r="C28" i="71"/>
  <c r="C39" i="71"/>
  <c r="C43" i="71"/>
  <c r="C51" i="71"/>
  <c r="P28" i="71"/>
  <c r="E28" i="71" s="1"/>
  <c r="E55" i="71"/>
  <c r="E56" i="71" s="1"/>
  <c r="U56" i="71" s="1"/>
  <c r="E63" i="71"/>
  <c r="E64" i="71"/>
  <c r="U64" i="71" s="1"/>
  <c r="E67" i="71"/>
  <c r="P67" i="71" s="1"/>
  <c r="Q28" i="7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s="1"/>
  <c r="S25" i="40"/>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D54"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A564" i="3" s="1"/>
  <c r="AZ564" i="3" s="1"/>
  <c r="BF564" i="3"/>
  <c r="BG564" i="3"/>
  <c r="BH564" i="3"/>
  <c r="BI564" i="3"/>
  <c r="BJ564" i="3"/>
  <c r="BK564" i="3"/>
  <c r="BM564" i="3"/>
  <c r="BN564" i="3"/>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F13" i="36" s="1"/>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s="1"/>
  <c r="B73" i="35"/>
  <c r="B57" i="35"/>
  <c r="B61" i="35"/>
  <c r="B59" i="35"/>
  <c r="B131" i="34"/>
  <c r="B129" i="34"/>
  <c r="B127" i="34"/>
  <c r="B99" i="34"/>
  <c r="J32" i="34" s="1"/>
  <c r="W32" i="34" s="1"/>
  <c r="B97" i="34"/>
  <c r="B95" i="34"/>
  <c r="B93" i="34"/>
  <c r="B75" i="34"/>
  <c r="F14" i="34" s="1"/>
  <c r="B73" i="34"/>
  <c r="B71" i="34"/>
  <c r="J12" i="34" s="1"/>
  <c r="W12" i="34" s="1"/>
  <c r="B130" i="33"/>
  <c r="B128" i="33"/>
  <c r="B126" i="33"/>
  <c r="B98" i="33"/>
  <c r="B96" i="33"/>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c r="AC29" i="21"/>
  <c r="B92" i="21"/>
  <c r="J28" i="21" s="1"/>
  <c r="W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c r="AB41" i="21"/>
  <c r="S41" i="21"/>
  <c r="AA41" i="21"/>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H39" i="33"/>
  <c r="AB39" i="33" s="1"/>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J27" i="39"/>
  <c r="AC27" i="39" s="1"/>
  <c r="F27" i="39"/>
  <c r="F11" i="21"/>
  <c r="S11" i="21" s="1"/>
  <c r="S40" i="21"/>
  <c r="U34" i="21"/>
  <c r="C25" i="39"/>
  <c r="H11" i="39"/>
  <c r="S40" i="39"/>
  <c r="C15" i="39"/>
  <c r="H32" i="33"/>
  <c r="U32" i="33" s="1"/>
  <c r="H11" i="21"/>
  <c r="U11" i="21" s="1"/>
  <c r="J11" i="21"/>
  <c r="W11" i="21" s="1"/>
  <c r="H37" i="40"/>
  <c r="U37" i="40" s="1"/>
  <c r="H36" i="40"/>
  <c r="AB36" i="40" s="1"/>
  <c r="F35" i="40"/>
  <c r="AA35" i="40"/>
  <c r="H23" i="40"/>
  <c r="AB23" i="40" s="1"/>
  <c r="H17" i="40"/>
  <c r="U17" i="40" s="1"/>
  <c r="J15" i="40"/>
  <c r="W15" i="40" s="1"/>
  <c r="J11" i="40"/>
  <c r="W11" i="40" s="1"/>
  <c r="AB8" i="39"/>
  <c r="AC12" i="34"/>
  <c r="W32" i="40"/>
  <c r="S44" i="39"/>
  <c r="F37" i="39"/>
  <c r="AA37" i="39"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s="1"/>
  <c r="H101" i="37" s="1"/>
  <c r="I101" i="37" s="1"/>
  <c r="J101" i="37" s="1"/>
  <c r="K101" i="37" s="1"/>
  <c r="L101" i="37" s="1"/>
  <c r="M101" i="37" s="1"/>
  <c r="J34" i="37"/>
  <c r="W34" i="37"/>
  <c r="J33" i="37"/>
  <c r="AC33" i="37" s="1"/>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S41" i="33" s="1"/>
  <c r="AA41"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F14" i="21"/>
  <c r="S14" i="21" s="1"/>
  <c r="H28" i="21"/>
  <c r="AB28" i="21" s="1"/>
  <c r="F28" i="21"/>
  <c r="AA28" i="21" s="1"/>
  <c r="H30" i="21"/>
  <c r="U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s="1"/>
  <c r="J29" i="33"/>
  <c r="H29" i="33"/>
  <c r="U29" i="33" s="1"/>
  <c r="J31" i="33"/>
  <c r="W31" i="33" s="1"/>
  <c r="H31" i="33"/>
  <c r="F31" i="33"/>
  <c r="J14" i="34"/>
  <c r="W14" i="34" s="1"/>
  <c r="H30" i="34"/>
  <c r="AB30" i="34" s="1"/>
  <c r="F30" i="34"/>
  <c r="S30" i="34" s="1"/>
  <c r="J30" i="34"/>
  <c r="F32" i="34"/>
  <c r="H46" i="34"/>
  <c r="U46" i="34" s="1"/>
  <c r="F46" i="34"/>
  <c r="J46" i="34"/>
  <c r="H11" i="35"/>
  <c r="AB11" i="35" s="1"/>
  <c r="J11" i="35"/>
  <c r="W11" i="35" s="1"/>
  <c r="F11" i="35"/>
  <c r="S11" i="35" s="1"/>
  <c r="J26" i="36"/>
  <c r="W26" i="36" s="1"/>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J36" i="37"/>
  <c r="AC36" i="37" s="1"/>
  <c r="J10" i="36"/>
  <c r="AC10" i="36" s="1"/>
  <c r="W31" i="34"/>
  <c r="S11" i="36"/>
  <c r="AC28" i="21"/>
  <c r="BA586"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4" i="3"/>
  <c r="BL530" i="3"/>
  <c r="BL526" i="3"/>
  <c r="BL522" i="3"/>
  <c r="BL516" i="3"/>
  <c r="BL512" i="3"/>
  <c r="BL506" i="3"/>
  <c r="AZ506" i="3" s="1"/>
  <c r="BL502" i="3"/>
  <c r="BL498" i="3"/>
  <c r="BL494" i="3"/>
  <c r="BL582" i="3"/>
  <c r="BL578" i="3"/>
  <c r="BL574"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BA566" i="3"/>
  <c r="BA562" i="3"/>
  <c r="BA560" i="3"/>
  <c r="BA558" i="3"/>
  <c r="AZ558" i="3" s="1"/>
  <c r="BA556" i="3"/>
  <c r="BA554" i="3"/>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AZ514" i="3" s="1"/>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3" i="3"/>
  <c r="BA561" i="3"/>
  <c r="BA559"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1" i="3"/>
  <c r="BL558" i="3"/>
  <c r="BA557" i="3"/>
  <c r="AC557" i="3"/>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AB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26" i="37"/>
  <c r="W47" i="34"/>
  <c r="AC36" i="34"/>
  <c r="AA13"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AB33" i="40"/>
  <c r="W23" i="39"/>
  <c r="AC43" i="39"/>
  <c r="W43" i="39"/>
  <c r="AB44" i="39"/>
  <c r="U44" i="39"/>
  <c r="H37" i="39"/>
  <c r="U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G64" i="43" s="1"/>
  <c r="M64" i="43" s="1"/>
  <c r="N64" i="43" s="1"/>
  <c r="BL549" i="3"/>
  <c r="AZ549" i="3" s="1"/>
  <c r="AZ49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c r="G117" i="3"/>
  <c r="BA119" i="3"/>
  <c r="BL120" i="3"/>
  <c r="G121" i="3"/>
  <c r="BA123" i="3"/>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AZ346" i="3" s="1"/>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98" i="3"/>
  <c r="AZ500" i="3"/>
  <c r="BA16" i="3"/>
  <c r="AZ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BL384" i="3"/>
  <c r="AZ384" i="3" s="1"/>
  <c r="G385" i="3"/>
  <c r="BA387" i="3"/>
  <c r="BL388" i="3"/>
  <c r="G389" i="3"/>
  <c r="BA391" i="3"/>
  <c r="BL392" i="3"/>
  <c r="AZ392" i="3" s="1"/>
  <c r="G393" i="3"/>
  <c r="AZ291" i="3"/>
  <c r="BO5" i="3"/>
  <c r="BM5" i="3"/>
  <c r="BJ5" i="3"/>
  <c r="BH5" i="3"/>
  <c r="BF5" i="3"/>
  <c r="BD5" i="3"/>
  <c r="AZ341" i="3"/>
  <c r="AC5" i="3"/>
  <c r="AZ496" i="3"/>
  <c r="G548" i="3"/>
  <c r="G538" i="3"/>
  <c r="G520" i="3"/>
  <c r="G502" i="3"/>
  <c r="BS5" i="3"/>
  <c r="BP5" i="3"/>
  <c r="G29" i="6" s="1"/>
  <c r="BN5" i="3"/>
  <c r="BK5" i="3"/>
  <c r="BI5" i="3"/>
  <c r="BG5" i="3"/>
  <c r="BE5" i="3"/>
  <c r="BC5" i="3"/>
  <c r="G17" i="3"/>
  <c r="BA17" i="3"/>
  <c r="AZ17" i="3" s="1"/>
  <c r="BT5" i="3"/>
  <c r="BA15" i="3"/>
  <c r="BB5" i="3"/>
  <c r="BR5" i="3"/>
  <c r="AZ380" i="3"/>
  <c r="G509" i="3"/>
  <c r="BL493" i="3"/>
  <c r="AZ493" i="3"/>
  <c r="U36" i="40"/>
  <c r="F83" i="43"/>
  <c r="H85" i="43" s="1"/>
  <c r="F50" i="43"/>
  <c r="H54" i="43" s="1"/>
  <c r="G54" i="43" s="1"/>
  <c r="K54" i="43" s="1"/>
  <c r="J54" i="43" s="1"/>
  <c r="F72" i="43"/>
  <c r="H75" i="43" s="1"/>
  <c r="G75" i="43" s="1"/>
  <c r="K75" i="43" s="1"/>
  <c r="J75" i="43" s="1"/>
  <c r="U17" i="39"/>
  <c r="S14" i="35"/>
  <c r="U43" i="21"/>
  <c r="U35" i="21"/>
  <c r="AC35" i="21"/>
  <c r="W37" i="37"/>
  <c r="W44" i="34"/>
  <c r="AC44" i="34"/>
  <c r="S15" i="37"/>
  <c r="U13" i="37"/>
  <c r="U12" i="40"/>
  <c r="AA12" i="40"/>
  <c r="J37" i="33"/>
  <c r="AC37" i="33" s="1"/>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F23" i="39"/>
  <c r="AA23" i="39"/>
  <c r="H27" i="36"/>
  <c r="U27" i="36" s="1"/>
  <c r="F27" i="36"/>
  <c r="AA27" i="36" s="1"/>
  <c r="H33" i="34"/>
  <c r="U33" i="34"/>
  <c r="F32" i="37"/>
  <c r="S32" i="37" s="1"/>
  <c r="AA32" i="37"/>
  <c r="F20" i="36"/>
  <c r="AA20" i="36" s="1"/>
  <c r="J33" i="34"/>
  <c r="AC33" i="34" s="1"/>
  <c r="H23" i="39"/>
  <c r="U23" i="39" s="1"/>
  <c r="K9" i="1"/>
  <c r="M9" i="1" s="1"/>
  <c r="D93" i="9"/>
  <c r="K6" i="1"/>
  <c r="AP6" i="1" s="1"/>
  <c r="AC26" i="33"/>
  <c r="W26" i="33"/>
  <c r="W27" i="34"/>
  <c r="AC27" i="34"/>
  <c r="AB34" i="36"/>
  <c r="U34" i="36"/>
  <c r="AB33" i="36"/>
  <c r="U33" i="36"/>
  <c r="AC12" i="39"/>
  <c r="W12" i="39"/>
  <c r="AC39" i="40"/>
  <c r="W39" i="40"/>
  <c r="AZ586" i="3"/>
  <c r="W12" i="33"/>
  <c r="AC12" i="33"/>
  <c r="AZ437" i="3"/>
  <c r="BL14" i="3"/>
  <c r="U30" i="33"/>
  <c r="AC13" i="34"/>
  <c r="AA47" i="34"/>
  <c r="S19" i="39"/>
  <c r="F12" i="33"/>
  <c r="S12" i="33" s="1"/>
  <c r="H12" i="39"/>
  <c r="AB12" i="39" s="1"/>
  <c r="F39" i="40"/>
  <c r="S39" i="40" s="1"/>
  <c r="BA14" i="3"/>
  <c r="AZ14" i="3" s="1"/>
  <c r="AZ224" i="3"/>
  <c r="AZ29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S23" i="36"/>
  <c r="U13" i="36"/>
  <c r="U26" i="36"/>
  <c r="S33" i="36"/>
  <c r="AA26" i="36"/>
  <c r="AA34" i="36"/>
  <c r="AC26" i="36"/>
  <c r="AA22" i="36"/>
  <c r="W14" i="36"/>
  <c r="AB14" i="36"/>
  <c r="U22" i="36"/>
  <c r="S16" i="36"/>
  <c r="U23" i="36"/>
  <c r="AB20" i="36"/>
  <c r="U16" i="36"/>
  <c r="AA25" i="35"/>
  <c r="S23" i="35"/>
  <c r="W24" i="35"/>
  <c r="U29" i="35"/>
  <c r="U28" i="35"/>
  <c r="AB27" i="35"/>
  <c r="U36" i="35"/>
  <c r="U32" i="35"/>
  <c r="AA33" i="35"/>
  <c r="AC30" i="35"/>
  <c r="S32" i="35"/>
  <c r="AA36" i="35"/>
  <c r="S28" i="35"/>
  <c r="AB16" i="35"/>
  <c r="U22" i="35"/>
  <c r="S20" i="35"/>
  <c r="AC20" i="35"/>
  <c r="S22" i="35"/>
  <c r="U14" i="35"/>
  <c r="AA11" i="35"/>
  <c r="W13" i="35"/>
  <c r="F9" i="35"/>
  <c r="S9" i="35" s="1"/>
  <c r="H9" i="35"/>
  <c r="U9" i="35" s="1"/>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F11" i="37"/>
  <c r="S11" i="37" s="1"/>
  <c r="W25" i="34"/>
  <c r="AB8" i="34"/>
  <c r="AA33" i="34"/>
  <c r="U43" i="34"/>
  <c r="W41" i="34"/>
  <c r="AC42" i="34"/>
  <c r="U39" i="34"/>
  <c r="S43" i="34"/>
  <c r="AB41"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G13" i="3"/>
  <c r="BL17" i="3"/>
  <c r="BL13" i="3"/>
  <c r="J56" i="9"/>
  <c r="U29" i="34"/>
  <c r="E5" i="6"/>
  <c r="E32" i="6"/>
  <c r="G1" i="68"/>
  <c r="K1" i="12"/>
  <c r="E19" i="69"/>
  <c r="E19" i="68"/>
  <c r="E19" i="11"/>
  <c r="G22" i="69"/>
  <c r="C6" i="43"/>
  <c r="B19" i="53"/>
  <c r="B37" i="72" s="1"/>
  <c r="C7" i="39"/>
  <c r="C67" i="39" s="1"/>
  <c r="C7" i="35"/>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AC25" i="36"/>
  <c r="W29" i="36"/>
  <c r="U25" i="36"/>
  <c r="AB28" i="36"/>
  <c r="AA13" i="36"/>
  <c r="W9" i="36"/>
  <c r="W22" i="36"/>
  <c r="W23" i="36"/>
  <c r="AB20" i="35"/>
  <c r="AC25" i="35"/>
  <c r="U25" i="35"/>
  <c r="S24" i="35"/>
  <c r="U24" i="35"/>
  <c r="S35" i="35"/>
  <c r="W35" i="35"/>
  <c r="AA16" i="35"/>
  <c r="AA35" i="37"/>
  <c r="S27" i="37"/>
  <c r="S28" i="37"/>
  <c r="W32" i="37"/>
  <c r="U36" i="37"/>
  <c r="S40" i="37"/>
  <c r="U38" i="37"/>
  <c r="AB37" i="37"/>
  <c r="AC34" i="37"/>
  <c r="AB35" i="37"/>
  <c r="AA31" i="37"/>
  <c r="U19" i="37"/>
  <c r="AA29" i="37"/>
  <c r="U8" i="37"/>
  <c r="AB40" i="34"/>
  <c r="W19" i="34"/>
  <c r="AB33" i="34"/>
  <c r="AC45" i="34"/>
  <c r="AA31" i="34"/>
  <c r="AA30" i="34"/>
  <c r="AB45" i="34"/>
  <c r="AB47" i="34"/>
  <c r="U25" i="34"/>
  <c r="AB36" i="34"/>
  <c r="AC14" i="34"/>
  <c r="AC32" i="34"/>
  <c r="AC29" i="34"/>
  <c r="W29" i="34"/>
  <c r="W46" i="34"/>
  <c r="AC46" i="34"/>
  <c r="S32" i="34"/>
  <c r="AA32" i="34"/>
  <c r="U30" i="34"/>
  <c r="S37" i="34"/>
  <c r="U38" i="34"/>
  <c r="AC40" i="34"/>
  <c r="W40" i="34"/>
  <c r="AA19" i="34"/>
  <c r="S19" i="34"/>
  <c r="AA36" i="34"/>
  <c r="S36" i="34"/>
  <c r="AA8" i="34"/>
  <c r="S8" i="34"/>
  <c r="AB9" i="34"/>
  <c r="U9" i="34"/>
  <c r="S46" i="34"/>
  <c r="AA46"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F33" i="21"/>
  <c r="AA33" i="21" s="1"/>
  <c r="J33" i="21"/>
  <c r="AC33" i="21" s="1"/>
  <c r="H33" i="21"/>
  <c r="AB33" i="21" s="1"/>
  <c r="F37" i="21"/>
  <c r="AA37" i="21" s="1"/>
  <c r="AA26" i="21"/>
  <c r="U40" i="21"/>
  <c r="AB31" i="21"/>
  <c r="U31" i="21"/>
  <c r="U13" i="21"/>
  <c r="AB13" i="21"/>
  <c r="S35" i="21"/>
  <c r="J37" i="21"/>
  <c r="W37" i="21" s="1"/>
  <c r="H15" i="21"/>
  <c r="U15" i="21"/>
  <c r="J17" i="21"/>
  <c r="AC17" i="21" s="1"/>
  <c r="AC19" i="21"/>
  <c r="W39"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4" i="43"/>
  <c r="B58" i="43"/>
  <c r="B65" i="43"/>
  <c r="B69" i="43"/>
  <c r="D23" i="15"/>
  <c r="D22" i="15"/>
  <c r="E4" i="4"/>
  <c r="B5" i="62" s="1"/>
  <c r="B73" i="72" s="1"/>
  <c r="C4" i="4"/>
  <c r="F28" i="67"/>
  <c r="F31" i="12"/>
  <c r="F32" i="67"/>
  <c r="F60" i="67" s="1"/>
  <c r="F30" i="69"/>
  <c r="F48" i="69" s="1"/>
  <c r="F28" i="15"/>
  <c r="AA39" i="40"/>
  <c r="AA12" i="33"/>
  <c r="D68" i="9"/>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AC35" i="33"/>
  <c r="J36" i="33"/>
  <c r="W36" i="33" s="1"/>
  <c r="H36" i="33"/>
  <c r="U36" i="33" s="1"/>
  <c r="AC32" i="33"/>
  <c r="W32" i="33"/>
  <c r="U27" i="33"/>
  <c r="AB27" i="33"/>
  <c r="G91" i="33"/>
  <c r="H91" i="33" s="1"/>
  <c r="I91" i="33" s="1"/>
  <c r="J91" i="33" s="1"/>
  <c r="K91" i="33" s="1"/>
  <c r="L91" i="33" s="1"/>
  <c r="M91" i="33" s="1"/>
  <c r="J27" i="33"/>
  <c r="S25" i="33"/>
  <c r="AA25" i="33"/>
  <c r="J25" i="33"/>
  <c r="AC25" i="33" s="1"/>
  <c r="F23" i="33"/>
  <c r="G85" i="33"/>
  <c r="H19" i="33"/>
  <c r="G81" i="33"/>
  <c r="H17" i="33"/>
  <c r="U17" i="33" s="1"/>
  <c r="F17" i="33"/>
  <c r="S17" i="33" s="1"/>
  <c r="S37" i="21"/>
  <c r="AB15" i="21"/>
  <c r="J23" i="21"/>
  <c r="F85" i="21"/>
  <c r="G85" i="21" s="1"/>
  <c r="H23" i="21"/>
  <c r="S13" i="21"/>
  <c r="D6" i="52"/>
  <c r="AP7" i="1"/>
  <c r="AA32" i="21"/>
  <c r="W9" i="21"/>
  <c r="AC9" i="21"/>
  <c r="AB32" i="21"/>
  <c r="U32" i="39"/>
  <c r="AC32" i="39"/>
  <c r="J63" i="37"/>
  <c r="K63" i="37" s="1"/>
  <c r="L63" i="37" s="1"/>
  <c r="M63" i="37" s="1"/>
  <c r="J11" i="37"/>
  <c r="AC11" i="37" s="1"/>
  <c r="J11" i="34"/>
  <c r="W11" i="34" s="1"/>
  <c r="W25" i="33"/>
  <c r="AB19" i="33"/>
  <c r="U19"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16" i="15"/>
  <c r="L47" i="67"/>
  <c r="M29" i="67"/>
  <c r="F26" i="15"/>
  <c r="E2" i="69"/>
  <c r="B13" i="76"/>
  <c r="M22" i="15"/>
  <c r="M23" i="67"/>
  <c r="M24" i="67"/>
  <c r="F42" i="67"/>
  <c r="M8" i="67"/>
  <c r="B11" i="76"/>
  <c r="B7" i="76"/>
  <c r="F37" i="67"/>
  <c r="F5" i="73"/>
  <c r="F16" i="67"/>
  <c r="E7" i="76"/>
  <c r="F4" i="73"/>
  <c r="E13" i="76"/>
  <c r="E9" i="76"/>
  <c r="B10" i="76"/>
  <c r="F6" i="67"/>
  <c r="E8" i="76"/>
  <c r="D6" i="73"/>
  <c r="B12" i="76"/>
  <c r="F7" i="73"/>
  <c r="F43" i="15"/>
  <c r="F9" i="67"/>
  <c r="AO13" i="1"/>
  <c r="F40" i="67"/>
  <c r="F3" i="73"/>
  <c r="F7" i="67"/>
  <c r="B8" i="76"/>
  <c r="L48" i="67"/>
  <c r="M6" i="67"/>
  <c r="F6" i="73"/>
  <c r="E10" i="76"/>
  <c r="M28" i="67"/>
  <c r="J15" i="67"/>
  <c r="E2" i="68"/>
  <c r="F13" i="15"/>
  <c r="C76" i="67"/>
  <c r="F43" i="67"/>
  <c r="F20" i="31"/>
  <c r="E11" i="76"/>
  <c r="M24" i="15"/>
  <c r="F13" i="67"/>
  <c r="B9" i="76"/>
  <c r="M22" i="67"/>
  <c r="F8" i="67"/>
  <c r="F38" i="67"/>
  <c r="F6" i="15"/>
  <c r="E12" i="76"/>
  <c r="A24" i="51" l="1"/>
  <c r="B18" i="72" s="1"/>
  <c r="F11" i="1"/>
  <c r="G11" i="1" s="1"/>
  <c r="G44" i="43"/>
  <c r="C48" i="35"/>
  <c r="D48" i="35" s="1"/>
  <c r="E7" i="35"/>
  <c r="G7" i="35" s="1"/>
  <c r="I7" i="35" s="1"/>
  <c r="J57" i="9"/>
  <c r="J59" i="9" s="1"/>
  <c r="J61" i="9" s="1"/>
  <c r="C18" i="9"/>
  <c r="D18" i="9" s="1"/>
  <c r="M54" i="43"/>
  <c r="N54" i="43" s="1"/>
  <c r="M75" i="43"/>
  <c r="N75" i="43" s="1"/>
  <c r="K64" i="43"/>
  <c r="J64" i="43" s="1"/>
  <c r="W9" i="35"/>
  <c r="AA29" i="35"/>
  <c r="B88" i="43"/>
  <c r="B51" i="43"/>
  <c r="B62" i="43"/>
  <c r="C40" i="68"/>
  <c r="C21" i="68"/>
  <c r="G22" i="11"/>
  <c r="E1" i="73"/>
  <c r="G26" i="12"/>
  <c r="G22" i="68"/>
  <c r="S14" i="34"/>
  <c r="AA14" i="34"/>
  <c r="AZ314" i="3"/>
  <c r="AZ554" i="3"/>
  <c r="W45" i="21"/>
  <c r="AC45" i="21"/>
  <c r="W27" i="33"/>
  <c r="AC27" i="33"/>
  <c r="AZ556" i="3"/>
  <c r="AB37" i="39"/>
  <c r="AA25" i="21"/>
  <c r="U31" i="40"/>
  <c r="AZ568" i="3"/>
  <c r="S14" i="37"/>
  <c r="AB17" i="34"/>
  <c r="U23" i="34"/>
  <c r="AB32" i="33"/>
  <c r="H9" i="33"/>
  <c r="F9" i="33"/>
  <c r="AA9" i="33" s="1"/>
  <c r="AC9" i="34"/>
  <c r="W9" i="34"/>
  <c r="J45" i="33"/>
  <c r="F45" i="33"/>
  <c r="F12" i="35"/>
  <c r="S12" i="35" s="1"/>
  <c r="J12" i="35"/>
  <c r="W27" i="35"/>
  <c r="AC27" i="35"/>
  <c r="AB30" i="37"/>
  <c r="U30" i="37"/>
  <c r="H45" i="39"/>
  <c r="J45" i="39"/>
  <c r="W45" i="39" s="1"/>
  <c r="F38" i="40"/>
  <c r="H38" i="40"/>
  <c r="AZ400" i="3"/>
  <c r="AZ164" i="3"/>
  <c r="AC23" i="37"/>
  <c r="U9" i="21"/>
  <c r="AC17" i="33"/>
  <c r="S30" i="40"/>
  <c r="AZ123" i="3"/>
  <c r="AZ376" i="3"/>
  <c r="AZ309" i="3"/>
  <c r="AZ571" i="3"/>
  <c r="AZ579" i="3"/>
  <c r="B97" i="43"/>
  <c r="B75" i="43"/>
  <c r="AC22" i="35"/>
  <c r="W22" i="35"/>
  <c r="F32" i="36"/>
  <c r="H32" i="36"/>
  <c r="AC31" i="33"/>
  <c r="AA36" i="39"/>
  <c r="AZ539" i="3"/>
  <c r="BL553" i="3"/>
  <c r="AZ553" i="3" s="1"/>
  <c r="BL565" i="3"/>
  <c r="AZ565" i="3" s="1"/>
  <c r="G557" i="3"/>
  <c r="AZ529" i="3"/>
  <c r="AZ537" i="3"/>
  <c r="AZ518" i="3"/>
  <c r="AZ526" i="3"/>
  <c r="AZ546" i="3"/>
  <c r="AZ580" i="3"/>
  <c r="AB30" i="21"/>
  <c r="AA14" i="33"/>
  <c r="F25" i="36"/>
  <c r="AC11" i="35"/>
  <c r="H32" i="34"/>
  <c r="H14" i="34"/>
  <c r="U40" i="33"/>
  <c r="AB12" i="35"/>
  <c r="H14" i="21"/>
  <c r="J14" i="21"/>
  <c r="F30" i="21"/>
  <c r="J30" i="21"/>
  <c r="B79" i="43"/>
  <c r="J9" i="33"/>
  <c r="AC31" i="40"/>
  <c r="W31" i="40"/>
  <c r="S36" i="33"/>
  <c r="W33" i="34"/>
  <c r="AA40" i="34"/>
  <c r="AZ383" i="3"/>
  <c r="AZ345" i="3"/>
  <c r="AZ372" i="3"/>
  <c r="AZ337" i="3"/>
  <c r="AZ192" i="3"/>
  <c r="U23" i="33"/>
  <c r="AB25" i="33"/>
  <c r="AA19" i="37"/>
  <c r="M18" i="15"/>
  <c r="M18" i="67"/>
  <c r="F30" i="11"/>
  <c r="C48" i="11" s="1"/>
  <c r="W17" i="21"/>
  <c r="AB34" i="33"/>
  <c r="AC39" i="34"/>
  <c r="U12" i="39"/>
  <c r="AA27" i="40"/>
  <c r="AB27" i="40"/>
  <c r="AA34" i="33"/>
  <c r="AZ387" i="3"/>
  <c r="AZ370" i="3"/>
  <c r="AZ338" i="3"/>
  <c r="AZ371" i="3"/>
  <c r="AZ305" i="3"/>
  <c r="AZ204" i="3"/>
  <c r="AZ187" i="3"/>
  <c r="AZ140" i="3"/>
  <c r="AZ360" i="3"/>
  <c r="AB36" i="33"/>
  <c r="AB45" i="21"/>
  <c r="AA19" i="33"/>
  <c r="F54" i="9"/>
  <c r="F32" i="15"/>
  <c r="F60" i="15" s="1"/>
  <c r="F52" i="9"/>
  <c r="F30" i="68"/>
  <c r="F48" i="68" s="1"/>
  <c r="W13" i="21"/>
  <c r="AB46" i="21"/>
  <c r="S45" i="21"/>
  <c r="U19" i="34"/>
  <c r="W36" i="37"/>
  <c r="AC20" i="36"/>
  <c r="S20" i="36"/>
  <c r="AA39" i="39"/>
  <c r="S13" i="34"/>
  <c r="AA45" i="34"/>
  <c r="AB35" i="34"/>
  <c r="AC15" i="37"/>
  <c r="AB40" i="37"/>
  <c r="AB13" i="35"/>
  <c r="S14" i="36"/>
  <c r="AC13" i="39"/>
  <c r="S15" i="39"/>
  <c r="AC34" i="33"/>
  <c r="W28" i="37"/>
  <c r="AC17" i="34"/>
  <c r="AC11" i="39"/>
  <c r="F29" i="6"/>
  <c r="E29" i="6" s="1"/>
  <c r="K15" i="1" s="1"/>
  <c r="AZ391" i="3"/>
  <c r="AZ349" i="3"/>
  <c r="AZ318" i="3"/>
  <c r="AZ364" i="3"/>
  <c r="AZ329" i="3"/>
  <c r="AZ304" i="3"/>
  <c r="AZ306" i="3"/>
  <c r="W35" i="40"/>
  <c r="U40" i="39"/>
  <c r="AC13" i="40"/>
  <c r="AZ535" i="3"/>
  <c r="AZ577" i="3"/>
  <c r="AZ557" i="3"/>
  <c r="AZ513" i="3"/>
  <c r="AZ575" i="3"/>
  <c r="AZ566" i="3"/>
  <c r="AZ582" i="3"/>
  <c r="AZ540" i="3"/>
  <c r="AZ502" i="3"/>
  <c r="S35" i="39"/>
  <c r="AB46" i="34"/>
  <c r="H45" i="33"/>
  <c r="U34" i="37"/>
  <c r="U34" i="34"/>
  <c r="F45" i="39"/>
  <c r="BL587" i="3"/>
  <c r="AZ587" i="3" s="1"/>
  <c r="AB35" i="33"/>
  <c r="U35" i="33"/>
  <c r="J23" i="35"/>
  <c r="H23" i="35"/>
  <c r="AA34" i="39"/>
  <c r="S34" i="39"/>
  <c r="U30" i="36"/>
  <c r="AB30" i="36"/>
  <c r="AZ402" i="3"/>
  <c r="AZ406" i="3"/>
  <c r="AZ405" i="3"/>
  <c r="AZ419" i="3"/>
  <c r="AZ422" i="3"/>
  <c r="AZ448" i="3"/>
  <c r="AZ466" i="3"/>
  <c r="H26" i="33"/>
  <c r="F24" i="36"/>
  <c r="F26" i="33"/>
  <c r="S31" i="35"/>
  <c r="F39" i="37"/>
  <c r="S39" i="37" s="1"/>
  <c r="J44" i="39"/>
  <c r="G587" i="3"/>
  <c r="H12" i="36"/>
  <c r="F25" i="37"/>
  <c r="BA551" i="3"/>
  <c r="AZ551" i="3" s="1"/>
  <c r="BA550" i="3"/>
  <c r="AZ550" i="3" s="1"/>
  <c r="BL548" i="3"/>
  <c r="AZ548" i="3" s="1"/>
  <c r="G399" i="3"/>
  <c r="BL400" i="3"/>
  <c r="BL408" i="3"/>
  <c r="BL411" i="3"/>
  <c r="BL413" i="3"/>
  <c r="AZ413" i="3" s="1"/>
  <c r="G416" i="3"/>
  <c r="BL417" i="3"/>
  <c r="BL418" i="3"/>
  <c r="BL420" i="3"/>
  <c r="G423" i="3"/>
  <c r="BL424" i="3"/>
  <c r="AZ424" i="3" s="1"/>
  <c r="G427" i="3"/>
  <c r="AZ432" i="3"/>
  <c r="BA441" i="3"/>
  <c r="AZ441" i="3" s="1"/>
  <c r="AZ458" i="3"/>
  <c r="AZ459" i="3"/>
  <c r="BL473" i="3"/>
  <c r="BL474" i="3"/>
  <c r="AZ483" i="3"/>
  <c r="C55" i="71"/>
  <c r="D54" i="71"/>
  <c r="S38" i="33"/>
  <c r="F12" i="36"/>
  <c r="J34" i="36"/>
  <c r="W34" i="36" s="1"/>
  <c r="AB39" i="40"/>
  <c r="H39" i="37"/>
  <c r="W28" i="36"/>
  <c r="BL585" i="3"/>
  <c r="AZ585" i="3" s="1"/>
  <c r="H24" i="36"/>
  <c r="BL398" i="3"/>
  <c r="G402" i="3"/>
  <c r="BL403" i="3"/>
  <c r="AZ403" i="3" s="1"/>
  <c r="G406" i="3"/>
  <c r="BA408" i="3"/>
  <c r="AZ408" i="3" s="1"/>
  <c r="BA409" i="3"/>
  <c r="AZ409" i="3" s="1"/>
  <c r="BA411" i="3"/>
  <c r="AZ411" i="3" s="1"/>
  <c r="BL414" i="3"/>
  <c r="BL415" i="3"/>
  <c r="BA417" i="3"/>
  <c r="BL421" i="3"/>
  <c r="BL422" i="3"/>
  <c r="BL425" i="3"/>
  <c r="BL426" i="3"/>
  <c r="BA428" i="3"/>
  <c r="BA429" i="3"/>
  <c r="BA430" i="3"/>
  <c r="AZ430" i="3" s="1"/>
  <c r="BA433" i="3"/>
  <c r="AZ433" i="3" s="1"/>
  <c r="BA435" i="3"/>
  <c r="AZ435" i="3" s="1"/>
  <c r="BL445" i="3"/>
  <c r="BL446" i="3"/>
  <c r="BL452" i="3"/>
  <c r="G455" i="3"/>
  <c r="BA456" i="3"/>
  <c r="BA462" i="3"/>
  <c r="AZ462" i="3" s="1"/>
  <c r="BA464" i="3"/>
  <c r="AZ464" i="3" s="1"/>
  <c r="BL470" i="3"/>
  <c r="BL484" i="3"/>
  <c r="AZ487" i="3"/>
  <c r="G380" i="3"/>
  <c r="G384" i="3"/>
  <c r="BL550" i="3"/>
  <c r="BL15" i="3"/>
  <c r="AZ15" i="3" s="1"/>
  <c r="BA398" i="3"/>
  <c r="BA399" i="3"/>
  <c r="AZ399" i="3" s="1"/>
  <c r="BL401" i="3"/>
  <c r="AZ401" i="3" s="1"/>
  <c r="BL404" i="3"/>
  <c r="AZ404" i="3" s="1"/>
  <c r="BL405" i="3"/>
  <c r="BL407" i="3"/>
  <c r="AZ407" i="3" s="1"/>
  <c r="BA412" i="3"/>
  <c r="AZ412" i="3" s="1"/>
  <c r="BA414" i="3"/>
  <c r="AZ414" i="3" s="1"/>
  <c r="BA415" i="3"/>
  <c r="BA416" i="3"/>
  <c r="AZ416" i="3" s="1"/>
  <c r="BA418" i="3"/>
  <c r="BA421" i="3"/>
  <c r="BA423" i="3"/>
  <c r="AZ423" i="3" s="1"/>
  <c r="BA425" i="3"/>
  <c r="AZ425" i="3" s="1"/>
  <c r="BA426" i="3"/>
  <c r="BA427" i="3"/>
  <c r="AZ427" i="3" s="1"/>
  <c r="BL431" i="3"/>
  <c r="BL434" i="3"/>
  <c r="AZ434" i="3" s="1"/>
  <c r="G437" i="3"/>
  <c r="BL438" i="3"/>
  <c r="BL439" i="3"/>
  <c r="BA443" i="3"/>
  <c r="AZ443" i="3" s="1"/>
  <c r="BL447" i="3"/>
  <c r="G448" i="3"/>
  <c r="BL448" i="3"/>
  <c r="G450" i="3"/>
  <c r="BA457" i="3"/>
  <c r="G460" i="3"/>
  <c r="BL465" i="3"/>
  <c r="G466" i="3"/>
  <c r="BL466" i="3"/>
  <c r="G468" i="3"/>
  <c r="BA473" i="3"/>
  <c r="AZ473" i="3" s="1"/>
  <c r="BL488" i="3"/>
  <c r="BL367" i="3"/>
  <c r="BL383" i="3"/>
  <c r="G387" i="3"/>
  <c r="AZ217" i="3"/>
  <c r="AZ270" i="3"/>
  <c r="P65" i="71"/>
  <c r="P66" i="71"/>
  <c r="C34" i="71"/>
  <c r="Y30" i="71"/>
  <c r="Z30" i="71" s="1"/>
  <c r="Y28" i="71"/>
  <c r="Z28" i="71" s="1"/>
  <c r="C47" i="71"/>
  <c r="D47" i="71" s="1"/>
  <c r="D46" i="71"/>
  <c r="N65" i="71"/>
  <c r="N66" i="71"/>
  <c r="F79" i="71"/>
  <c r="F78" i="71" s="1"/>
  <c r="V80" i="71"/>
  <c r="Y27" i="71"/>
  <c r="Z27" i="71" s="1"/>
  <c r="Y26" i="71"/>
  <c r="Z26" i="71" s="1"/>
  <c r="Y25" i="71"/>
  <c r="Z25" i="71" s="1"/>
  <c r="BA482" i="3"/>
  <c r="BA484" i="3"/>
  <c r="AZ484" i="3" s="1"/>
  <c r="G491" i="3"/>
  <c r="BA303" i="3"/>
  <c r="AZ303" i="3" s="1"/>
  <c r="BA307" i="3"/>
  <c r="AZ307" i="3" s="1"/>
  <c r="G311" i="3"/>
  <c r="BL314" i="3"/>
  <c r="G315" i="3"/>
  <c r="BA332" i="3"/>
  <c r="BL332" i="3"/>
  <c r="BA367" i="3"/>
  <c r="AZ367" i="3" s="1"/>
  <c r="BA370" i="3"/>
  <c r="BA386" i="3"/>
  <c r="AZ386" i="3" s="1"/>
  <c r="BA216" i="3"/>
  <c r="AZ216" i="3" s="1"/>
  <c r="BA218" i="3"/>
  <c r="BL218" i="3"/>
  <c r="BL220" i="3"/>
  <c r="BL221" i="3"/>
  <c r="AZ221" i="3" s="1"/>
  <c r="BL223" i="3"/>
  <c r="BA227" i="3"/>
  <c r="AZ227" i="3" s="1"/>
  <c r="BA229" i="3"/>
  <c r="BL229" i="3"/>
  <c r="BL231" i="3"/>
  <c r="BL233" i="3"/>
  <c r="AZ233" i="3" s="1"/>
  <c r="BL235" i="3"/>
  <c r="AZ235" i="3" s="1"/>
  <c r="BL236" i="3"/>
  <c r="AZ236" i="3" s="1"/>
  <c r="BL238" i="3"/>
  <c r="BL243" i="3"/>
  <c r="BA247" i="3"/>
  <c r="BA255" i="3"/>
  <c r="BA256" i="3"/>
  <c r="BL256" i="3"/>
  <c r="BA259" i="3"/>
  <c r="AZ259" i="3" s="1"/>
  <c r="BA262" i="3"/>
  <c r="AZ262" i="3" s="1"/>
  <c r="BA265" i="3"/>
  <c r="AZ265" i="3" s="1"/>
  <c r="BL266" i="3"/>
  <c r="BA268" i="3"/>
  <c r="BA281" i="3"/>
  <c r="G291" i="3"/>
  <c r="BA296" i="3"/>
  <c r="BA126" i="3"/>
  <c r="AZ126" i="3" s="1"/>
  <c r="BL133" i="3"/>
  <c r="AZ133" i="3" s="1"/>
  <c r="BL157" i="3"/>
  <c r="AZ157" i="3" s="1"/>
  <c r="BL159" i="3"/>
  <c r="AZ159" i="3" s="1"/>
  <c r="AZ201" i="3"/>
  <c r="AB21" i="37"/>
  <c r="U21" i="37"/>
  <c r="AC18" i="36"/>
  <c r="W18" i="36"/>
  <c r="AB25" i="40"/>
  <c r="U25" i="40"/>
  <c r="X35" i="71"/>
  <c r="B71" i="71"/>
  <c r="B70" i="71" s="1"/>
  <c r="S72" i="71"/>
  <c r="X25" i="71"/>
  <c r="BL428" i="3"/>
  <c r="BL429" i="3"/>
  <c r="BL432" i="3"/>
  <c r="BL435" i="3"/>
  <c r="BL436" i="3"/>
  <c r="AZ436" i="3" s="1"/>
  <c r="BA439" i="3"/>
  <c r="BA440" i="3"/>
  <c r="AZ440" i="3" s="1"/>
  <c r="BA442" i="3"/>
  <c r="BA445" i="3"/>
  <c r="AZ445" i="3" s="1"/>
  <c r="BA447" i="3"/>
  <c r="AZ447" i="3" s="1"/>
  <c r="BA449" i="3"/>
  <c r="AZ449" i="3" s="1"/>
  <c r="BL453" i="3"/>
  <c r="BL454" i="3"/>
  <c r="AZ454" i="3" s="1"/>
  <c r="G458" i="3"/>
  <c r="BL459" i="3"/>
  <c r="G461" i="3"/>
  <c r="G462" i="3"/>
  <c r="BA465" i="3"/>
  <c r="AZ465" i="3" s="1"/>
  <c r="BA467" i="3"/>
  <c r="BA468" i="3"/>
  <c r="BL471" i="3"/>
  <c r="BL475" i="3"/>
  <c r="BA477" i="3"/>
  <c r="AZ477" i="3" s="1"/>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AZ212" i="3" s="1"/>
  <c r="G214" i="3"/>
  <c r="BL214" i="3"/>
  <c r="AZ214" i="3" s="1"/>
  <c r="G216" i="3"/>
  <c r="BL225" i="3"/>
  <c r="AZ225" i="3" s="1"/>
  <c r="BL226" i="3"/>
  <c r="G227" i="3"/>
  <c r="BA239" i="3"/>
  <c r="BL239" i="3"/>
  <c r="BA241" i="3"/>
  <c r="BL241" i="3"/>
  <c r="BA244" i="3"/>
  <c r="BL244" i="3"/>
  <c r="BA246" i="3"/>
  <c r="BA252" i="3"/>
  <c r="AZ252" i="3" s="1"/>
  <c r="BA254" i="3"/>
  <c r="AZ254" i="3" s="1"/>
  <c r="BL257" i="3"/>
  <c r="AZ257" i="3" s="1"/>
  <c r="BL258" i="3"/>
  <c r="G263" i="3"/>
  <c r="BL264" i="3"/>
  <c r="BA267" i="3"/>
  <c r="AZ267" i="3" s="1"/>
  <c r="BA269" i="3"/>
  <c r="AZ269" i="3" s="1"/>
  <c r="BL272" i="3"/>
  <c r="BL273" i="3"/>
  <c r="G274" i="3"/>
  <c r="BA276" i="3"/>
  <c r="G279" i="3"/>
  <c r="BA284" i="3"/>
  <c r="BL286" i="3"/>
  <c r="AZ286" i="3" s="1"/>
  <c r="BL298" i="3"/>
  <c r="G116" i="3"/>
  <c r="BA117" i="3"/>
  <c r="BA124" i="3"/>
  <c r="AZ124" i="3" s="1"/>
  <c r="BL127" i="3"/>
  <c r="AZ127" i="3" s="1"/>
  <c r="BA130" i="3"/>
  <c r="AZ130" i="3" s="1"/>
  <c r="BL130" i="3"/>
  <c r="BA145" i="3"/>
  <c r="BL149" i="3"/>
  <c r="AZ149" i="3" s="1"/>
  <c r="BL150" i="3"/>
  <c r="G151" i="3"/>
  <c r="BA152" i="3"/>
  <c r="AZ152" i="3" s="1"/>
  <c r="BA154" i="3"/>
  <c r="AZ154" i="3" s="1"/>
  <c r="BL166" i="3"/>
  <c r="BA177" i="3"/>
  <c r="AZ177" i="3" s="1"/>
  <c r="BL179" i="3"/>
  <c r="AZ179" i="3" s="1"/>
  <c r="G180" i="3"/>
  <c r="BA181" i="3"/>
  <c r="AZ181" i="3" s="1"/>
  <c r="BL183" i="3"/>
  <c r="AZ183" i="3" s="1"/>
  <c r="BA186" i="3"/>
  <c r="AZ186" i="3" s="1"/>
  <c r="AZ70" i="3"/>
  <c r="C44" i="71"/>
  <c r="D43" i="71"/>
  <c r="C31" i="71"/>
  <c r="D30" i="71"/>
  <c r="Y29" i="71"/>
  <c r="Z29" i="71" s="1"/>
  <c r="BA438" i="3"/>
  <c r="G442" i="3"/>
  <c r="BA446" i="3"/>
  <c r="AZ446" i="3" s="1"/>
  <c r="BA450" i="3"/>
  <c r="BA453" i="3"/>
  <c r="AZ453" i="3" s="1"/>
  <c r="BA455" i="3"/>
  <c r="AZ455" i="3" s="1"/>
  <c r="BL457" i="3"/>
  <c r="BL460" i="3"/>
  <c r="AZ460" i="3" s="1"/>
  <c r="BL461" i="3"/>
  <c r="AZ461" i="3" s="1"/>
  <c r="BL463" i="3"/>
  <c r="G465" i="3"/>
  <c r="BA471" i="3"/>
  <c r="G486" i="3"/>
  <c r="G488" i="3"/>
  <c r="BL317" i="3"/>
  <c r="G318" i="3"/>
  <c r="BA349" i="3"/>
  <c r="BA353" i="3"/>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G261" i="3"/>
  <c r="BA263" i="3"/>
  <c r="AZ263" i="3" s="1"/>
  <c r="G271" i="3"/>
  <c r="BL278" i="3"/>
  <c r="BA283" i="3"/>
  <c r="BA302" i="3"/>
  <c r="AZ302" i="3" s="1"/>
  <c r="G115" i="3"/>
  <c r="G127" i="3"/>
  <c r="BA134" i="3"/>
  <c r="BL138" i="3"/>
  <c r="BA140" i="3"/>
  <c r="BA142" i="3"/>
  <c r="BL161" i="3"/>
  <c r="G162" i="3"/>
  <c r="BL162" i="3"/>
  <c r="AZ162" i="3" s="1"/>
  <c r="BL165" i="3"/>
  <c r="G166" i="3"/>
  <c r="BL173" i="3"/>
  <c r="AZ173" i="3" s="1"/>
  <c r="BA174" i="3"/>
  <c r="G190" i="3"/>
  <c r="BL193" i="3"/>
  <c r="G194" i="3"/>
  <c r="BL194" i="3"/>
  <c r="AZ194" i="3" s="1"/>
  <c r="S18" i="35"/>
  <c r="AA18" i="35"/>
  <c r="D75" i="71"/>
  <c r="C74" i="71"/>
  <c r="D74" i="71" s="1"/>
  <c r="AB27" i="71"/>
  <c r="C60" i="71"/>
  <c r="D59" i="71"/>
  <c r="BA197" i="3"/>
  <c r="BL201" i="3"/>
  <c r="BL203" i="3"/>
  <c r="AZ203" i="3" s="1"/>
  <c r="BA204" i="3"/>
  <c r="BA18" i="3"/>
  <c r="AZ18" i="3" s="1"/>
  <c r="BL21" i="3"/>
  <c r="G23" i="3"/>
  <c r="BL29" i="3"/>
  <c r="G33" i="3"/>
  <c r="G34" i="3"/>
  <c r="BA37" i="3"/>
  <c r="BL39" i="3"/>
  <c r="G43" i="3"/>
  <c r="G44" i="3"/>
  <c r="BA45" i="3"/>
  <c r="AZ45" i="3" s="1"/>
  <c r="BA46" i="3"/>
  <c r="BL49" i="3"/>
  <c r="AZ49" i="3" s="1"/>
  <c r="BL50" i="3"/>
  <c r="AZ50" i="3" s="1"/>
  <c r="BL51" i="3"/>
  <c r="AZ51" i="3" s="1"/>
  <c r="BL53" i="3"/>
  <c r="BA56" i="3"/>
  <c r="AZ56" i="3" s="1"/>
  <c r="BA57" i="3"/>
  <c r="BL58" i="3"/>
  <c r="AZ58" i="3" s="1"/>
  <c r="G60" i="3"/>
  <c r="BA60" i="3"/>
  <c r="BA63" i="3"/>
  <c r="BA66" i="3"/>
  <c r="AZ66" i="3" s="1"/>
  <c r="BA71" i="3"/>
  <c r="BL77" i="3"/>
  <c r="AZ77" i="3" s="1"/>
  <c r="BA79" i="3"/>
  <c r="AZ79" i="3" s="1"/>
  <c r="BA84" i="3"/>
  <c r="AZ84" i="3" s="1"/>
  <c r="BL88" i="3"/>
  <c r="AZ88" i="3" s="1"/>
  <c r="BL90" i="3"/>
  <c r="AZ90" i="3" s="1"/>
  <c r="G103" i="3"/>
  <c r="BA103" i="3"/>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A273" i="3"/>
  <c r="AZ273" i="3" s="1"/>
  <c r="BA278" i="3"/>
  <c r="BA280" i="3"/>
  <c r="AZ280" i="3" s="1"/>
  <c r="BL283" i="3"/>
  <c r="BL284" i="3"/>
  <c r="G288" i="3"/>
  <c r="BL292" i="3"/>
  <c r="BA294" i="3"/>
  <c r="AZ294" i="3" s="1"/>
  <c r="BL295" i="3"/>
  <c r="BA298" i="3"/>
  <c r="AZ298" i="3" s="1"/>
  <c r="BL301" i="3"/>
  <c r="AZ301" i="3" s="1"/>
  <c r="BL302" i="3"/>
  <c r="BA114" i="3"/>
  <c r="BL123" i="3"/>
  <c r="BA128" i="3"/>
  <c r="AZ128" i="3" s="1"/>
  <c r="BL134" i="3"/>
  <c r="BL137" i="3"/>
  <c r="AZ137" i="3" s="1"/>
  <c r="BA146" i="3"/>
  <c r="AZ146" i="3" s="1"/>
  <c r="BA150" i="3"/>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G59" i="3"/>
  <c r="BL62" i="3"/>
  <c r="AZ62" i="3" s="1"/>
  <c r="BL63" i="3"/>
  <c r="BL65" i="3"/>
  <c r="AZ65" i="3" s="1"/>
  <c r="BL66" i="3"/>
  <c r="BL67" i="3"/>
  <c r="AZ67" i="3" s="1"/>
  <c r="BL70" i="3"/>
  <c r="BL71" i="3"/>
  <c r="BL72" i="3"/>
  <c r="AZ72" i="3" s="1"/>
  <c r="BL75" i="3"/>
  <c r="BL81" i="3"/>
  <c r="BA82" i="3"/>
  <c r="AZ82" i="3" s="1"/>
  <c r="BL83" i="3"/>
  <c r="G88" i="3"/>
  <c r="BA90" i="3"/>
  <c r="BA92" i="3"/>
  <c r="G101" i="3"/>
  <c r="BA101" i="3"/>
  <c r="AZ101" i="3" s="1"/>
  <c r="G106" i="3"/>
  <c r="BL106" i="3"/>
  <c r="AZ106" i="3" s="1"/>
  <c r="BA108" i="3"/>
  <c r="AZ108" i="3" s="1"/>
  <c r="BA110" i="3"/>
  <c r="AZ110" i="3" s="1"/>
  <c r="B13" i="1"/>
  <c r="E13" i="1" s="1"/>
  <c r="K13" i="1"/>
  <c r="M13" i="1" s="1"/>
  <c r="O13" i="1" s="1"/>
  <c r="P13" i="1" s="1"/>
  <c r="W21" i="37"/>
  <c r="AC21" i="37"/>
  <c r="AB21" i="34"/>
  <c r="U21" i="34"/>
  <c r="C86" i="71"/>
  <c r="D86" i="71" s="1"/>
  <c r="D87" i="71"/>
  <c r="O68" i="71"/>
  <c r="C52" i="71"/>
  <c r="D51" i="71"/>
  <c r="X26" i="71"/>
  <c r="AA37" i="71"/>
  <c r="AB34" i="71"/>
  <c r="C63" i="71"/>
  <c r="D62" i="71"/>
  <c r="F66" i="71"/>
  <c r="Q67" i="71"/>
  <c r="P68" i="71"/>
  <c r="U68" i="71"/>
  <c r="BL247" i="3"/>
  <c r="BA249" i="3"/>
  <c r="AZ249" i="3" s="1"/>
  <c r="BL249" i="3"/>
  <c r="BA251" i="3"/>
  <c r="AZ251" i="3" s="1"/>
  <c r="BL251" i="3"/>
  <c r="BA253" i="3"/>
  <c r="BL260" i="3"/>
  <c r="G262" i="3"/>
  <c r="BL263" i="3"/>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BA166" i="3"/>
  <c r="BA169" i="3"/>
  <c r="AZ169" i="3" s="1"/>
  <c r="BL171" i="3"/>
  <c r="AZ171" i="3" s="1"/>
  <c r="G174" i="3"/>
  <c r="BA176" i="3"/>
  <c r="AZ176" i="3" s="1"/>
  <c r="BA178" i="3"/>
  <c r="G182" i="3"/>
  <c r="BA184" i="3"/>
  <c r="AZ184" i="3" s="1"/>
  <c r="BL187" i="3"/>
  <c r="G188" i="3"/>
  <c r="BL189" i="3"/>
  <c r="AZ189" i="3" s="1"/>
  <c r="BL190" i="3"/>
  <c r="AZ190" i="3" s="1"/>
  <c r="G191" i="3"/>
  <c r="BA192" i="3"/>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AZ68" i="3" s="1"/>
  <c r="BA69" i="3"/>
  <c r="AZ69" i="3" s="1"/>
  <c r="G72" i="3"/>
  <c r="BL73" i="3"/>
  <c r="BA74" i="3"/>
  <c r="AZ74" i="3" s="1"/>
  <c r="BA75" i="3"/>
  <c r="G81" i="3"/>
  <c r="G85" i="3"/>
  <c r="BL85" i="3"/>
  <c r="BA86" i="3"/>
  <c r="AZ86" i="3" s="1"/>
  <c r="BA87" i="3"/>
  <c r="AZ87" i="3" s="1"/>
  <c r="BA91" i="3"/>
  <c r="AZ91" i="3" s="1"/>
  <c r="BL103" i="3"/>
  <c r="G104" i="3"/>
  <c r="BA106" i="3"/>
  <c r="BL108" i="3"/>
  <c r="G110" i="3"/>
  <c r="BL111" i="3"/>
  <c r="C29" i="39"/>
  <c r="AB25" i="71"/>
  <c r="AB28" i="71"/>
  <c r="T28" i="71"/>
  <c r="D28" i="71"/>
  <c r="U28" i="71" s="1"/>
  <c r="C27" i="71"/>
  <c r="X33" i="71"/>
  <c r="X34" i="71"/>
  <c r="X36" i="71"/>
  <c r="AB37" i="71"/>
  <c r="AB35" i="71"/>
  <c r="V72" i="71"/>
  <c r="F71" i="71"/>
  <c r="F70" i="71" s="1"/>
  <c r="V24" i="71"/>
  <c r="E23" i="71"/>
  <c r="E22" i="71" s="1"/>
  <c r="E21" i="71" s="1"/>
  <c r="E20" i="71" s="1"/>
  <c r="V20" i="71" s="1"/>
  <c r="F35" i="71"/>
  <c r="F36" i="71" s="1"/>
  <c r="V36" i="71" s="1"/>
  <c r="AA34" i="71"/>
  <c r="B51" i="71"/>
  <c r="B52" i="71" s="1"/>
  <c r="S52" i="71" s="1"/>
  <c r="BL94" i="3"/>
  <c r="AZ94" i="3" s="1"/>
  <c r="BA100" i="3"/>
  <c r="AZ100" i="3" s="1"/>
  <c r="BA102" i="3"/>
  <c r="AZ102" i="3" s="1"/>
  <c r="BL105" i="3"/>
  <c r="AZ105" i="3" s="1"/>
  <c r="G107" i="3"/>
  <c r="BL107" i="3"/>
  <c r="BA111" i="3"/>
  <c r="AZ111" i="3" s="1"/>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G69" i="43"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AA12" i="35"/>
  <c r="AC45" i="39"/>
  <c r="AA12" i="34"/>
  <c r="S34" i="21"/>
  <c r="J34" i="35"/>
  <c r="F34" i="35"/>
  <c r="J26" i="37"/>
  <c r="F26" i="37"/>
  <c r="F40" i="40"/>
  <c r="G578" i="3"/>
  <c r="AZ410" i="3"/>
  <c r="AZ431" i="3"/>
  <c r="AZ439" i="3"/>
  <c r="AZ442" i="3"/>
  <c r="AZ452" i="3"/>
  <c r="AZ456" i="3"/>
  <c r="AZ467" i="3"/>
  <c r="AZ468" i="3"/>
  <c r="AZ470" i="3"/>
  <c r="W35" i="39"/>
  <c r="F27" i="34"/>
  <c r="C21" i="39"/>
  <c r="U9" i="36"/>
  <c r="U14" i="37"/>
  <c r="H12" i="21"/>
  <c r="G526" i="3"/>
  <c r="AZ420" i="3"/>
  <c r="AZ438" i="3"/>
  <c r="AZ450" i="3"/>
  <c r="G28" i="6"/>
  <c r="U26" i="21"/>
  <c r="W36" i="39"/>
  <c r="U23" i="40"/>
  <c r="AC16" i="36"/>
  <c r="AB12" i="33"/>
  <c r="C27" i="39"/>
  <c r="U40" i="40"/>
  <c r="AC9" i="40"/>
  <c r="W36" i="35"/>
  <c r="J12" i="21"/>
  <c r="B73" i="43"/>
  <c r="B76" i="43"/>
  <c r="F9" i="36"/>
  <c r="J40" i="40"/>
  <c r="G562" i="3"/>
  <c r="AZ426"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AZ268" i="3" s="1"/>
  <c r="G278" i="3"/>
  <c r="BA474" i="3"/>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90" i="3"/>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G168" i="3"/>
  <c r="BA170" i="3"/>
  <c r="AZ170" i="3" s="1"/>
  <c r="BL174" i="3"/>
  <c r="AZ174" i="3" s="1"/>
  <c r="AZ185" i="3"/>
  <c r="AZ193" i="3"/>
  <c r="BL202" i="3"/>
  <c r="AZ30" i="3"/>
  <c r="BL36" i="3"/>
  <c r="AZ36" i="3" s="1"/>
  <c r="AZ40" i="3"/>
  <c r="AZ48" i="3"/>
  <c r="AZ73" i="3"/>
  <c r="G200" i="3"/>
  <c r="G207" i="3"/>
  <c r="BA23" i="3"/>
  <c r="AZ23" i="3" s="1"/>
  <c r="BA24" i="3"/>
  <c r="AZ24" i="3" s="1"/>
  <c r="BL26" i="3"/>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G5" i="3" s="1"/>
  <c r="B3" i="3" s="1"/>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G50" i="43" s="1"/>
  <c r="C28" i="67"/>
  <c r="H83" i="43"/>
  <c r="S22" i="31"/>
  <c r="R22" i="31" s="1"/>
  <c r="H78" i="43"/>
  <c r="G78" i="43" s="1"/>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P61" i="15"/>
  <c r="C94" i="9"/>
  <c r="C92" i="9"/>
  <c r="C48" i="69"/>
  <c r="C30" i="68"/>
  <c r="C77" i="9"/>
  <c r="C74" i="9" s="1"/>
  <c r="C30" i="11"/>
  <c r="C21" i="69"/>
  <c r="J84" i="43"/>
  <c r="J85" i="43"/>
  <c r="J86" i="43"/>
  <c r="J87" i="43"/>
  <c r="J88" i="43"/>
  <c r="J89" i="43"/>
  <c r="J90" i="43"/>
  <c r="D83" i="43"/>
  <c r="E83" i="43" s="1"/>
  <c r="B81" i="43" s="1"/>
  <c r="D64" i="43"/>
  <c r="D65" i="43"/>
  <c r="D75"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G73" i="43" s="1"/>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H76" i="43"/>
  <c r="G76" i="43" s="1"/>
  <c r="H72" i="43"/>
  <c r="G72" i="43" s="1"/>
  <c r="H63" i="43"/>
  <c r="G63" i="43" s="1"/>
  <c r="H61" i="43"/>
  <c r="G61" i="43" s="1"/>
  <c r="H53" i="43"/>
  <c r="G53" i="43" s="1"/>
  <c r="H79" i="43"/>
  <c r="G79" i="43"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F71" i="15"/>
  <c r="F66" i="67"/>
  <c r="Q71" i="67"/>
  <c r="F71" i="67"/>
  <c r="C27" i="15"/>
  <c r="N59" i="67"/>
  <c r="L59" i="67"/>
  <c r="L58" i="67"/>
  <c r="M59" i="67"/>
  <c r="B13" i="70"/>
  <c r="M7" i="67"/>
  <c r="F50" i="67"/>
  <c r="F68" i="67"/>
  <c r="C36" i="68"/>
  <c r="D9" i="69"/>
  <c r="C36" i="69"/>
  <c r="D9" i="68"/>
  <c r="M26" i="67"/>
  <c r="F36" i="15"/>
  <c r="F9" i="15"/>
  <c r="M6" i="15"/>
  <c r="M23" i="15"/>
  <c r="F40" i="15"/>
  <c r="D3" i="73"/>
  <c r="F7" i="15"/>
  <c r="M29" i="15"/>
  <c r="L47" i="15"/>
  <c r="F36" i="67"/>
  <c r="F26" i="67"/>
  <c r="D5" i="73"/>
  <c r="J15" i="15"/>
  <c r="M28" i="15"/>
  <c r="D4" i="73"/>
  <c r="F37" i="15"/>
  <c r="D7" i="73"/>
  <c r="C16" i="15"/>
  <c r="F38" i="15"/>
  <c r="C76" i="15"/>
  <c r="F42" i="15"/>
  <c r="C16" i="67"/>
  <c r="M9" i="67"/>
  <c r="M8" i="15"/>
  <c r="M9" i="15"/>
  <c r="M26" i="15"/>
  <c r="L48" i="15"/>
  <c r="F8" i="15"/>
  <c r="J7" i="36" l="1"/>
  <c r="M50" i="43"/>
  <c r="N50" i="43" s="1"/>
  <c r="K50" i="43"/>
  <c r="M74" i="43"/>
  <c r="N74" i="43" s="1"/>
  <c r="K74" i="43"/>
  <c r="K61" i="43"/>
  <c r="M61" i="43"/>
  <c r="N61" i="43" s="1"/>
  <c r="M52" i="43"/>
  <c r="N52" i="43" s="1"/>
  <c r="K52" i="43"/>
  <c r="K51" i="43"/>
  <c r="M51" i="43"/>
  <c r="N51" i="43" s="1"/>
  <c r="M68" i="43"/>
  <c r="N68" i="43" s="1"/>
  <c r="K68" i="43"/>
  <c r="J68" i="43" s="1"/>
  <c r="D68" i="43" s="1"/>
  <c r="K63" i="43"/>
  <c r="M63" i="43"/>
  <c r="N63" i="43" s="1"/>
  <c r="K67" i="43"/>
  <c r="M67" i="43"/>
  <c r="N67" i="43" s="1"/>
  <c r="M79" i="43"/>
  <c r="N79" i="43" s="1"/>
  <c r="K79" i="43"/>
  <c r="M55" i="43"/>
  <c r="N55" i="43" s="1"/>
  <c r="K55" i="43"/>
  <c r="K65" i="43"/>
  <c r="J65" i="43" s="1"/>
  <c r="M65" i="43"/>
  <c r="N65" i="43" s="1"/>
  <c r="M62" i="43"/>
  <c r="N62" i="43" s="1"/>
  <c r="K62" i="43"/>
  <c r="M78" i="43"/>
  <c r="N78" i="43" s="1"/>
  <c r="K78" i="43"/>
  <c r="K69" i="43"/>
  <c r="M69" i="43"/>
  <c r="N69" i="43" s="1"/>
  <c r="M80" i="43"/>
  <c r="N80" i="43" s="1"/>
  <c r="K80" i="43"/>
  <c r="M58" i="43"/>
  <c r="N58" i="43" s="1"/>
  <c r="K58" i="43"/>
  <c r="M66" i="43"/>
  <c r="N66" i="43" s="1"/>
  <c r="K66" i="43"/>
  <c r="M72" i="43"/>
  <c r="N72" i="43" s="1"/>
  <c r="K72" i="43"/>
  <c r="K77" i="43"/>
  <c r="J77" i="43" s="1"/>
  <c r="D77" i="43" s="1"/>
  <c r="M77" i="43"/>
  <c r="N77" i="43" s="1"/>
  <c r="M57" i="43"/>
  <c r="N57" i="43" s="1"/>
  <c r="K57" i="43"/>
  <c r="J57" i="43" s="1"/>
  <c r="D57" i="43" s="1"/>
  <c r="M53" i="43"/>
  <c r="N53" i="43" s="1"/>
  <c r="K53" i="43"/>
  <c r="M76" i="43"/>
  <c r="N76" i="43" s="1"/>
  <c r="K76" i="43"/>
  <c r="K73" i="43"/>
  <c r="M73" i="43"/>
  <c r="N73" i="43" s="1"/>
  <c r="M56" i="43"/>
  <c r="N56" i="43" s="1"/>
  <c r="K56" i="43"/>
  <c r="C48" i="68"/>
  <c r="F26" i="43"/>
  <c r="F30" i="6"/>
  <c r="N370" i="46"/>
  <c r="G26" i="43"/>
  <c r="D20" i="53"/>
  <c r="B40" i="72" s="1"/>
  <c r="C27" i="67"/>
  <c r="C6" i="15"/>
  <c r="C32" i="15" s="1"/>
  <c r="F51" i="15"/>
  <c r="Q71" i="15"/>
  <c r="F65" i="15"/>
  <c r="N59" i="15"/>
  <c r="L58" i="15"/>
  <c r="Q60" i="15" s="1"/>
  <c r="M59" i="15"/>
  <c r="L59" i="15"/>
  <c r="Q61" i="15" s="1"/>
  <c r="F64" i="67"/>
  <c r="F68" i="15"/>
  <c r="F64" i="15"/>
  <c r="F66" i="15"/>
  <c r="F31" i="15"/>
  <c r="M7" i="15"/>
  <c r="J6" i="15" s="1"/>
  <c r="J18" i="15" s="1"/>
  <c r="F50" i="15"/>
  <c r="I54" i="15"/>
  <c r="J57" i="15"/>
  <c r="J55" i="15" s="1"/>
  <c r="J58" i="15" s="1"/>
  <c r="Q50" i="15" s="1"/>
  <c r="J53" i="15"/>
  <c r="L56" i="15" s="1"/>
  <c r="T52" i="71"/>
  <c r="D52" i="71"/>
  <c r="AZ428" i="3"/>
  <c r="C56" i="71"/>
  <c r="D55" i="71"/>
  <c r="AA25" i="37"/>
  <c r="S25" i="37"/>
  <c r="U14" i="21"/>
  <c r="AB14" i="21"/>
  <c r="AB32" i="34"/>
  <c r="U32" i="34"/>
  <c r="AA38" i="40"/>
  <c r="S38" i="40"/>
  <c r="AZ38" i="3"/>
  <c r="AZ103" i="3"/>
  <c r="D60" i="71"/>
  <c r="T60" i="71"/>
  <c r="AB26" i="33"/>
  <c r="U26" i="33"/>
  <c r="J6" i="67"/>
  <c r="J18" i="67" s="1"/>
  <c r="N94" i="46"/>
  <c r="J26" i="43"/>
  <c r="P6" i="1"/>
  <c r="C13" i="12" s="1"/>
  <c r="Q16" i="1"/>
  <c r="F27" i="69" s="1"/>
  <c r="C47" i="69" s="1"/>
  <c r="D45" i="69" s="1"/>
  <c r="AC34" i="36"/>
  <c r="AZ37" i="3"/>
  <c r="AZ26" i="3"/>
  <c r="AZ165" i="3"/>
  <c r="AZ145" i="3"/>
  <c r="AZ292" i="3"/>
  <c r="AZ266" i="3"/>
  <c r="AZ481" i="3"/>
  <c r="AA39" i="37"/>
  <c r="G16" i="1"/>
  <c r="F10" i="39" s="1"/>
  <c r="AA10" i="39" s="1"/>
  <c r="C26" i="71"/>
  <c r="D26" i="71" s="1"/>
  <c r="D27" i="71"/>
  <c r="AZ178" i="3"/>
  <c r="AZ118" i="3"/>
  <c r="AZ25" i="3"/>
  <c r="AZ5" i="3" s="1"/>
  <c r="AZ63" i="3"/>
  <c r="AZ57" i="3"/>
  <c r="AZ283" i="3"/>
  <c r="AZ353" i="3"/>
  <c r="D31" i="71"/>
  <c r="C32" i="71"/>
  <c r="AZ241" i="3"/>
  <c r="AZ247" i="3"/>
  <c r="AZ229" i="3"/>
  <c r="AZ332" i="3"/>
  <c r="D34" i="71"/>
  <c r="C35" i="71"/>
  <c r="AZ415" i="3"/>
  <c r="AZ398" i="3"/>
  <c r="AZ417" i="3"/>
  <c r="AA12" i="36"/>
  <c r="S12" i="36"/>
  <c r="AB12" i="36"/>
  <c r="U12" i="36"/>
  <c r="W30" i="21"/>
  <c r="AC30" i="21"/>
  <c r="AB32" i="36"/>
  <c r="U32" i="36"/>
  <c r="S45" i="33"/>
  <c r="AA45" i="33"/>
  <c r="B20" i="31"/>
  <c r="B21" i="31" s="1"/>
  <c r="H16" i="1"/>
  <c r="AZ85" i="3"/>
  <c r="AZ287" i="3"/>
  <c r="AZ166" i="3"/>
  <c r="AZ272" i="3"/>
  <c r="AZ150" i="3"/>
  <c r="B19" i="71"/>
  <c r="B18" i="71" s="1"/>
  <c r="B17" i="71" s="1"/>
  <c r="B16" i="71" s="1"/>
  <c r="S20" i="71"/>
  <c r="T40" i="71"/>
  <c r="D40" i="71"/>
  <c r="AZ197" i="3"/>
  <c r="AZ488" i="3"/>
  <c r="AZ421" i="3"/>
  <c r="AB39" i="37"/>
  <c r="U39" i="37"/>
  <c r="S26" i="33"/>
  <c r="AA26" i="33"/>
  <c r="U23" i="35"/>
  <c r="AB23" i="35"/>
  <c r="U45" i="33"/>
  <c r="AB45" i="33"/>
  <c r="S30" i="21"/>
  <c r="AA30" i="21"/>
  <c r="S25" i="36"/>
  <c r="AA25" i="36"/>
  <c r="S32" i="36"/>
  <c r="AA32" i="36"/>
  <c r="U45" i="39"/>
  <c r="AB45" i="39"/>
  <c r="W45" i="33"/>
  <c r="AC45" i="33"/>
  <c r="AB9" i="33"/>
  <c r="U9" i="33"/>
  <c r="K16" i="1"/>
  <c r="AZ202" i="3"/>
  <c r="D17" i="53"/>
  <c r="B36" i="72" s="1"/>
  <c r="E26" i="43"/>
  <c r="AZ138" i="3"/>
  <c r="AZ114" i="3"/>
  <c r="AZ474" i="3"/>
  <c r="AZ75" i="3"/>
  <c r="C64" i="71"/>
  <c r="D63" i="71"/>
  <c r="AZ278" i="3"/>
  <c r="D23" i="71"/>
  <c r="C22" i="71"/>
  <c r="D67" i="71"/>
  <c r="C66" i="71"/>
  <c r="O67" i="71"/>
  <c r="AZ71" i="3"/>
  <c r="AZ243" i="3"/>
  <c r="AZ368" i="3"/>
  <c r="AZ471" i="3"/>
  <c r="D44" i="71"/>
  <c r="T44" i="71"/>
  <c r="AZ284" i="3"/>
  <c r="AZ244" i="3"/>
  <c r="AZ239" i="3"/>
  <c r="AZ256" i="3"/>
  <c r="AZ218" i="3"/>
  <c r="AZ457" i="3"/>
  <c r="AZ418" i="3"/>
  <c r="AZ429" i="3"/>
  <c r="AB24" i="36"/>
  <c r="U24" i="36"/>
  <c r="AC44" i="39"/>
  <c r="W44" i="39"/>
  <c r="AA24" i="36"/>
  <c r="S24" i="36"/>
  <c r="AC23" i="35"/>
  <c r="W23" i="35"/>
  <c r="S45" i="39"/>
  <c r="AA45" i="39"/>
  <c r="AC9" i="33"/>
  <c r="W9" i="33"/>
  <c r="W14" i="21"/>
  <c r="AC14" i="21"/>
  <c r="U14" i="34"/>
  <c r="AB14" i="34"/>
  <c r="AB38" i="40"/>
  <c r="U38" i="40"/>
  <c r="W12" i="35"/>
  <c r="AC12" i="35"/>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AC6" i="3" s="1"/>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H7" i="33"/>
  <c r="J7" i="33"/>
  <c r="D65" i="40"/>
  <c r="E63" i="40"/>
  <c r="F48" i="35"/>
  <c r="S7" i="36"/>
  <c r="AB7" i="36"/>
  <c r="T36" i="36" s="1"/>
  <c r="G36" i="36" s="1"/>
  <c r="F7" i="33"/>
  <c r="E58" i="21"/>
  <c r="AC7" i="36"/>
  <c r="V36" i="36" s="1"/>
  <c r="I36" i="36" s="1"/>
  <c r="W7" i="36"/>
  <c r="F7" i="37"/>
  <c r="M17" i="67"/>
  <c r="P28" i="43"/>
  <c r="B66" i="40" s="1"/>
  <c r="P25" i="43"/>
  <c r="C49" i="67"/>
  <c r="P29" i="43"/>
  <c r="P27" i="43"/>
  <c r="B70" i="39" s="1"/>
  <c r="C32" i="67"/>
  <c r="Q60" i="67"/>
  <c r="Q73" i="67"/>
  <c r="M11" i="67"/>
  <c r="J10" i="67" s="1"/>
  <c r="F11" i="15"/>
  <c r="M11" i="15"/>
  <c r="J10" i="15" s="1"/>
  <c r="F11" i="67"/>
  <c r="F1" i="67"/>
  <c r="Q52" i="67"/>
  <c r="Q61" i="67"/>
  <c r="Q74" i="67"/>
  <c r="AE11" i="1"/>
  <c r="AE9" i="1"/>
  <c r="AE7" i="1"/>
  <c r="AE8" i="1"/>
  <c r="AE12" i="1"/>
  <c r="AE10" i="1"/>
  <c r="F41" i="67"/>
  <c r="G1" i="73"/>
  <c r="J62" i="43" l="1"/>
  <c r="D62" i="43"/>
  <c r="J55" i="43"/>
  <c r="D55" i="43"/>
  <c r="J74" i="43"/>
  <c r="D74" i="43"/>
  <c r="J56" i="43"/>
  <c r="D56" i="43"/>
  <c r="J76" i="43"/>
  <c r="D76" i="43"/>
  <c r="J72" i="43"/>
  <c r="D72" i="43"/>
  <c r="E72" i="43" s="1"/>
  <c r="B70" i="43" s="1"/>
  <c r="J58" i="43"/>
  <c r="D58" i="43"/>
  <c r="J52" i="43"/>
  <c r="D52" i="43"/>
  <c r="J69" i="43"/>
  <c r="D69" i="43"/>
  <c r="J67" i="43"/>
  <c r="D67" i="43"/>
  <c r="J53" i="43"/>
  <c r="D53" i="43"/>
  <c r="J66" i="43"/>
  <c r="D66" i="43"/>
  <c r="J80" i="43"/>
  <c r="D80" i="43"/>
  <c r="J78" i="43"/>
  <c r="D78" i="43"/>
  <c r="J79" i="43"/>
  <c r="D79" i="43"/>
  <c r="J50" i="43"/>
  <c r="D50" i="43"/>
  <c r="E50" i="43" s="1"/>
  <c r="B48" i="43" s="1"/>
  <c r="J73" i="43"/>
  <c r="D73" i="43"/>
  <c r="J63" i="43"/>
  <c r="D63" i="43"/>
  <c r="J51" i="43"/>
  <c r="D51" i="43"/>
  <c r="J61" i="43"/>
  <c r="D61" i="43"/>
  <c r="E61" i="43" s="1"/>
  <c r="B59" i="43" s="1"/>
  <c r="C28" i="43" s="1"/>
  <c r="T9" i="43" s="1"/>
  <c r="V9" i="43" s="1"/>
  <c r="Q74" i="15"/>
  <c r="F28" i="12"/>
  <c r="C29" i="12" s="1"/>
  <c r="D28" i="12" s="1"/>
  <c r="F27" i="68"/>
  <c r="C47" i="68" s="1"/>
  <c r="D45" i="68" s="1"/>
  <c r="H6" i="3"/>
  <c r="E6" i="3" s="1"/>
  <c r="F27" i="11"/>
  <c r="C29" i="11" s="1"/>
  <c r="D27" i="11" s="1"/>
  <c r="D26" i="43"/>
  <c r="C25" i="43" s="1"/>
  <c r="S10" i="39"/>
  <c r="Q73" i="15"/>
  <c r="M17" i="15"/>
  <c r="F59" i="15"/>
  <c r="J5" i="15"/>
  <c r="J24" i="15" s="1"/>
  <c r="W7" i="37"/>
  <c r="F67" i="39"/>
  <c r="Q52" i="15"/>
  <c r="C49" i="15"/>
  <c r="F1" i="15"/>
  <c r="J5" i="67"/>
  <c r="J24" i="67" s="1"/>
  <c r="C29" i="69"/>
  <c r="D27" i="69" s="1"/>
  <c r="F45" i="69"/>
  <c r="AY6" i="3"/>
  <c r="E3" i="6"/>
  <c r="D14" i="12" s="1"/>
  <c r="O65" i="71"/>
  <c r="D66" i="71"/>
  <c r="O66" i="71"/>
  <c r="T32" i="71"/>
  <c r="D32" i="71"/>
  <c r="C21" i="71"/>
  <c r="D22" i="71"/>
  <c r="C36" i="71"/>
  <c r="D35" i="71"/>
  <c r="D56" i="71"/>
  <c r="T56" i="71"/>
  <c r="D64" i="71"/>
  <c r="T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AE6" i="1"/>
  <c r="M27" i="67"/>
  <c r="M27" i="15"/>
  <c r="C39" i="43" l="1"/>
  <c r="C41" i="43"/>
  <c r="T6" i="43"/>
  <c r="V6" i="43" s="1"/>
  <c r="T8" i="43"/>
  <c r="V8" i="43" s="1"/>
  <c r="T16" i="43"/>
  <c r="V16" i="43" s="1"/>
  <c r="T13" i="43"/>
  <c r="V13" i="43" s="1"/>
  <c r="C42" i="43"/>
  <c r="E42" i="43" s="1"/>
  <c r="T14" i="43"/>
  <c r="V14" i="43" s="1"/>
  <c r="T10" i="43"/>
  <c r="V10" i="43" s="1"/>
  <c r="T5" i="43"/>
  <c r="V5" i="43" s="1"/>
  <c r="T4" i="43"/>
  <c r="V4" i="43" s="1"/>
  <c r="T11" i="43"/>
  <c r="V11" i="43" s="1"/>
  <c r="C37" i="43"/>
  <c r="T2" i="43"/>
  <c r="V2" i="43" s="1"/>
  <c r="T7" i="43"/>
  <c r="V7" i="43" s="1"/>
  <c r="T15" i="43"/>
  <c r="V15" i="43" s="1"/>
  <c r="C33" i="43"/>
  <c r="C38" i="43"/>
  <c r="C40" i="43"/>
  <c r="E40" i="43" s="1"/>
  <c r="T3" i="43"/>
  <c r="V3" i="43" s="1"/>
  <c r="T12" i="43"/>
  <c r="V12" i="43" s="1"/>
  <c r="C29" i="68"/>
  <c r="D27" i="68" s="1"/>
  <c r="F45" i="68"/>
  <c r="F25" i="12"/>
  <c r="C26" i="12" s="1"/>
  <c r="D25" i="12" s="1"/>
  <c r="C48" i="15"/>
  <c r="C66" i="15" s="1"/>
  <c r="D21" i="71"/>
  <c r="C20" i="71"/>
  <c r="D116" i="43"/>
  <c r="T36" i="71"/>
  <c r="D36" i="71"/>
  <c r="L18" i="9"/>
  <c r="F22" i="68"/>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41" i="43"/>
  <c r="G41" i="43"/>
  <c r="I41" i="43" s="1"/>
  <c r="E37" i="43"/>
  <c r="G37" i="43"/>
  <c r="I37" i="43" s="1"/>
  <c r="G38" i="43"/>
  <c r="I38" i="43" s="1"/>
  <c r="E38" i="43"/>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F41" i="15"/>
  <c r="C17" i="67"/>
  <c r="F69" i="15" l="1"/>
  <c r="G40" i="43"/>
  <c r="I40" i="43" s="1"/>
  <c r="G42" i="43"/>
  <c r="I42" i="43" s="1"/>
  <c r="C6" i="68" s="1"/>
  <c r="C7" i="68" s="1"/>
  <c r="C44" i="11"/>
  <c r="D41" i="11" s="1"/>
  <c r="H22" i="6"/>
  <c r="C44" i="68"/>
  <c r="D41" i="68" s="1"/>
  <c r="H25" i="6"/>
  <c r="E53" i="34"/>
  <c r="F53" i="34" s="1"/>
  <c r="C19" i="71"/>
  <c r="T20" i="71"/>
  <c r="D20" i="71"/>
  <c r="U20" i="71" s="1"/>
  <c r="C26" i="68"/>
  <c r="D22" i="68" s="1"/>
  <c r="F41" i="68"/>
  <c r="C26" i="11"/>
  <c r="D22" i="11" s="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5" i="68" l="1"/>
  <c r="C23" i="68" s="1"/>
  <c r="C18" i="12"/>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C16" i="71"/>
  <c r="D17"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M21" i="67"/>
  <c r="F35" i="67"/>
  <c r="F35" i="15"/>
  <c r="C32" i="12" l="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l="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D34" i="9"/>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D12" i="71" l="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7" i="1"/>
  <c r="AO8" i="1"/>
  <c r="AO11" i="1"/>
  <c r="C19" i="9"/>
  <c r="C102" i="9" l="1"/>
  <c r="C21" i="9"/>
  <c r="B3" i="35"/>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22" i="9"/>
  <c r="D102" i="9"/>
  <c r="G19" i="9"/>
  <c r="I21" i="9" s="1"/>
  <c r="D21" i="9"/>
  <c r="B6" i="70"/>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D9" i="71"/>
  <c r="C8" i="71"/>
  <c r="C42" i="40"/>
  <c r="C43" i="40"/>
  <c r="E47" i="40"/>
  <c r="F47" i="40" s="1"/>
  <c r="E46" i="40"/>
  <c r="F46" i="40" s="1"/>
  <c r="I47" i="40"/>
  <c r="J47" i="40" s="1"/>
  <c r="C35" i="9" l="1"/>
  <c r="C34" i="9" s="1"/>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l="1"/>
  <c r="D119" i="9" s="1"/>
  <c r="D5" i="52" s="1"/>
  <c r="B49" i="72" s="1"/>
  <c r="F118" i="9"/>
  <c r="G118" i="9" s="1"/>
  <c r="G4" i="52" s="1"/>
  <c r="B52" i="72" s="1"/>
  <c r="H118" i="9"/>
  <c r="C104" i="9" s="1"/>
  <c r="H4" i="52" l="1"/>
  <c r="F4" i="52"/>
  <c r="B51" i="72" s="1"/>
  <c r="H119" i="9"/>
  <c r="H5" i="52" s="1"/>
  <c r="D4" i="52"/>
  <c r="B47" i="72" s="1"/>
  <c r="F119" i="9"/>
  <c r="F5" i="52" s="1"/>
  <c r="B53" i="72" s="1"/>
  <c r="H101" i="9"/>
  <c r="I118" i="9"/>
  <c r="C105" i="9" l="1"/>
  <c r="E118" i="9"/>
  <c r="E4" i="52" s="1"/>
  <c r="B48" i="72" s="1"/>
  <c r="I4" i="52"/>
  <c r="H102" i="9"/>
  <c r="D45" i="9"/>
  <c r="D5" i="53"/>
  <c r="M48" i="9"/>
  <c r="H107" i="9"/>
  <c r="D122" i="9" l="1"/>
  <c r="M49" i="9"/>
  <c r="H108" i="9"/>
  <c r="D13" i="53"/>
  <c r="C5" i="74"/>
  <c r="D7" i="53"/>
  <c r="B21" i="72" s="1"/>
  <c r="D6" i="53"/>
  <c r="B22" i="72" s="1"/>
  <c r="B20" i="72"/>
  <c r="D52" i="9"/>
  <c r="C78" i="9"/>
  <c r="C73" i="9" s="1"/>
  <c r="C93" i="9"/>
  <c r="C86" i="9" s="1"/>
  <c r="D53" i="9"/>
  <c r="D55" i="9"/>
  <c r="M53" i="9" s="1"/>
  <c r="C72" i="9"/>
  <c r="C85" i="9"/>
  <c r="C64" i="9"/>
  <c r="C63" i="9" s="1"/>
  <c r="C67" i="9" s="1"/>
  <c r="C79" i="9" l="1"/>
  <c r="C80" i="9" s="1"/>
  <c r="E80" i="9" s="1"/>
  <c r="E81" i="9" s="1"/>
  <c r="C95" i="9"/>
  <c r="C96" i="9" s="1"/>
  <c r="E96" i="9" s="1"/>
  <c r="E97" i="9" s="1"/>
  <c r="D59" i="9"/>
  <c r="M55" i="9" s="1"/>
  <c r="C68" i="9"/>
  <c r="D54" i="9" s="1"/>
  <c r="D48" i="9" s="1"/>
  <c r="M52" i="9" s="1"/>
  <c r="D14" i="53"/>
  <c r="B32" i="72" s="1"/>
  <c r="B30" i="72"/>
  <c r="D15" i="53"/>
  <c r="B31" i="72" s="1"/>
  <c r="C6" i="74"/>
  <c r="L64" i="9"/>
  <c r="M64" i="9" s="1"/>
  <c r="L66" i="9"/>
  <c r="M66" i="9" s="1"/>
  <c r="L63" i="9"/>
  <c r="M63" i="9" s="1"/>
  <c r="L65" i="9"/>
  <c r="M65" i="9" s="1"/>
  <c r="L68" i="9"/>
  <c r="M68" i="9" s="1"/>
  <c r="L67" i="9"/>
  <c r="M67" i="9" s="1"/>
  <c r="D123" i="9"/>
  <c r="D9" i="52" s="1"/>
  <c r="D8" i="52"/>
  <c r="C97" i="9" l="1"/>
  <c r="M69" i="9"/>
  <c r="N69" i="9" s="1"/>
  <c r="C81" i="9"/>
  <c r="D58" i="9" l="1"/>
  <c r="D56" i="9" s="1"/>
  <c r="M54" i="9" s="1"/>
  <c r="N57" i="9" s="1"/>
  <c r="P57" i="9" s="1"/>
  <c r="N58" i="9" l="1"/>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<sst xmlns="http://schemas.openxmlformats.org/spreadsheetml/2006/main" count="8613" uniqueCount="3683">
  <si>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</si>
  <si>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</si>
  <si>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</si>
  <si>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</si>
  <si>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</si>
  <si>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</si>
  <si>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</si>
  <si>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</si>
  <si>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</si>
  <si>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</si>
  <si>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</si>
  <si>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</si>
  <si>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</si>
  <si>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</si>
  <si>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</si>
  <si>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</si>
  <si>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</si>
  <si>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</si>
  <si>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</si>
  <si>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</si>
  <si>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</si>
  <si>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</si>
  <si>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</si>
  <si>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</si>
  <si>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</si>
  <si>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</si>
  <si>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</si>
  <si>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</si>
  <si>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</si>
  <si>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</si>
  <si>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</si>
  <si>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</si>
  <si>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</si>
  <si>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</si>
  <si>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</si>
  <si>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</si>
  <si>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</si>
  <si>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</si>
  <si>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</si>
  <si>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</si>
  <si>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</si>
  <si>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</si>
  <si>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</si>
  <si>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</si>
  <si>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</si>
  <si>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</si>
  <si>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</si>
  <si>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</si>
  <si>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</si>
  <si>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</si>
  <si>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</si>
  <si>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</si>
  <si>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</si>
  <si>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</si>
  <si>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</si>
  <si>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</si>
  <si>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</si>
  <si>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</si>
  <si>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</si>
  <si>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</si>
  <si>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</si>
  <si>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</si>
  <si>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</si>
  <si>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</si>
  <si>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</si>
  <si>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</si>
  <si>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</si>
  <si>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</si>
  <si>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</si>
  <si>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</si>
  <si>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</si>
  <si>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</si>
  <si>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</si>
  <si>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</si>
  <si>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</si>
  <si>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</si>
  <si>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</si>
  <si>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</si>
  <si>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</si>
  <si>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</si>
  <si>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</si>
  <si>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</si>
  <si>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</si>
  <si>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</si>
  <si>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</si>
  <si>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</si>
  <si>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</si>
  <si>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</si>
  <si>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</si>
  <si>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</si>
  <si>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</si>
  <si>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</si>
  <si>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</si>
  <si>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</si>
  <si>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</si>
  <si>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</si>
  <si>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</si>
  <si>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</si>
  <si>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</si>
  <si>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</si>
  <si>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</si>
  <si>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</si>
  <si>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</si>
  <si>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</si>
  <si>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</si>
  <si>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</si>
  <si>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</si>
  <si>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</si>
  <si>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</si>
  <si>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</si>
  <si>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</si>
  <si>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</si>
  <si>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</si>
  <si>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</si>
  <si>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</si>
  <si>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</si>
  <si>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</si>
  <si>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</si>
  <si>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</si>
  <si>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</si>
  <si>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</si>
  <si>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</si>
  <si>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</si>
  <si>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</si>
  <si>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</si>
  <si>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</si>
  <si>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</si>
  <si>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</si>
  <si>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</si>
  <si>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</si>
  <si>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</si>
  <si>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</si>
  <si>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</si>
  <si>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</si>
  <si>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</si>
  <si>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</si>
  <si>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</si>
  <si>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</si>
  <si>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</si>
  <si>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</si>
  <si>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</si>
  <si>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</si>
  <si>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</si>
  <si>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</si>
  <si>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</si>
  <si>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</si>
  <si>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</si>
  <si>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</si>
  <si>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</si>
  <si>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</si>
  <si>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</si>
  <si>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</si>
  <si>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</si>
  <si>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</si>
  <si>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</si>
  <si>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</si>
  <si>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</si>
  <si>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</si>
  <si>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</si>
  <si>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</si>
  <si>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</si>
  <si>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</si>
  <si>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</si>
  <si>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</si>
  <si>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</si>
  <si>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</si>
  <si>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</si>
  <si>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</si>
  <si>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</si>
  <si>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</si>
  <si>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</si>
  <si>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</si>
  <si>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</si>
  <si>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</si>
  <si>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</si>
  <si>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</si>
  <si>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</si>
  <si>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</si>
  <si>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</si>
  <si>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</si>
  <si>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</si>
  <si>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</si>
  <si>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</si>
  <si>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</si>
  <si>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</si>
  <si>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</si>
  <si>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</si>
  <si>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</si>
  <si>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</si>
  <si>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</si>
  <si>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</si>
  <si>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</si>
  <si>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</si>
  <si>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</si>
  <si>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</si>
  <si>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</si>
  <si>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</si>
  <si>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</si>
  <si>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</si>
  <si>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</si>
  <si>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</si>
  <si>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</si>
  <si>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</si>
  <si>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</si>
  <si>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</si>
  <si>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</si>
  <si>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</si>
  <si>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</si>
  <si>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</si>
  <si>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</si>
  <si>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</si>
  <si>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</si>
  <si>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</si>
  <si>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</si>
  <si>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</si>
  <si>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</si>
  <si>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</si>
  <si>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</si>
  <si>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</si>
  <si>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</si>
  <si>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</si>
  <si>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</si>
  <si>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</si>
  <si>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</si>
  <si>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</si>
  <si>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</si>
  <si>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</si>
  <si>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</si>
  <si>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</si>
  <si>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</si>
  <si>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</si>
  <si>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</si>
  <si>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</si>
  <si>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</si>
  <si>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</si>
  <si>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</si>
  <si>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</si>
  <si>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</si>
  <si>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</si>
  <si>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</si>
  <si>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</si>
  <si>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</si>
  <si>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</si>
  <si>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</si>
  <si>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</si>
  <si>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</si>
  <si>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</si>
  <si>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</si>
  <si>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</si>
  <si>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</si>
  <si>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</si>
  <si>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</si>
  <si>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</si>
  <si>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</si>
  <si>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</si>
  <si>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</si>
  <si>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</si>
  <si>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</si>
  <si>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</si>
  <si>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</si>
  <si>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</si>
  <si>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</si>
  <si>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</si>
  <si>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</si>
  <si>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</si>
  <si>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</si>
  <si>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</si>
  <si>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</si>
  <si>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</si>
  <si>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</si>
  <si>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</si>
  <si>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</si>
  <si>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</si>
  <si>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</si>
  <si>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</si>
  <si>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</si>
  <si>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</si>
  <si>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</si>
  <si>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</si>
  <si>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</si>
  <si>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</si>
  <si>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</si>
  <si>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</si>
  <si>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</si>
  <si>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</si>
  <si>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</si>
  <si>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</si>
  <si>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</si>
  <si>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</si>
  <si>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</si>
  <si>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</si>
  <si>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</si>
  <si>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</si>
  <si>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</si>
  <si>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</si>
  <si>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</si>
  <si>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</si>
  <si>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</si>
  <si>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</si>
  <si>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</si>
  <si>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</si>
  <si>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</si>
  <si>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</si>
  <si>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</si>
  <si>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</si>
  <si>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</si>
  <si>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</si>
  <si>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</si>
  <si>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</si>
  <si>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</si>
  <si>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</si>
  <si>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</si>
  <si>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</si>
  <si>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</si>
  <si>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</si>
  <si>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</si>
  <si>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</si>
  <si>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</si>
  <si>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</si>
  <si>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</si>
  <si>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</si>
  <si>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</si>
  <si>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</si>
  <si>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</si>
  <si>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</si>
  <si>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</si>
  <si>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</si>
  <si>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</si>
  <si>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</si>
  <si>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</si>
  <si>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</si>
  <si>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</si>
  <si>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</si>
  <si>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</si>
  <si>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</si>
  <si>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</si>
  <si>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</si>
  <si>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</si>
  <si>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</si>
  <si>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</si>
  <si>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</si>
  <si>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</si>
  <si>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</si>
  <si>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</si>
  <si>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</si>
  <si>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</si>
  <si>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</si>
  <si>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</si>
  <si>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</si>
  <si>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</si>
  <si>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</si>
  <si>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</si>
  <si>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</si>
  <si>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</si>
  <si>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</si>
  <si>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</si>
  <si>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</si>
  <si>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</si>
  <si>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</si>
  <si>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</si>
  <si>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</si>
  <si>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</si>
  <si>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</si>
  <si>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</si>
  <si>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</si>
  <si>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</si>
  <si>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</si>
  <si>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</si>
  <si>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</si>
  <si>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</si>
  <si>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</si>
  <si>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</si>
  <si>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</si>
  <si>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</si>
  <si>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</si>
  <si>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</si>
  <si>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</si>
  <si>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</si>
  <si>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</si>
  <si>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</si>
  <si>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</si>
  <si>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</si>
  <si>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</si>
  <si>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</si>
  <si>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</si>
  <si>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</si>
  <si>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</si>
  <si>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</si>
  <si>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</si>
  <si>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</si>
  <si>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</si>
  <si>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</si>
  <si>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</si>
  <si>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</si>
  <si>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</si>
  <si>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</si>
  <si>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</si>
  <si>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</si>
  <si>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</si>
  <si>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</si>
  <si>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</si>
  <si>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</si>
  <si>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</si>
  <si>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</si>
  <si>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</si>
  <si>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</si>
  <si>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</si>
  <si>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</si>
  <si>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</si>
  <si>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</si>
  <si>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</si>
  <si>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</si>
  <si>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</si>
  <si>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</si>
  <si>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</si>
  <si>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</si>
  <si>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</si>
  <si>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</si>
  <si>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</si>
  <si>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</si>
  <si>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</si>
  <si>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</si>
  <si>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</si>
  <si>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</si>
  <si>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</si>
  <si>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</si>
  <si>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</si>
  <si>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</si>
  <si>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</si>
  <si>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</si>
  <si>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</si>
  <si>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</si>
  <si>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</si>
  <si>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</si>
  <si>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</si>
  <si>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</si>
  <si>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</si>
  <si>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</si>
  <si>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</si>
  <si>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</si>
  <si>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</si>
  <si>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</si>
  <si>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</si>
  <si>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</si>
  <si>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</si>
  <si>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</si>
  <si>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</si>
  <si>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</si>
  <si>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</si>
  <si>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</si>
  <si>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</si>
  <si>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</si>
  <si>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</si>
  <si>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</si>
  <si>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</si>
  <si>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</si>
  <si>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</si>
  <si>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</si>
  <si>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</si>
  <si>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</si>
  <si>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</si>
  <si>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</si>
  <si>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</si>
  <si>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</si>
  <si>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</si>
  <si>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</si>
  <si>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</si>
  <si>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</si>
  <si>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</si>
  <si>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</si>
  <si>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</si>
  <si>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</si>
  <si>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</si>
  <si>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</si>
  <si>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</si>
  <si>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</si>
  <si>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</si>
  <si>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</si>
  <si>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</si>
  <si>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</si>
  <si>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</si>
  <si>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</si>
  <si>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</si>
  <si>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</si>
  <si>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</si>
  <si>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</si>
  <si>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</si>
  <si>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</si>
  <si>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</si>
  <si>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</si>
  <si>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</si>
  <si>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</si>
  <si>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</si>
  <si>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</si>
  <si>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</si>
  <si>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</si>
  <si>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</si>
  <si>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</si>
  <si>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</si>
  <si>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</si>
  <si>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</si>
  <si>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</si>
  <si>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</si>
  <si>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</si>
  <si>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</si>
  <si>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</si>
  <si>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</si>
  <si>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</si>
  <si>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</si>
  <si>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</si>
  <si>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</si>
  <si>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</si>
  <si>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</si>
  <si>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</si>
  <si>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</si>
  <si>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</si>
  <si>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</si>
  <si>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</si>
  <si>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</si>
  <si>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</si>
  <si>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</si>
  <si>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</si>
  <si>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</si>
  <si>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</si>
  <si>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</si>
  <si>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</si>
  <si>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</si>
  <si>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</si>
  <si>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</si>
  <si>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</si>
  <si>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</si>
  <si>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</si>
  <si>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</si>
  <si>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</si>
  <si>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</si>
  <si>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</si>
  <si>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</si>
  <si>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</si>
  <si>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</si>
  <si>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</si>
  <si>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</si>
  <si>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</si>
  <si>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</si>
  <si>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</si>
  <si>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</si>
  <si>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</si>
  <si>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</si>
  <si>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</si>
  <si>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</si>
  <si>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</si>
  <si>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</si>
  <si>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</si>
  <si>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</si>
  <si>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</si>
  <si>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</si>
  <si>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</si>
  <si>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</si>
  <si>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</si>
  <si>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</si>
  <si>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</si>
  <si>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</si>
  <si>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</si>
  <si>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</si>
  <si>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</si>
  <si>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</si>
  <si>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</si>
  <si>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</si>
  <si>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</si>
  <si>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</si>
  <si>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</si>
  <si>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</si>
  <si>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</si>
  <si>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</si>
  <si>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</si>
  <si>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</si>
  <si>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</si>
  <si>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</si>
  <si>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</si>
  <si>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</si>
  <si>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</si>
  <si>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</si>
  <si>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</si>
  <si>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</si>
  <si>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</si>
  <si>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</si>
  <si>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</si>
  <si>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</si>
  <si>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</si>
  <si>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</si>
  <si>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</si>
  <si>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</si>
  <si>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</si>
  <si>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</si>
  <si>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</si>
  <si>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</si>
  <si>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</si>
  <si>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</si>
  <si>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</si>
  <si>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</si>
  <si>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</si>
  <si>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</si>
  <si>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</si>
  <si>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</si>
  <si>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</si>
  <si>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</si>
  <si>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</si>
  <si>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</si>
  <si>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</si>
  <si>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</si>
  <si>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</si>
  <si>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</si>
  <si>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</si>
  <si>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</si>
  <si>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</si>
  <si>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</si>
  <si>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</si>
  <si>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</si>
  <si>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</si>
  <si>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</si>
  <si>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</si>
  <si>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</si>
  <si>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</si>
  <si>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</si>
  <si>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</si>
  <si>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</si>
  <si>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</si>
  <si>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</si>
  <si>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</si>
  <si>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</si>
  <si>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</si>
  <si>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</si>
  <si>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</si>
  <si>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</si>
  <si>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</si>
  <si>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</si>
  <si>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</si>
  <si>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</si>
  <si>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</si>
  <si>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</si>
  <si>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</si>
  <si>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</si>
  <si>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</si>
  <si>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</si>
  <si>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</si>
  <si>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</si>
  <si>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</si>
  <si>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</si>
  <si>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</si>
  <si>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</si>
  <si>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</si>
  <si>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</si>
  <si>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</si>
  <si>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</si>
  <si>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</si>
  <si>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</si>
  <si>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</si>
  <si>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</si>
  <si>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</si>
  <si>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</si>
  <si>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</si>
  <si>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</si>
  <si>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</si>
  <si>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</si>
  <si>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</si>
  <si>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</si>
  <si>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</si>
  <si>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</si>
  <si>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</si>
  <si>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</si>
  <si>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</si>
  <si>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</si>
  <si>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</si>
  <si>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</si>
  <si>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</si>
  <si>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</si>
  <si>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</si>
  <si>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</si>
  <si>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</si>
  <si>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</si>
  <si>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</si>
  <si>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</si>
  <si>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</si>
  <si>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</si>
  <si>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</si>
  <si>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</si>
  <si>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</si>
  <si>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</si>
  <si>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</si>
  <si>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</si>
  <si>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</si>
  <si>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</si>
  <si>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</si>
  <si>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</si>
  <si>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</si>
  <si>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</si>
  <si>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</si>
  <si>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</si>
  <si>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</si>
  <si>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</si>
  <si>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</si>
  <si>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</si>
  <si>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</si>
  <si>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</si>
  <si>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</si>
  <si>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</si>
  <si>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</si>
  <si>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</si>
  <si>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</si>
  <si>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</si>
  <si>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</si>
  <si>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</si>
  <si>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</si>
  <si>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</si>
  <si>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</si>
  <si>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</si>
  <si>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</si>
  <si>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</si>
  <si>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</si>
  <si>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</si>
  <si>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</si>
  <si>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</si>
  <si>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</si>
  <si>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</si>
  <si>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</si>
  <si>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</si>
  <si>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</si>
  <si>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</si>
  <si>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</si>
  <si>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</si>
  <si>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</si>
  <si>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</si>
  <si>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</si>
  <si>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</si>
  <si>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</si>
  <si>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</si>
  <si>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</si>
  <si>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</si>
  <si>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</si>
  <si>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</si>
  <si>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</si>
  <si>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</si>
  <si>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</si>
  <si>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</si>
  <si>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</si>
  <si>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</si>
  <si>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</si>
  <si>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</si>
  <si>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</si>
  <si>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</si>
  <si>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</si>
  <si>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</si>
  <si>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</si>
  <si>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</si>
  <si>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</si>
  <si>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</si>
  <si>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</si>
  <si>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</si>
  <si>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</si>
  <si>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</si>
  <si>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</si>
  <si>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</si>
  <si>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</si>
  <si>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</si>
  <si>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</si>
  <si>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</si>
  <si>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</si>
  <si>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</si>
  <si>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</si>
  <si>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</si>
  <si>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</si>
  <si>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</si>
  <si>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</si>
  <si>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</si>
  <si>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</si>
  <si>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</si>
  <si>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</si>
  <si>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</si>
  <si>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</si>
  <si>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</si>
  <si>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</si>
  <si>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</si>
  <si>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</si>
  <si>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</si>
  <si>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</si>
  <si>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</si>
  <si>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</si>
  <si>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</si>
  <si>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</si>
  <si>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</si>
  <si>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</si>
  <si>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</si>
  <si>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</si>
  <si>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</si>
  <si>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</si>
  <si>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</si>
  <si>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</si>
  <si>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</si>
  <si>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</si>
  <si>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</si>
  <si>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</si>
  <si>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</si>
  <si>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</si>
  <si>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</si>
  <si>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</si>
  <si>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</si>
  <si>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</si>
  <si>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</si>
  <si>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</si>
  <si>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</si>
  <si>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</si>
  <si>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</si>
  <si>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</si>
  <si>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</si>
  <si>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</si>
  <si>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</si>
  <si>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</si>
  <si>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</si>
  <si>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</si>
  <si>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</si>
  <si>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</si>
  <si>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</si>
  <si>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</si>
  <si>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</si>
  <si>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</si>
  <si>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</si>
  <si>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</si>
  <si>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</si>
  <si>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</si>
  <si>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</si>
  <si>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</si>
  <si>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</si>
  <si>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</si>
  <si>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</si>
  <si>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</si>
  <si>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</si>
  <si>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</si>
  <si>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</si>
  <si>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</si>
  <si>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</si>
  <si>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</si>
  <si>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</si>
  <si>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</si>
  <si>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</si>
  <si>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</si>
  <si>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</si>
  <si>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</si>
  <si>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</si>
  <si>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</si>
  <si>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</si>
  <si>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</si>
  <si>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</si>
  <si>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</si>
  <si>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</si>
  <si>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</si>
  <si>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</si>
  <si>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</si>
  <si>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</si>
  <si>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</si>
  <si>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</si>
  <si>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</si>
  <si>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</si>
  <si>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</si>
  <si>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</si>
  <si>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</si>
  <si>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</si>
  <si>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</si>
  <si>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</si>
  <si>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</si>
  <si>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</si>
  <si>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</si>
  <si>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</si>
  <si>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</si>
  <si>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</si>
  <si>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</si>
  <si>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</si>
  <si>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</si>
  <si>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</si>
  <si>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</si>
  <si>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</si>
  <si>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</si>
  <si>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</si>
  <si>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</si>
  <si>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</si>
  <si>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</si>
  <si>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</si>
  <si>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</si>
  <si>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</si>
  <si>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</si>
  <si>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</si>
  <si>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</si>
  <si>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</si>
  <si>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</si>
  <si>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</si>
  <si>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</si>
  <si>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</si>
  <si>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</si>
  <si>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</si>
  <si>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</si>
  <si>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</si>
  <si>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</si>
  <si>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</si>
  <si>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</si>
  <si>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</si>
  <si>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</si>
  <si>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</si>
  <si>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</si>
  <si>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</si>
  <si>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</si>
  <si>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</si>
  <si>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</si>
  <si>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</si>
  <si>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</si>
  <si>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</si>
  <si>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</si>
  <si>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</si>
  <si>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</si>
  <si>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</si>
  <si>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</si>
  <si>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</si>
  <si>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</si>
  <si>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</si>
  <si>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</si>
  <si>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</si>
  <si>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</si>
  <si>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</si>
  <si>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</si>
  <si>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</si>
  <si>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</si>
  <si>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</si>
  <si>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</si>
  <si>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</si>
  <si>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</si>
  <si>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</si>
  <si>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</si>
  <si>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</si>
  <si>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</si>
  <si>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</si>
  <si>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</si>
  <si>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</si>
  <si>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</si>
  <si>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</si>
  <si>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</si>
  <si>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</si>
  <si>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</si>
  <si>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</si>
  <si>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</si>
  <si>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</si>
  <si>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</si>
  <si>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</si>
  <si>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</si>
  <si>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</si>
  <si>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</si>
  <si>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</si>
  <si>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</si>
  <si>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</si>
  <si>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</si>
  <si>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</si>
  <si>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</si>
  <si>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</si>
  <si>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</si>
  <si>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</si>
  <si>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</si>
  <si>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</si>
  <si>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</si>
  <si>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</si>
  <si>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</si>
  <si>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</si>
  <si>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</si>
  <si>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</si>
  <si>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</si>
  <si>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</si>
  <si>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</si>
  <si>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</si>
  <si>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</si>
  <si>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</si>
  <si>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</si>
  <si>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</si>
  <si>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</si>
  <si>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</si>
  <si>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</si>
  <si>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</si>
  <si>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</si>
  <si>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</si>
  <si>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</si>
  <si>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</si>
  <si>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</si>
  <si>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</si>
  <si>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</si>
  <si>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</si>
  <si>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</si>
  <si>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</si>
  <si>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</si>
  <si>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</si>
  <si>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</si>
  <si>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</si>
  <si>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</si>
  <si>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</si>
  <si>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</si>
  <si>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</si>
  <si>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</si>
  <si>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</si>
  <si>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</si>
  <si>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</si>
  <si>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</si>
  <si>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</si>
  <si>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</si>
  <si>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</si>
  <si>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</si>
  <si>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</si>
  <si>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</si>
  <si>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</si>
  <si>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</si>
  <si>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</si>
  <si>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</si>
  <si>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</si>
  <si>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</si>
  <si>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</si>
  <si>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</si>
  <si>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</si>
  <si>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</si>
  <si>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</si>
  <si>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</si>
  <si>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</si>
  <si>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</si>
  <si>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</si>
  <si>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</si>
  <si>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</si>
  <si>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</si>
  <si>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</si>
  <si>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</si>
  <si>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</si>
  <si>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</si>
  <si>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</si>
  <si>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</si>
  <si>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</si>
  <si>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</si>
  <si>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</si>
  <si>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</si>
  <si>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</si>
  <si>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</si>
  <si>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</si>
  <si>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</si>
  <si>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</si>
  <si>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</si>
  <si>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</si>
  <si>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</si>
  <si>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</si>
  <si>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</si>
  <si>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</si>
  <si>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</si>
  <si>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</si>
  <si>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</si>
  <si>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</si>
  <si>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</si>
  <si>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</si>
  <si>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</si>
  <si>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</si>
  <si>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</si>
  <si>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</si>
  <si>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</si>
  <si>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</si>
  <si>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</si>
  <si>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</si>
  <si>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</si>
  <si>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</si>
  <si>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</si>
  <si>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</si>
  <si>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</si>
  <si>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</si>
  <si>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</si>
  <si>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</si>
  <si>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</si>
  <si>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</si>
  <si>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</si>
  <si>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</si>
  <si>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</si>
  <si>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</si>
  <si>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</si>
  <si>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</si>
  <si>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</si>
  <si>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</si>
  <si>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</si>
  <si>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</si>
  <si>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</si>
  <si>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</si>
  <si>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</si>
  <si>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</si>
  <si>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</si>
  <si>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</si>
  <si>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</si>
  <si>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</si>
  <si>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</si>
  <si>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</si>
  <si>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</si>
  <si>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</si>
  <si>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</si>
  <si>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</si>
  <si>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</si>
  <si>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</si>
  <si>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</si>
  <si>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</si>
  <si>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</si>
  <si>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</si>
  <si>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</si>
  <si>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</si>
  <si>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</si>
  <si>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</si>
  <si>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</si>
  <si>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</si>
  <si>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</si>
  <si>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</si>
  <si>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</si>
  <si>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</si>
  <si>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</si>
  <si>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</si>
  <si>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</si>
  <si>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</si>
  <si>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</si>
  <si>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</si>
  <si>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</si>
  <si>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</si>
  <si>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</si>
  <si>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</si>
  <si>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</si>
  <si>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</si>
  <si>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</si>
  <si>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</si>
  <si>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</si>
  <si>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</si>
  <si>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</si>
  <si>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</si>
  <si>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</si>
  <si>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</si>
  <si>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</si>
  <si>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</si>
  <si>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</si>
  <si>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</si>
  <si>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</si>
  <si>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</si>
  <si>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</si>
  <si>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</si>
  <si>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</si>
  <si>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</si>
  <si>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</si>
  <si>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</si>
  <si>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</si>
  <si>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</si>
  <si>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</si>
  <si>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</si>
  <si>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</si>
  <si>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</si>
  <si>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</si>
  <si>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</si>
  <si>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</si>
  <si>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</si>
  <si>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</si>
  <si>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</si>
  <si>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</si>
  <si>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</si>
  <si>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</si>
  <si>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</si>
  <si>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</si>
  <si>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</si>
  <si>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</si>
  <si>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</si>
  <si>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</si>
  <si>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</si>
  <si>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</si>
  <si>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</si>
  <si>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</si>
  <si>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</si>
  <si>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</si>
  <si>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</si>
  <si>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</si>
  <si>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</si>
  <si>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</si>
  <si>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</si>
  <si>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</si>
  <si>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</si>
  <si>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</si>
  <si>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</si>
  <si>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</si>
  <si>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</si>
  <si>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</si>
  <si>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</si>
  <si>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</si>
  <si>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</si>
  <si>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</si>
  <si>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</si>
  <si>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</si>
  <si>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</si>
  <si>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</si>
  <si>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</si>
  <si>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</si>
  <si>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</si>
  <si>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</si>
  <si>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</si>
  <si>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</si>
  <si>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</si>
  <si>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</si>
  <si>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</si>
  <si>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</si>
  <si>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</si>
  <si>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</si>
  <si>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</si>
  <si>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</si>
  <si>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</si>
  <si>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</si>
  <si>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</si>
  <si>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</si>
  <si>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</si>
  <si>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</si>
  <si>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</si>
  <si>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</si>
  <si>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</si>
  <si>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</si>
  <si>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</si>
  <si>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</si>
  <si>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</si>
  <si>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</si>
  <si>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</si>
  <si>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</si>
  <si>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</si>
  <si>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</si>
  <si>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</si>
  <si>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</si>
  <si>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</si>
  <si>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</si>
  <si>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</si>
  <si>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</si>
  <si>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</si>
  <si>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</si>
  <si>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</si>
  <si>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</si>
  <si>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</si>
  <si>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</si>
  <si>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</si>
  <si>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</si>
  <si>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</si>
  <si>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</si>
  <si>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</si>
  <si>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</si>
  <si>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</si>
  <si>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</si>
  <si>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</si>
  <si>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</si>
  <si>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</si>
  <si>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</si>
  <si>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</si>
  <si>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</si>
  <si>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</si>
  <si>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</si>
  <si>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</si>
  <si>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</si>
  <si>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</si>
  <si>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</si>
  <si>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</si>
  <si>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</si>
  <si>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</si>
  <si>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</si>
  <si>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</si>
  <si>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</si>
  <si>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</si>
  <si>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</si>
  <si>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</si>
  <si>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</si>
  <si>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</si>
  <si>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</si>
  <si>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</si>
  <si>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</si>
  <si>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</si>
  <si>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</si>
  <si>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</si>
  <si>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</si>
  <si>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</si>
  <si>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</si>
  <si>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</si>
  <si>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</si>
  <si>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</si>
  <si>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</si>
  <si>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</si>
  <si>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</si>
  <si>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</si>
  <si>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</si>
  <si>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</si>
  <si>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</si>
  <si>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</si>
  <si>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</si>
  <si>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</si>
  <si>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</si>
  <si>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</si>
  <si>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</si>
  <si>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</si>
  <si>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</si>
  <si>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</si>
  <si>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</si>
  <si>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</si>
  <si>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</si>
  <si>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</si>
  <si>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</si>
  <si>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</si>
  <si>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</si>
  <si>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</si>
  <si>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</si>
  <si>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</si>
  <si>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</si>
  <si>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</si>
  <si>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</si>
  <si>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</si>
  <si>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</si>
  <si>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</si>
  <si>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</si>
  <si>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</si>
  <si>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</si>
  <si>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</si>
  <si>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</si>
  <si>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</si>
  <si>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</si>
  <si>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</si>
  <si>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</si>
  <si>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</si>
  <si>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</si>
  <si>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</si>
  <si>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</si>
  <si>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</si>
  <si>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</si>
  <si>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</si>
  <si>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</si>
  <si>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</si>
  <si>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</si>
  <si>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</si>
  <si>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</si>
  <si>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</si>
  <si>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</si>
  <si>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</si>
  <si>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</si>
  <si>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</si>
  <si>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</si>
  <si>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</si>
  <si>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</si>
  <si>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</si>
  <si>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</si>
  <si>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</si>
  <si>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</si>
  <si>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</si>
  <si>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</si>
  <si>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</si>
  <si>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</si>
  <si>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</si>
  <si>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</si>
  <si>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</si>
  <si>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</si>
  <si>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</si>
  <si>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</si>
  <si>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</si>
  <si>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</si>
  <si>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</si>
  <si>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</si>
  <si>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</si>
  <si>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</si>
  <si>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</si>
  <si>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</si>
  <si>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</si>
  <si>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</si>
  <si>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</si>
  <si>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</si>
  <si>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</si>
  <si>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</si>
  <si>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</si>
  <si>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</si>
  <si>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</si>
  <si>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</si>
  <si>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</si>
  <si>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</si>
  <si>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</si>
  <si>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</si>
  <si>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</si>
  <si>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</si>
  <si>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</si>
  <si>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</si>
  <si>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</si>
  <si>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</si>
  <si>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</si>
  <si>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</si>
  <si>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</si>
  <si>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</si>
  <si>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</si>
  <si>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</si>
  <si>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</si>
  <si>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</si>
  <si>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</si>
  <si>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</si>
  <si>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</si>
  <si>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</si>
  <si>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</si>
  <si>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</si>
  <si>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</si>
  <si>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</si>
  <si>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</si>
  <si>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</si>
  <si>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</si>
  <si>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</si>
  <si>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</si>
  <si>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</si>
  <si>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</si>
  <si>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</si>
  <si>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</si>
  <si>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</si>
  <si>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</si>
  <si>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</si>
  <si>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</si>
  <si>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</si>
  <si>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</si>
  <si>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</si>
  <si>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</si>
  <si>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</si>
  <si>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</si>
  <si>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</si>
  <si>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</si>
  <si>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</si>
  <si>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</si>
  <si>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</si>
  <si>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</si>
  <si>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</si>
  <si>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</si>
  <si>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</si>
  <si>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</si>
  <si>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</si>
  <si>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</si>
  <si>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</si>
  <si>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</si>
  <si>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</si>
  <si>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</si>
  <si>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</si>
  <si>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</si>
  <si>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</si>
  <si>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</si>
  <si>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</si>
  <si>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</si>
  <si>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</si>
  <si>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</si>
  <si>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</si>
  <si>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</si>
  <si>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</si>
  <si>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</si>
  <si>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</si>
  <si>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</si>
  <si>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</si>
  <si>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</si>
  <si>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</si>
  <si>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</si>
  <si>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</si>
  <si>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</si>
  <si>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</si>
  <si>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</si>
  <si>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</si>
  <si>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</si>
  <si>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</si>
  <si>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</si>
  <si>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</si>
  <si>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</si>
  <si>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</si>
  <si>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</si>
  <si>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</si>
  <si>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</si>
  <si>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</si>
  <si>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</si>
  <si>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</si>
  <si>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</si>
  <si>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</si>
  <si>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</si>
  <si>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</si>
  <si>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</si>
  <si>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</si>
  <si>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</si>
  <si>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</si>
  <si>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</si>
  <si>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</si>
  <si>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</si>
  <si>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</si>
  <si>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</si>
  <si>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</si>
  <si>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</si>
  <si>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</si>
  <si>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</si>
  <si>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</si>
  <si>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</si>
  <si>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</si>
  <si>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</si>
  <si>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</si>
  <si>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</si>
  <si>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</si>
  <si>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</si>
  <si>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</si>
  <si>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</si>
  <si>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</si>
  <si>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</si>
  <si>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</si>
  <si>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</si>
  <si>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</si>
  <si>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</si>
  <si>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</si>
  <si>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</si>
  <si>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</si>
  <si>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</si>
  <si>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</si>
  <si>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</si>
  <si>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</si>
  <si>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</si>
  <si>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</si>
  <si>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</si>
  <si>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</si>
  <si>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</si>
  <si>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</si>
  <si>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</si>
  <si>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</si>
  <si>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</si>
  <si>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</si>
  <si>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</si>
  <si>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</si>
  <si>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</si>
  <si>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</si>
  <si>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</si>
  <si>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</si>
  <si>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</si>
  <si>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</si>
  <si>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</si>
  <si>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</si>
  <si>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</si>
  <si>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</si>
  <si>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</si>
  <si>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</si>
  <si>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</si>
  <si>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</si>
  <si>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</si>
  <si>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</si>
  <si>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</si>
  <si>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</si>
  <si>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</si>
  <si>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</si>
  <si>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</si>
  <si>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</si>
  <si>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</si>
  <si>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</si>
  <si>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</si>
  <si>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</si>
  <si>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</si>
  <si>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</si>
  <si>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</si>
  <si>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</si>
  <si>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</si>
  <si>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</si>
  <si>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</si>
  <si>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</si>
  <si>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</si>
  <si>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</si>
  <si>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</si>
  <si>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</si>
  <si>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</si>
  <si>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</si>
  <si>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</si>
  <si>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</si>
  <si>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</si>
  <si>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</si>
  <si>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</si>
  <si>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</si>
  <si>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</si>
  <si>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</si>
  <si>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</si>
  <si>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</si>
  <si>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</si>
  <si>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</si>
  <si>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</si>
  <si>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</si>
  <si>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</si>
  <si>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</si>
  <si>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</si>
  <si>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</si>
  <si>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</si>
  <si>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</si>
  <si>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</si>
  <si>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</si>
  <si>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</si>
  <si>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</si>
  <si>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</si>
  <si>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</si>
  <si>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</si>
  <si>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</si>
  <si>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</si>
  <si>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</si>
  <si>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</si>
  <si>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</si>
  <si>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</si>
  <si>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</si>
  <si>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</si>
  <si>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</si>
  <si>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</si>
  <si>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</si>
  <si>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</si>
  <si>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</si>
  <si>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</si>
  <si>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</si>
  <si>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</si>
  <si>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</si>
  <si>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</si>
  <si>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</si>
  <si>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</si>
  <si>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</si>
  <si>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</si>
  <si>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</si>
  <si>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</si>
  <si>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</si>
  <si>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</si>
  <si>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</si>
  <si>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</si>
  <si>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</si>
  <si>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</si>
  <si>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</si>
  <si>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</si>
  <si>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</si>
  <si>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</si>
  <si>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</si>
  <si>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</si>
  <si>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</si>
  <si>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</si>
  <si>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</si>
  <si>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</si>
  <si>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</si>
  <si>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</si>
  <si>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</si>
  <si>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</si>
  <si>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</si>
  <si>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</si>
  <si>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</si>
  <si>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</si>
  <si>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</si>
  <si>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</si>
  <si>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</si>
  <si>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</si>
  <si>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</si>
  <si>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</si>
  <si>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</si>
  <si>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</si>
  <si>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</si>
  <si>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</si>
  <si>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</si>
  <si>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</si>
  <si>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</si>
  <si>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</si>
  <si>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</si>
  <si>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</si>
  <si>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</si>
  <si>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</si>
  <si>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</si>
  <si>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</si>
  <si>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</si>
  <si>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</si>
  <si>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</si>
  <si>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</si>
  <si>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</si>
  <si>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</si>
  <si>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</si>
  <si>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</si>
  <si>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</si>
  <si>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</si>
  <si>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</si>
  <si>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</si>
  <si>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</si>
  <si>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</si>
  <si>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</si>
  <si>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</si>
  <si>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</si>
  <si>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</si>
  <si>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</si>
  <si>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</si>
  <si>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</si>
  <si>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</si>
  <si>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</si>
  <si>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</si>
  <si>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</si>
  <si>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</si>
  <si>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</si>
  <si>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</si>
  <si>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</si>
  <si>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</si>
  <si>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</si>
  <si>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</si>
  <si>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</si>
  <si>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</si>
  <si>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</si>
  <si>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</si>
  <si>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</si>
  <si>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</si>
  <si>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</si>
  <si>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</si>
  <si>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</si>
  <si>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</si>
  <si>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</si>
  <si>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</si>
  <si>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</si>
  <si>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</si>
  <si>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</si>
  <si>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</si>
  <si>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</si>
  <si>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</si>
  <si>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</si>
  <si>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</si>
  <si>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</si>
  <si>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</si>
  <si>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</si>
  <si>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</si>
  <si>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</si>
  <si>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</si>
  <si>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</si>
  <si>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</si>
  <si>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</si>
  <si>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</si>
  <si>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</si>
  <si>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</si>
  <si>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</si>
  <si>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</si>
  <si>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</si>
  <si>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</si>
  <si>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</si>
  <si>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</si>
  <si>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</si>
  <si>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</si>
  <si>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</si>
  <si>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</si>
  <si>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</si>
  <si>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</si>
  <si>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</si>
  <si>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</si>
  <si>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</si>
  <si>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</si>
  <si>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</si>
  <si>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</si>
  <si>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</si>
  <si>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</si>
  <si>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</si>
  <si>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</si>
  <si>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</si>
  <si>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</si>
  <si>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</si>
  <si>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</si>
  <si>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</si>
  <si>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</si>
  <si>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</si>
  <si>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</si>
  <si>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</si>
  <si>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</si>
  <si>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</si>
  <si>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</si>
  <si>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</si>
  <si>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</si>
  <si>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</si>
  <si>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</si>
  <si>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</si>
  <si>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</si>
  <si>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</si>
  <si>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</si>
  <si>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</si>
  <si>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</si>
  <si>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</si>
  <si>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</si>
  <si>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</si>
  <si>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</si>
  <si>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</si>
  <si>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</si>
  <si>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</si>
  <si>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</si>
  <si>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</si>
  <si>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</si>
  <si>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</si>
  <si>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</si>
  <si>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</si>
  <si>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</si>
  <si>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</si>
  <si>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</si>
  <si>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</si>
  <si>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</si>
  <si>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</si>
  <si>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</si>
  <si>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</si>
  <si>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</si>
  <si>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</si>
  <si>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</si>
  <si>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</si>
  <si>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</si>
  <si>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</si>
  <si>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</si>
  <si>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</si>
  <si>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</si>
  <si>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</si>
  <si>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</si>
  <si>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</si>
  <si>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</si>
  <si>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</si>
  <si>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</si>
  <si>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</si>
  <si>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</si>
  <si>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</si>
  <si>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</si>
  <si>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</si>
  <si>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</si>
  <si>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</si>
  <si>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</si>
  <si>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</si>
  <si>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</si>
  <si>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</si>
  <si>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</si>
  <si>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</si>
  <si>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</si>
  <si>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</si>
  <si>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</si>
  <si>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</si>
  <si>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</si>
  <si>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</si>
  <si>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</si>
  <si>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</si>
  <si>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</si>
  <si>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</si>
  <si>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</si>
  <si>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</si>
  <si>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</si>
  <si>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</si>
  <si>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</si>
  <si>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</si>
  <si>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</si>
  <si>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</si>
  <si>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</si>
  <si>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</si>
  <si>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</si>
  <si>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</si>
  <si>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</si>
  <si>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</si>
  <si>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</si>
  <si>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</si>
  <si>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</si>
  <si>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</si>
  <si>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</si>
  <si>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</si>
  <si>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</si>
  <si>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</si>
  <si>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</si>
  <si>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</si>
  <si>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</si>
  <si>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</si>
  <si>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</si>
  <si>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</si>
  <si>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</si>
  <si>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</si>
  <si>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</si>
  <si>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</si>
  <si>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</si>
  <si>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</si>
  <si>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</si>
  <si>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</si>
  <si>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</si>
  <si>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</si>
  <si>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</si>
  <si>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</si>
  <si>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</si>
  <si>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</si>
  <si>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</si>
  <si>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</si>
  <si>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</si>
  <si>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</si>
  <si>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</si>
  <si>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</si>
  <si>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</si>
  <si>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</si>
  <si>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</si>
  <si>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</si>
  <si>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</si>
  <si>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</si>
  <si>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</si>
  <si>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</si>
  <si>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</si>
  <si>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</si>
  <si>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</si>
  <si>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</si>
  <si>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</si>
  <si>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</si>
  <si>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</si>
  <si>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</si>
  <si>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</si>
  <si>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</si>
  <si>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</si>
  <si>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</si>
  <si>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</si>
  <si>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</si>
  <si>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</si>
  <si>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</si>
  <si>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</si>
  <si>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</si>
  <si>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</si>
  <si>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</si>
  <si>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</si>
  <si>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</si>
  <si>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</si>
  <si>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</si>
  <si>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</si>
  <si>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</si>
  <si>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</si>
  <si>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</si>
  <si>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</si>
  <si>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</si>
  <si>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</si>
  <si>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</si>
  <si>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</si>
  <si>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</si>
  <si>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</si>
  <si>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</si>
  <si>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</si>
  <si>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</si>
  <si>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</si>
  <si>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</si>
  <si>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</si>
  <si>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</si>
  <si>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</si>
  <si>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</si>
  <si>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</si>
  <si>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</si>
  <si>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</si>
  <si>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</si>
  <si>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</si>
  <si>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</si>
  <si>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</si>
  <si>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</si>
  <si>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</si>
  <si>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</si>
  <si>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</si>
  <si>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</si>
  <si>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</si>
  <si>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</si>
  <si>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</si>
  <si>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</si>
  <si>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</si>
  <si>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</si>
  <si>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</si>
  <si>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</si>
  <si>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</si>
  <si>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</si>
  <si>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</si>
  <si>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</si>
  <si>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</si>
  <si>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</si>
  <si>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</si>
  <si>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</si>
  <si>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</si>
  <si>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</si>
  <si>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</si>
  <si>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</si>
  <si>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</si>
  <si>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</si>
  <si>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</si>
  <si>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</si>
  <si>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</si>
  <si>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</si>
  <si>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</si>
  <si>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</si>
  <si>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</si>
  <si>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</si>
  <si>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</si>
  <si>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</si>
  <si>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</si>
  <si>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</si>
  <si>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</si>
  <si>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</si>
  <si>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</si>
  <si>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</si>
  <si>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</si>
  <si>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</si>
  <si>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</si>
  <si>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</si>
  <si>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</si>
  <si>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</si>
  <si>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</si>
  <si>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</si>
  <si>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</si>
  <si>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</si>
  <si>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</si>
  <si>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</si>
  <si>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</si>
  <si>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</si>
  <si>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</si>
  <si>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</si>
  <si>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</si>
  <si>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</si>
  <si>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</si>
  <si>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</si>
  <si>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</si>
  <si>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</si>
  <si>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</si>
  <si>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</si>
  <si>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</si>
  <si>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</si>
  <si>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</si>
  <si>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</si>
  <si>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</si>
  <si>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</si>
  <si>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</si>
  <si>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</si>
  <si>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</si>
  <si>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</si>
  <si>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</si>
  <si>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</si>
  <si>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</si>
  <si>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</si>
  <si>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</si>
  <si>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</si>
  <si>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</si>
  <si>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</si>
  <si>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</si>
  <si>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</si>
  <si>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</si>
  <si>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</si>
  <si>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</si>
  <si>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</si>
  <si>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</si>
  <si>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</si>
  <si>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</si>
  <si>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</si>
  <si>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</si>
  <si>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</si>
  <si>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</si>
  <si>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</si>
  <si>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</si>
  <si>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</si>
  <si>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</si>
  <si>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</si>
  <si>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</si>
  <si>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</si>
  <si>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</si>
  <si>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</si>
  <si>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</si>
  <si>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</si>
  <si>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</si>
  <si>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</si>
  <si>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</si>
  <si>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</si>
  <si>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</si>
  <si>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</si>
  <si>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</si>
  <si>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</si>
  <si>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</si>
  <si>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</si>
  <si>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</si>
  <si>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</si>
  <si>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</si>
  <si>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</si>
  <si>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</si>
  <si>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</si>
  <si>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</si>
  <si>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</si>
  <si>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</si>
  <si>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</si>
  <si>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</si>
  <si>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</si>
  <si>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</si>
  <si>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</si>
  <si>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</si>
  <si>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</si>
  <si>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</si>
  <si>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</si>
  <si>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</si>
  <si>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</si>
  <si>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</si>
  <si>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</si>
  <si>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</si>
  <si>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</si>
  <si>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</si>
  <si>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</si>
  <si>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</si>
  <si>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</si>
  <si>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</si>
  <si>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</si>
  <si>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</si>
  <si>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</si>
  <si>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</si>
  <si>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</si>
  <si>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</si>
  <si>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</si>
  <si>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</si>
  <si>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</si>
  <si>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</si>
  <si>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</si>
  <si>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</si>
  <si>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</si>
  <si>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</si>
  <si>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</si>
  <si>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</si>
  <si>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</si>
  <si>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</si>
  <si>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</si>
  <si>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</si>
  <si>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</si>
  <si>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</si>
  <si>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</si>
  <si>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</si>
  <si>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</si>
  <si>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</si>
  <si>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</si>
  <si>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</si>
  <si>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</si>
  <si>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</si>
  <si>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</si>
  <si>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</si>
  <si>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</si>
  <si>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</si>
  <si>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</si>
  <si>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</si>
  <si>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</si>
  <si>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</si>
  <si>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</si>
  <si>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</si>
  <si>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</si>
  <si>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</si>
  <si>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</si>
  <si>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</si>
  <si>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</si>
  <si>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</si>
  <si>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</si>
  <si>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</si>
  <si>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</si>
  <si>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</si>
  <si>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</si>
  <si>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</si>
  <si>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</si>
  <si>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</si>
  <si>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</si>
  <si>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</si>
  <si>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</si>
  <si>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</si>
  <si>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</si>
  <si>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</si>
  <si>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</si>
  <si>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</si>
  <si>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</si>
  <si>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</si>
  <si>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</si>
  <si>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</si>
  <si>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</si>
  <si>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</si>
  <si>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</si>
  <si>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</si>
  <si>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</si>
  <si>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</si>
  <si>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</si>
  <si>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</si>
  <si>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</si>
  <si>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</si>
  <si>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</si>
  <si>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</si>
  <si>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</si>
  <si>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</si>
  <si>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</si>
  <si>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</si>
  <si>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</si>
  <si>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</si>
  <si>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</si>
  <si>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</si>
  <si>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</si>
  <si>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</si>
  <si>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</si>
  <si>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</si>
  <si>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</si>
  <si>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</si>
  <si>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</si>
  <si>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</si>
  <si>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</si>
  <si>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</si>
  <si>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</si>
  <si>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</si>
  <si>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</si>
  <si>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</si>
  <si>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</si>
  <si>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</si>
  <si>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</si>
  <si>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</si>
  <si>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</si>
  <si>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</si>
  <si>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</si>
  <si>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</si>
  <si>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</si>
  <si>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</si>
  <si>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</si>
  <si>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</si>
  <si>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</si>
  <si>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</si>
  <si>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</si>
  <si>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</si>
  <si>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</si>
  <si>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</si>
  <si>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</si>
  <si>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</si>
  <si>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</si>
  <si>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</si>
  <si>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</si>
  <si>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</si>
  <si>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</si>
  <si>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</si>
  <si>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</si>
  <si>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</si>
  <si>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</si>
  <si>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</si>
  <si>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</si>
  <si>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</si>
  <si>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</si>
  <si>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</si>
  <si>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</si>
  <si>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</si>
  <si>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</si>
  <si>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</si>
  <si>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</si>
  <si>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</si>
  <si>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</si>
  <si>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</si>
  <si>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</si>
  <si>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</si>
  <si>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</si>
  <si>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</si>
  <si>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</si>
  <si>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</si>
  <si>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</si>
  <si>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</si>
  <si>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</si>
  <si>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</si>
  <si>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</si>
  <si>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</si>
  <si>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</si>
  <si>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</si>
  <si>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</si>
  <si>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</si>
  <si>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</si>
  <si>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</si>
  <si>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</si>
  <si>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</si>
  <si>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</si>
  <si>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</si>
  <si>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</si>
  <si>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</si>
  <si>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</si>
  <si>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</si>
  <si>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</si>
  <si>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</si>
  <si>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</si>
  <si>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</si>
  <si>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</si>
  <si>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</si>
  <si>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</si>
  <si>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</si>
  <si>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</si>
  <si>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</si>
  <si>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</si>
  <si>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</si>
  <si>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</si>
  <si>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</si>
  <si>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</si>
  <si>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</si>
  <si>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</si>
  <si>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</si>
  <si>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</si>
  <si>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</si>
  <si>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</si>
  <si>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</si>
  <si>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</si>
  <si>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</si>
  <si>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</si>
  <si>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</si>
  <si>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</si>
  <si>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</si>
  <si>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</si>
  <si>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</si>
  <si>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</si>
  <si>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</si>
  <si>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</si>
  <si>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</si>
  <si>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</si>
  <si>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</si>
  <si>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</si>
  <si>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</si>
  <si>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</si>
  <si>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</si>
  <si>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</si>
  <si>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</si>
  <si>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</si>
  <si>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</si>
  <si>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</si>
  <si>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</si>
  <si>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</si>
  <si>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</si>
  <si>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</si>
  <si>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</si>
  <si>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</si>
  <si>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</si>
  <si>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</si>
  <si>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</si>
  <si>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</si>
  <si>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</si>
  <si>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</si>
  <si>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</si>
  <si>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</si>
  <si>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</si>
  <si>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</si>
  <si>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</si>
  <si>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</si>
  <si>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</si>
  <si>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</si>
  <si>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</si>
  <si>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</si>
  <si>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</si>
  <si>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</si>
  <si>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</si>
  <si>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</si>
  <si>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</si>
  <si>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</si>
  <si>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</si>
  <si>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</si>
  <si>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</si>
  <si>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</si>
  <si>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</si>
  <si>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</si>
  <si>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</si>
  <si>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</si>
  <si>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</si>
  <si>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</si>
  <si>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</si>
  <si>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</si>
  <si>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</si>
  <si>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</si>
  <si>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</si>
  <si>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</si>
  <si>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</si>
  <si>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</si>
  <si>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</si>
  <si>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</si>
  <si>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</si>
  <si>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</si>
  <si>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</si>
  <si>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</si>
  <si>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</si>
  <si>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</si>
  <si>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</si>
  <si>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</si>
  <si>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</si>
  <si>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</si>
  <si>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</si>
  <si>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</si>
  <si>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</si>
  <si>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</si>
  <si>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</si>
  <si>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</si>
  <si>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</si>
  <si>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</si>
  <si>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</si>
  <si>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</si>
  <si>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</si>
  <si>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</si>
  <si>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</si>
  <si>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</si>
  <si>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</si>
  <si>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</si>
  <si>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</si>
  <si>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</si>
  <si>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</si>
  <si>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</si>
  <si>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</si>
  <si>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</si>
  <si>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</si>
  <si>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</si>
  <si>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</si>
  <si>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</si>
  <si>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</si>
  <si>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</si>
  <si>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</si>
  <si>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</si>
  <si>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</si>
  <si>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</si>
  <si>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</si>
  <si>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</si>
  <si>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</si>
  <si>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</si>
  <si>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</si>
  <si>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</si>
  <si>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</si>
  <si>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</si>
  <si>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</si>
  <si>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</si>
  <si>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</si>
  <si>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</si>
  <si>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</si>
  <si>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</si>
  <si>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</si>
  <si>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</si>
  <si>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</si>
  <si>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</si>
  <si>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</si>
  <si>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</si>
  <si>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</si>
  <si>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</si>
  <si>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</si>
  <si>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</si>
  <si>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</si>
  <si>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</si>
  <si>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</si>
  <si>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</si>
  <si>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</si>
  <si>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</si>
  <si>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</si>
  <si>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</si>
  <si>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</si>
  <si>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</si>
  <si>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</si>
  <si>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</si>
  <si>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</si>
  <si>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</si>
  <si>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</si>
  <si>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</si>
  <si>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</si>
  <si>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</si>
  <si>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</si>
  <si>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</si>
  <si>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</si>
  <si>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</si>
  <si>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</si>
  <si>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</si>
  <si>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</si>
  <si>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</si>
  <si>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</si>
  <si>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</si>
  <si>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</si>
  <si>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</si>
  <si>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</si>
  <si>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</si>
  <si>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</si>
  <si>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</si>
  <si>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</si>
  <si>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</si>
  <si>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</si>
  <si>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</si>
  <si>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</si>
  <si>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</si>
  <si>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</si>
  <si>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</si>
  <si>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</si>
  <si>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</si>
  <si>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</si>
  <si>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</si>
  <si>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</si>
  <si>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</si>
  <si>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</si>
  <si>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</si>
  <si>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</si>
  <si>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</si>
  <si>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</si>
  <si>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</si>
  <si>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</si>
  <si>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</si>
  <si>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</si>
  <si>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</si>
  <si>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</si>
  <si>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</si>
  <si>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</si>
  <si>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</si>
  <si>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</si>
  <si>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</si>
  <si>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</si>
  <si>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</si>
  <si>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</si>
  <si>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</si>
  <si>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</si>
  <si>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</si>
  <si>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</si>
  <si>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</si>
  <si>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</si>
  <si>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</si>
  <si>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</si>
  <si>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</si>
  <si>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</si>
  <si>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</si>
  <si>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</si>
  <si>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</si>
  <si>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</si>
  <si>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</si>
  <si>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</si>
  <si>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</si>
  <si>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</si>
  <si>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</si>
  <si>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</si>
  <si>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</si>
  <si>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</si>
  <si>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</si>
  <si>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</si>
  <si>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</si>
  <si>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</si>
  <si>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</si>
  <si>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</si>
  <si>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</si>
  <si>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</si>
  <si>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</si>
  <si>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</si>
  <si>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</si>
  <si>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</si>
  <si>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</si>
  <si>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</si>
  <si>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</si>
  <si>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</si>
  <si>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</si>
  <si>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</si>
  <si>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</si>
  <si>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</si>
  <si>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</si>
  <si>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</si>
  <si>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</si>
  <si>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</si>
  <si>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</si>
  <si>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</si>
  <si>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</si>
  <si>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</si>
  <si>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</si>
  <si>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</si>
  <si>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</si>
  <si>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</si>
  <si>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</si>
  <si>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</si>
  <si>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</si>
  <si>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</si>
  <si>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</si>
  <si>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</si>
  <si>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</si>
  <si>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</si>
  <si>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</si>
  <si>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</si>
  <si>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</si>
  <si>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</si>
  <si>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</si>
  <si>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</si>
  <si>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</si>
  <si>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</si>
  <si>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</si>
  <si>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</si>
  <si>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</si>
  <si>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</si>
  <si>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</si>
  <si>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</si>
  <si>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</si>
  <si>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</si>
  <si>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</si>
  <si>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</si>
  <si>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</si>
  <si>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</si>
  <si>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</si>
  <si>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</si>
  <si>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</si>
  <si>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</si>
  <si>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</si>
  <si>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</si>
  <si>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</si>
  <si>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</si>
  <si>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</si>
  <si>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</si>
  <si>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</si>
  <si>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</si>
  <si>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</si>
  <si>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</si>
  <si>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</si>
  <si>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</si>
  <si>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</si>
  <si>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</si>
  <si>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</si>
  <si>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</si>
  <si>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</si>
  <si>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</si>
  <si>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</si>
  <si>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</si>
  <si>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</si>
  <si>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</si>
  <si>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</si>
  <si>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</si>
  <si>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</si>
  <si>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</si>
  <si>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</si>
  <si>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</si>
  <si>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</si>
  <si>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</si>
  <si>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</si>
  <si>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</si>
  <si>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</si>
  <si>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</si>
  <si>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</si>
  <si>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</si>
  <si>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</si>
  <si>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</si>
  <si>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</si>
  <si>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</si>
  <si>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</si>
  <si>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</si>
  <si>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</si>
  <si>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</si>
  <si>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</si>
  <si>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</si>
  <si>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</si>
  <si>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</si>
  <si>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</si>
  <si>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</si>
  <si>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</si>
  <si>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</si>
  <si>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</si>
  <si>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</si>
  <si>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</si>
  <si>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</si>
  <si>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</si>
  <si>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</si>
  <si>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</si>
  <si>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</si>
  <si>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</si>
  <si>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</si>
  <si>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</si>
  <si>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</si>
  <si>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</si>
  <si>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</si>
  <si>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</si>
  <si>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</si>
  <si>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</si>
  <si>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</si>
  <si>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</si>
  <si>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</si>
  <si>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</si>
  <si>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</si>
  <si>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</si>
  <si>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</si>
  <si>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</si>
  <si>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</si>
  <si>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</si>
  <si>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</si>
  <si>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</si>
  <si>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</si>
  <si>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</si>
  <si>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</si>
  <si>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</si>
  <si>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</si>
  <si>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</si>
  <si>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</si>
  <si>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</si>
  <si>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</si>
  <si>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</si>
  <si>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</si>
  <si>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</si>
  <si>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</si>
  <si>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</si>
  <si>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</si>
  <si>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</si>
  <si>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</si>
  <si>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</si>
  <si>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</si>
  <si>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</si>
  <si>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</si>
  <si>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</si>
  <si>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</si>
  <si>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</si>
  <si>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</si>
  <si>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</si>
  <si>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</si>
  <si>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</si>
  <si>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</si>
  <si>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</si>
  <si>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</si>
  <si>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</si>
  <si>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</si>
  <si>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</si>
  <si>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</si>
  <si>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</si>
  <si>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</si>
  <si>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</si>
  <si>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</si>
  <si>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</si>
  <si>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</si>
  <si>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</si>
  <si>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</si>
  <si>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</si>
  <si>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</si>
  <si>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</si>
  <si>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</si>
  <si>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</si>
  <si>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</si>
  <si>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</si>
  <si>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</si>
  <si>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</si>
  <si>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</si>
  <si>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</si>
  <si>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</si>
  <si>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</si>
  <si>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</si>
  <si>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</si>
  <si>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</si>
  <si>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</si>
  <si>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</si>
  <si>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</si>
  <si>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</si>
  <si>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</si>
  <si>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</si>
  <si>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</si>
  <si>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</si>
  <si>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</si>
  <si>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</si>
  <si>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</si>
  <si>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</si>
  <si>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</si>
  <si>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</si>
  <si>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</si>
  <si>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</si>
  <si>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</si>
  <si>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</si>
  <si>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</si>
  <si>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</si>
  <si>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</si>
  <si>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</si>
  <si>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</si>
  <si>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</si>
  <si>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</si>
  <si>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</si>
  <si>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</si>
  <si>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</si>
  <si>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</si>
  <si>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</si>
  <si>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</si>
  <si>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</si>
  <si>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</si>
  <si>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</si>
  <si>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</si>
  <si>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</si>
  <si>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</si>
  <si>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</si>
  <si>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</si>
  <si>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</si>
  <si>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</si>
  <si>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</si>
  <si>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</si>
  <si>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</si>
  <si>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</si>
  <si>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</si>
  <si>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</si>
  <si>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</si>
  <si>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</si>
  <si>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</si>
  <si>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</si>
  <si>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</si>
  <si>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</si>
  <si>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</si>
  <si>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</si>
  <si>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</si>
  <si>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</si>
  <si>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</si>
  <si>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</si>
  <si>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</si>
  <si>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</si>
  <si>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</si>
  <si>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</si>
  <si>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</si>
  <si>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</si>
  <si>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</si>
  <si>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</si>
  <si>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</si>
  <si>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</si>
  <si>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</si>
  <si>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</si>
  <si>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</si>
  <si>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</si>
  <si>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</si>
  <si>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</si>
  <si>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</si>
  <si>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</si>
  <si>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</si>
  <si>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</si>
  <si>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</si>
  <si>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</si>
  <si>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</si>
  <si>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</si>
  <si>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</si>
  <si>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</si>
  <si>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</si>
  <si>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</si>
  <si>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</si>
  <si>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</si>
  <si>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</si>
  <si>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</si>
  <si>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</si>
  <si>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</si>
  <si>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</si>
  <si>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</si>
  <si>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</si>
  <si>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</si>
  <si>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</si>
  <si>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</si>
  <si>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</si>
  <si>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</si>
  <si>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</si>
  <si>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</si>
  <si>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</si>
  <si>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</si>
  <si>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</si>
  <si>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</si>
  <si>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</si>
  <si>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</si>
  <si>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</si>
  <si>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</si>
  <si>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</si>
  <si>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</si>
  <si>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</si>
  <si>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</si>
  <si>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</si>
  <si>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</si>
  <si>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</si>
  <si>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</si>
  <si>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</si>
  <si>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</si>
  <si>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</si>
  <si>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</si>
  <si>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</si>
  <si>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</si>
  <si>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</si>
  <si>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</si>
  <si>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</si>
  <si>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</si>
  <si>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</si>
  <si>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</si>
  <si>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</si>
  <si>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</si>
  <si>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</si>
  <si>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</si>
  <si>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</si>
  <si>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</si>
  <si>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</si>
  <si>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</si>
  <si>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</si>
  <si>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</si>
  <si>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</si>
  <si>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</si>
  <si>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</si>
  <si>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</si>
  <si>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</si>
  <si>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</si>
  <si>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</si>
  <si>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</si>
  <si>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</si>
  <si>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</si>
  <si>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</si>
  <si>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</si>
  <si>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</si>
  <si>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</si>
  <si>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</si>
  <si>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</si>
  <si>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</si>
  <si>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</si>
  <si>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</si>
  <si>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</si>
  <si>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</si>
  <si>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</si>
  <si>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</si>
  <si>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</si>
  <si>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</si>
  <si>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</si>
  <si>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</si>
  <si>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</si>
  <si>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</si>
  <si>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</si>
  <si>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</si>
  <si>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</si>
  <si>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</si>
  <si>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</si>
  <si>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</si>
  <si>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</si>
  <si>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</si>
  <si>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</si>
  <si>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</si>
  <si>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</si>
  <si>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</si>
  <si>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</si>
  <si>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</si>
  <si>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</si>
  <si>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</si>
  <si>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</si>
  <si>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</si>
  <si>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</si>
  <si>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</si>
  <si>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</si>
  <si>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</si>
  <si>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</si>
  <si>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</si>
  <si>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</si>
  <si>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</si>
  <si>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</si>
  <si>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</si>
  <si>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</si>
  <si>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</si>
  <si>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</si>
  <si>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</si>
  <si>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</si>
  <si>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</si>
  <si>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</si>
  <si>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</si>
  <si>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</si>
  <si>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</si>
  <si>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</si>
  <si>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</si>
  <si>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</si>
  <si>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</si>
  <si>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</si>
  <si>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</si>
  <si>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</si>
  <si>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</si>
  <si>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</si>
  <si>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</si>
  <si>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</si>
  <si>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</si>
  <si>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</si>
  <si>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</si>
  <si>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</si>
  <si>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</si>
  <si>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</si>
  <si>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</si>
  <si>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</si>
  <si>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</si>
  <si>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</si>
  <si>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</si>
  <si>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</si>
  <si>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</si>
  <si>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</si>
  <si>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</si>
  <si>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</si>
  <si>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</si>
  <si>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</si>
  <si>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</si>
  <si>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</si>
  <si>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</si>
  <si>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</si>
  <si>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</si>
  <si>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</si>
  <si>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</si>
  <si>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</si>
  <si>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</si>
  <si>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</si>
  <si>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</si>
  <si>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</si>
  <si>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</si>
  <si>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</si>
  <si>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</si>
  <si>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</si>
  <si>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</si>
  <si>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</si>
  <si>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</si>
  <si>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</si>
  <si>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</si>
  <si>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</si>
  <si>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</si>
  <si>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</si>
  <si>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</si>
  <si>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</si>
  <si>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</si>
  <si>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</si>
  <si>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</si>
  <si>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</si>
  <si>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</si>
  <si>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</si>
  <si>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</si>
  <si>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</si>
  <si>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</si>
  <si>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</si>
  <si>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</si>
  <si>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</si>
  <si>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</si>
  <si>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</si>
  <si>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</si>
  <si>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</si>
  <si>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</si>
  <si>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</si>
  <si>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</si>
  <si>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</si>
  <si>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</si>
  <si>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</si>
  <si>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</si>
  <si>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</si>
  <si>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</si>
  <si>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</si>
  <si>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</si>
  <si>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</si>
  <si>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</si>
  <si>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</si>
  <si>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</si>
  <si>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</si>
  <si>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</si>
  <si>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</si>
  <si>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</si>
  <si>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</si>
  <si>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</si>
  <si>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</si>
  <si>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</si>
  <si>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</si>
  <si>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</si>
  <si>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</si>
  <si>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</si>
  <si>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</si>
  <si>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</si>
  <si>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</si>
  <si>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</si>
  <si>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</si>
  <si>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</si>
  <si>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</si>
  <si>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</si>
  <si>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</si>
  <si>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</si>
  <si>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</si>
  <si>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</si>
  <si>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</si>
  <si>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</si>
  <si>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</si>
  <si>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</si>
  <si>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</si>
  <si>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</si>
  <si>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</si>
  <si>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</si>
  <si>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</si>
  <si>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</si>
  <si>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</si>
  <si>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</si>
  <si>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</si>
  <si>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</si>
  <si>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</si>
  <si>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</si>
  <si>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</si>
  <si>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</si>
  <si>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</si>
  <si>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</si>
  <si>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</si>
  <si>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</si>
  <si>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</si>
  <si>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</si>
  <si>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</si>
  <si>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</si>
  <si>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</si>
  <si>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</si>
  <si>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</si>
  <si>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</si>
  <si>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</si>
  <si>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</si>
  <si>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</si>
  <si>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</si>
  <si>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</si>
  <si>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</si>
  <si>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</si>
  <si>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</si>
  <si>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</si>
  <si>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</si>
  <si>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</si>
  <si>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</si>
  <si>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</si>
  <si>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</si>
  <si>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</si>
  <si>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</si>
  <si>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</si>
  <si>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</si>
  <si>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</si>
  <si>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</si>
  <si>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</si>
  <si>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</si>
  <si>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</si>
  <si>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</si>
  <si>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</si>
  <si>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</si>
  <si>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</si>
  <si>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</si>
  <si>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</si>
  <si>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</si>
  <si>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</si>
  <si>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</si>
  <si>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</si>
  <si>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</si>
  <si>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</si>
  <si>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</si>
  <si>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</si>
  <si>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</si>
  <si>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</si>
  <si>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</si>
  <si>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</si>
  <si>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</si>
  <si>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</si>
  <si>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</si>
  <si>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</si>
  <si>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</si>
  <si>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</si>
  <si>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</si>
  <si>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</si>
  <si>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</si>
  <si>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</si>
  <si>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</si>
  <si>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</si>
  <si>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</si>
  <si>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</si>
  <si>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</si>
  <si>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</si>
  <si>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</si>
  <si>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</si>
  <si>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</si>
  <si>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</si>
  <si>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</si>
  <si>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</si>
  <si>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</si>
  <si>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</si>
  <si>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</si>
  <si>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</si>
  <si>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</si>
  <si>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</si>
  <si>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</si>
  <si>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</si>
  <si>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</si>
  <si>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</si>
  <si>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</si>
  <si>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</si>
  <si>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</si>
  <si>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</si>
  <si>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</si>
  <si>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</si>
  <si>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</si>
  <si>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</si>
  <si>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</si>
  <si>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</si>
  <si>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</si>
  <si>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</si>
  <si>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</si>
  <si>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</si>
  <si>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</si>
  <si>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</si>
  <si>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</si>
  <si>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</si>
  <si>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</si>
  <si>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</si>
  <si>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</si>
  <si>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</si>
  <si>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</si>
  <si>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</si>
  <si>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</si>
  <si>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</si>
  <si>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</si>
  <si>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</si>
  <si>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</si>
  <si>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</si>
  <si>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</si>
  <si>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</si>
  <si>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</si>
  <si>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</si>
  <si>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</si>
  <si>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</si>
  <si>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</si>
  <si>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</si>
  <si>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</si>
  <si>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</si>
  <si>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</si>
  <si>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</si>
  <si>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</si>
  <si>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</si>
  <si>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</si>
  <si>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</si>
  <si>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</si>
  <si>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</si>
  <si>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</si>
  <si>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</si>
  <si>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</si>
  <si>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</si>
  <si>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</si>
  <si>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</si>
  <si>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</si>
  <si>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</si>
  <si>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</si>
  <si>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</si>
  <si>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</si>
  <si>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</si>
  <si>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</si>
  <si>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</si>
  <si>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</si>
  <si>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</si>
  <si>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</si>
  <si>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</si>
  <si>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</si>
  <si>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</si>
  <si>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</si>
  <si>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</si>
  <si>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</si>
  <si>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</si>
  <si>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</si>
  <si>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</si>
  <si>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</si>
  <si>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</si>
  <si>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</si>
  <si>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</si>
  <si>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</si>
  <si>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</si>
  <si>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</si>
  <si>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</si>
  <si>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</si>
  <si>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</si>
  <si>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</si>
  <si>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</si>
  <si>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</si>
  <si>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</si>
  <si>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</si>
  <si>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</si>
  <si>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</si>
  <si>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</si>
  <si>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</si>
  <si>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</si>
  <si>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</si>
  <si>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</si>
  <si>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</si>
  <si>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</si>
  <si>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</si>
  <si>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</si>
  <si>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</si>
  <si>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</si>
  <si>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</si>
  <si>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</si>
  <si>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</si>
  <si>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</si>
  <si>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</si>
  <si>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</si>
  <si>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</si>
  <si>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</si>
  <si>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</si>
  <si>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</si>
  <si>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</si>
  <si>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</si>
  <si>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</si>
  <si>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</si>
  <si>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</si>
  <si>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</si>
  <si>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</si>
  <si>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</si>
  <si>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</si>
  <si>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</si>
  <si>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</si>
  <si>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</si>
  <si>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</si>
  <si>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</si>
  <si>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</si>
  <si>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</si>
  <si>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</si>
  <si>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</si>
  <si>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</si>
  <si>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</si>
  <si>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</si>
  <si>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</si>
  <si>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</si>
  <si>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</si>
  <si>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</si>
  <si>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</si>
  <si>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</si>
  <si>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</si>
  <si>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</si>
  <si>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</si>
  <si>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</si>
  <si>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</si>
  <si>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</si>
  <si>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</si>
  <si>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</si>
  <si>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</si>
  <si>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</si>
  <si>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</si>
  <si>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</si>
  <si>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</si>
  <si>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</si>
  <si>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</si>
  <si>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</si>
  <si>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</si>
  <si>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</si>
  <si>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</si>
  <si>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</si>
  <si>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</si>
  <si>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</si>
  <si>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</si>
  <si>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</si>
  <si>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</si>
  <si>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</si>
  <si>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</si>
  <si>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</si>
  <si>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</si>
  <si>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</si>
  <si>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</si>
  <si>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</si>
  <si>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</si>
  <si>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</si>
  <si>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</si>
  <si>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</si>
  <si>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</si>
  <si>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</si>
  <si>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</si>
  <si>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</si>
  <si>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</si>
  <si>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</si>
  <si>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</si>
  <si>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</si>
  <si>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</si>
  <si>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</si>
  <si>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</si>
  <si>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</si>
  <si>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</si>
  <si>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</si>
  <si>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</si>
  <si>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</si>
  <si>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</si>
  <si>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</si>
  <si>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</si>
  <si>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</si>
  <si>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</si>
  <si>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</si>
  <si>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</si>
  <si>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</si>
  <si>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</si>
  <si>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</si>
  <si>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</si>
  <si>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</si>
  <si>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</si>
  <si>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</si>
  <si>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</si>
  <si>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</si>
  <si>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</si>
  <si>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</si>
  <si>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</si>
  <si>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</si>
  <si>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</si>
  <si>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</si>
  <si>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</si>
  <si>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</si>
  <si>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</si>
  <si>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</si>
  <si>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</si>
  <si>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</si>
  <si>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</si>
  <si>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</si>
  <si>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</si>
  <si>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</si>
  <si>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</si>
  <si>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</si>
  <si>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</si>
  <si>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</si>
  <si>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</si>
  <si>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</si>
  <si>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</si>
  <si>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</si>
  <si>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</si>
  <si>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</si>
  <si>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</si>
  <si>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</si>
  <si>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</si>
  <si>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</si>
  <si>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</si>
  <si>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</si>
  <si>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</si>
  <si>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</si>
  <si>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</si>
  <si>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</si>
  <si>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</si>
  <si>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</si>
  <si>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</si>
  <si>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</si>
  <si>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</si>
  <si>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</si>
  <si>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</si>
  <si>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</si>
  <si>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</si>
  <si>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</si>
  <si>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</si>
  <si>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</si>
  <si>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</si>
  <si>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</si>
  <si>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</si>
  <si>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</si>
  <si>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</si>
  <si>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</si>
  <si>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</si>
  <si>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</si>
  <si>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</si>
  <si>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</si>
  <si>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</si>
  <si>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</si>
  <si>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</si>
  <si>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</si>
  <si>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</si>
  <si>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</si>
  <si>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</si>
  <si>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</si>
  <si>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</si>
  <si>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</si>
  <si>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</si>
  <si>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</si>
  <si>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</si>
  <si>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</si>
  <si>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</si>
  <si>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</si>
  <si>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</si>
  <si>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</si>
  <si>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</si>
  <si>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</si>
  <si>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</si>
  <si>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</si>
  <si>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</si>
  <si>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</si>
  <si>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</si>
  <si>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</si>
  <si>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</si>
  <si>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</si>
  <si>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</si>
  <si>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</si>
  <si>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地下车库</t>
  </si>
  <si>
    <t>地下车库</t>
    <phoneticPr fontId="3" type="noConversion"/>
  </si>
  <si>
    <t>是</t>
  </si>
  <si>
    <t>地下</t>
  </si>
  <si>
    <t>地下车库</t>
    <phoneticPr fontId="7" type="noConversion"/>
  </si>
  <si>
    <t>成新度</t>
  </si>
  <si>
    <t>收益法</t>
  </si>
  <si>
    <t>押一</t>
  </si>
  <si>
    <t>钢混</t>
  </si>
  <si>
    <t>非生产用房</t>
  </si>
  <si>
    <t>否</t>
  </si>
  <si>
    <t>售价</t>
  </si>
  <si>
    <t>元/车位</t>
  </si>
  <si>
    <t>项目模式</t>
  </si>
  <si>
    <t>正常</t>
  </si>
  <si>
    <t>车位</t>
  </si>
  <si>
    <t>车位</t>
    <phoneticPr fontId="31" type="noConversion"/>
  </si>
  <si>
    <t>自定义容积率</t>
  </si>
  <si>
    <t>不临65条商业街</t>
  </si>
  <si>
    <t>有</t>
  </si>
  <si>
    <t>无</t>
  </si>
  <si>
    <t>500-1000米</t>
  </si>
  <si>
    <t>与级别开发程度一致</t>
  </si>
  <si>
    <t>较好</t>
  </si>
  <si>
    <t>一般</t>
  </si>
  <si>
    <t>好</t>
  </si>
  <si>
    <t>未包含在土地购买价格中</t>
  </si>
  <si>
    <t>全部缴纳</t>
  </si>
  <si>
    <t>已包含在土地取得成本中</t>
  </si>
  <si>
    <t>成本法</t>
  </si>
  <si>
    <t>总价</t>
  </si>
  <si>
    <t>成本比率</t>
  </si>
  <si>
    <t>情况4</t>
  </si>
  <si>
    <t>转让取得</t>
  </si>
  <si>
    <t>非个人房产</t>
  </si>
  <si>
    <t>购房发票</t>
  </si>
  <si>
    <t>2016年5月1日后购买</t>
  </si>
  <si>
    <t>现房</t>
  </si>
  <si>
    <t>项目局部</t>
  </si>
  <si>
    <t>序号</t>
    <phoneticPr fontId="134" type="noConversion"/>
  </si>
  <si>
    <t>房号</t>
    <phoneticPr fontId="134" type="noConversion"/>
  </si>
  <si>
    <t>建筑面积</t>
    <phoneticPr fontId="134" type="noConversion"/>
  </si>
  <si>
    <t>规划用途</t>
    <phoneticPr fontId="134" type="noConversion"/>
  </si>
  <si>
    <r>
      <t>B</t>
    </r>
    <r>
      <rPr>
        <sz val="11"/>
        <color theme="1"/>
        <rFont val="宋体"/>
        <family val="3"/>
        <charset val="134"/>
        <scheme val="minor"/>
      </rPr>
      <t>3001</t>
    </r>
    <phoneticPr fontId="134" type="noConversion"/>
  </si>
  <si>
    <t>B3002</t>
    <phoneticPr fontId="134" type="noConversion"/>
  </si>
  <si>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</si>
  <si>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</si>
  <si>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</si>
  <si>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</si>
  <si>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</si>
  <si>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</si>
  <si>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</si>
  <si>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</si>
  <si>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</si>
  <si>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</si>
  <si>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</si>
  <si>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</si>
  <si>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</si>
  <si>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</si>
  <si>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</si>
  <si>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</si>
  <si>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</si>
  <si>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</si>
  <si>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</si>
  <si>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</si>
  <si>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</si>
  <si>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</si>
  <si>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</si>
  <si>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</si>
  <si>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</si>
  <si>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</si>
  <si>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</si>
  <si>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</si>
  <si>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</si>
  <si>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</si>
  <si>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</si>
  <si>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</si>
  <si>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</si>
  <si>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</si>
  <si>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</si>
  <si>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</si>
  <si>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</si>
  <si>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</si>
  <si>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</si>
  <si>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</si>
  <si>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</si>
  <si>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</si>
  <si>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</si>
  <si>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</si>
  <si>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</si>
  <si>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</si>
  <si>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</si>
  <si>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</si>
  <si>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</si>
  <si>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</si>
  <si>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</si>
  <si>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</si>
  <si>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</si>
  <si>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</si>
  <si>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</si>
  <si>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</si>
  <si>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</si>
  <si>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</si>
  <si>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</si>
  <si>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</si>
  <si>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</si>
  <si>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</si>
  <si>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</si>
  <si>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</si>
  <si>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</si>
  <si>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</si>
  <si>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</si>
  <si>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</si>
  <si>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</si>
  <si>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</si>
  <si>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</si>
  <si>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</si>
  <si>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</si>
  <si>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</si>
  <si>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</si>
  <si>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</si>
  <si>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</si>
  <si>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</si>
  <si>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</si>
  <si>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</si>
  <si>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</si>
  <si>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</si>
  <si>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</si>
  <si>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</si>
  <si>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</si>
  <si>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</si>
  <si>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</si>
  <si>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</si>
  <si>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</si>
  <si>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</si>
  <si>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</si>
  <si>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</si>
  <si>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</si>
  <si>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</si>
  <si>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</si>
  <si>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</si>
  <si>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</si>
  <si>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</si>
  <si>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</si>
  <si>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</si>
  <si>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</si>
  <si>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</si>
  <si>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</si>
  <si>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</si>
  <si>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</si>
  <si>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</si>
  <si>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</si>
  <si>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</si>
  <si>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</si>
  <si>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</si>
  <si>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</si>
  <si>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</si>
  <si>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</si>
  <si>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</si>
  <si>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</si>
  <si>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</si>
  <si>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</si>
  <si>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</si>
  <si>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</si>
  <si>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</si>
  <si>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</si>
  <si>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</si>
  <si>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</si>
  <si>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</si>
  <si>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</si>
  <si>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</si>
  <si>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</si>
  <si>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</si>
  <si>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</si>
  <si>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</si>
  <si>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</si>
  <si>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</si>
  <si>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</si>
  <si>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</si>
  <si>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</si>
  <si>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</si>
  <si>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</si>
  <si>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</si>
  <si>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</si>
  <si>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</si>
  <si>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</si>
  <si>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</si>
  <si>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</si>
  <si>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</si>
  <si>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</si>
  <si>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</si>
  <si>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</si>
  <si>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</si>
  <si>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</si>
  <si>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</si>
  <si>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</si>
  <si>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</si>
  <si>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</si>
  <si>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</si>
  <si>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</si>
  <si>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</si>
  <si>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</si>
  <si>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</si>
  <si>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</si>
  <si>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</si>
  <si>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</si>
  <si>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</si>
  <si>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</si>
  <si>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</si>
  <si>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</si>
  <si>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</si>
  <si>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</si>
  <si>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</si>
  <si>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</si>
  <si>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</si>
  <si>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</si>
  <si>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</si>
  <si>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</si>
  <si>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</si>
  <si>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</si>
  <si>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</si>
  <si>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</si>
  <si>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</si>
  <si>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</si>
  <si>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</si>
  <si>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</si>
  <si>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</si>
  <si>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</si>
  <si>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</si>
  <si>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</si>
  <si>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</si>
  <si>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</si>
  <si>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</si>
  <si>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</si>
  <si>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</si>
  <si>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</si>
  <si>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</si>
  <si>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</si>
  <si>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</si>
  <si>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</si>
  <si>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</si>
  <si>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</si>
  <si>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</si>
  <si>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</si>
  <si>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</si>
  <si>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</si>
  <si>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</si>
  <si>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</si>
  <si>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</si>
  <si>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</si>
  <si>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</si>
  <si>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</si>
  <si>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</si>
  <si>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</si>
  <si>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</si>
  <si>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</si>
  <si>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</si>
  <si>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B3215</t>
  </si>
  <si>
    <t>B3216</t>
  </si>
  <si>
    <t>B3217</t>
  </si>
  <si>
    <t>B3218</t>
  </si>
  <si>
    <t>B3219</t>
  </si>
  <si>
    <t>B3220</t>
  </si>
  <si>
    <t>B3221</t>
  </si>
  <si>
    <t>B3222</t>
  </si>
  <si>
    <t>B3223</t>
  </si>
  <si>
    <t>车位</t>
    <phoneticPr fontId="134" type="noConversion"/>
  </si>
  <si>
    <t>不动产权证书证号</t>
    <phoneticPr fontId="134" type="noConversion"/>
  </si>
  <si>
    <t>京（2025）朝不动产权第0026472号</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</si>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</sst>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5"/>
      <color rgb="FF00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0" borderId="1" xfId="0" applyBorder="1">
      <alignment vertical="center"/>
    </xf>
    <xf numFmtId="0" fontId="95" fillId="0" borderId="1" xfId="0" applyFont="1" applyBorder="1">
      <alignment vertical="center"/>
    </xf>
    <xf numFmtId="0" fontId="271" fillId="0" borderId="1" xfId="0" applyFont="1" applyBorder="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380695</xdr:colOff>
      <xdr:row>18</xdr:row>
      <xdr:rowOff>47233</xdr:rowOff>
    </xdr:to>
    <xdr:pic>
      <xdr:nvPicPr>
        <xdr:cNvPr id="2" name="图片 1">
          <a:extLst>
            <a:ext uri="{FF2B5EF4-FFF2-40B4-BE49-F238E27FC236}">
              <a16:creationId xmlns:a16="http://schemas.microsoft.com/office/drawing/2014/main" id="{1508B64B-B26D-EC35-CD94-A24B3D312E88}"/>
            </a:ext>
          </a:extLst>
        </xdr:cNvPr>
        <xdr:cNvPicPr>
          <a:picLocks noChangeAspect="1"/>
        </xdr:cNvPicPr>
      </xdr:nvPicPr>
      <xdr:blipFill>
        <a:blip xmlns:r="http://schemas.openxmlformats.org/officeDocument/2006/relationships" r:embed="rId1"/>
        <a:stretch>
          <a:fillRect/>
        </a:stretch>
      </xdr:blipFill>
      <xdr:spPr>
        <a:xfrm>
          <a:off x="0" y="0"/>
          <a:ext cx="2438095" cy="3133333"/>
        </a:xfrm>
        <a:prstGeom prst="rect">
          <a:avLst/>
        </a:prstGeom>
      </xdr:spPr>
    </xdr:pic>
    <xdr:clientData/>
  </xdr:twoCellAnchor>
  <xdr:twoCellAnchor editAs="oneCell">
    <xdr:from>
      <xdr:col>4</xdr:col>
      <xdr:colOff>9525</xdr:colOff>
      <xdr:row>0</xdr:row>
      <xdr:rowOff>0</xdr:rowOff>
    </xdr:from>
    <xdr:to>
      <xdr:col>7</xdr:col>
      <xdr:colOff>466411</xdr:colOff>
      <xdr:row>18</xdr:row>
      <xdr:rowOff>142471</xdr:rowOff>
    </xdr:to>
    <xdr:pic>
      <xdr:nvPicPr>
        <xdr:cNvPr id="3" name="图片 2">
          <a:extLst>
            <a:ext uri="{FF2B5EF4-FFF2-40B4-BE49-F238E27FC236}">
              <a16:creationId xmlns:a16="http://schemas.microsoft.com/office/drawing/2014/main" id="{465E7612-AF7B-24BE-50E3-7F2AC0B9BB0E}"/>
            </a:ext>
          </a:extLst>
        </xdr:cNvPr>
        <xdr:cNvPicPr>
          <a:picLocks noChangeAspect="1"/>
        </xdr:cNvPicPr>
      </xdr:nvPicPr>
      <xdr:blipFill>
        <a:blip xmlns:r="http://schemas.openxmlformats.org/officeDocument/2006/relationships" r:embed="rId2"/>
        <a:stretch>
          <a:fillRect/>
        </a:stretch>
      </xdr:blipFill>
      <xdr:spPr>
        <a:xfrm>
          <a:off x="2752725" y="0"/>
          <a:ext cx="2514286" cy="3228571"/>
        </a:xfrm>
        <a:prstGeom prst="rect">
          <a:avLst/>
        </a:prstGeom>
      </xdr:spPr>
    </xdr:pic>
    <xdr:clientData/>
  </xdr:twoCellAnchor>
  <xdr:twoCellAnchor editAs="oneCell">
    <xdr:from>
      <xdr:col>8</xdr:col>
      <xdr:colOff>0</xdr:colOff>
      <xdr:row>0</xdr:row>
      <xdr:rowOff>0</xdr:rowOff>
    </xdr:from>
    <xdr:to>
      <xdr:col>11</xdr:col>
      <xdr:colOff>342600</xdr:colOff>
      <xdr:row>16</xdr:row>
      <xdr:rowOff>37752</xdr:rowOff>
    </xdr:to>
    <xdr:pic>
      <xdr:nvPicPr>
        <xdr:cNvPr id="4" name="图片 3">
          <a:extLst>
            <a:ext uri="{FF2B5EF4-FFF2-40B4-BE49-F238E27FC236}">
              <a16:creationId xmlns:a16="http://schemas.microsoft.com/office/drawing/2014/main" id="{FAC5075E-5744-F5AB-1C59-B52B3EEFC0B4}"/>
            </a:ext>
          </a:extLst>
        </xdr:cNvPr>
        <xdr:cNvPicPr>
          <a:picLocks noChangeAspect="1"/>
        </xdr:cNvPicPr>
      </xdr:nvPicPr>
      <xdr:blipFill>
        <a:blip xmlns:r="http://schemas.openxmlformats.org/officeDocument/2006/relationships" r:embed="rId3"/>
        <a:stretch>
          <a:fillRect/>
        </a:stretch>
      </xdr:blipFill>
      <xdr:spPr>
        <a:xfrm>
          <a:off x="5486400" y="0"/>
          <a:ext cx="2400000" cy="2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估价对象为北京市房地产，为所有。根据《国有土地使用证》[]，估价对象（分摊）出让国有建设用地使用权面积为0平方米，建筑面积为12021.93平方米。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估价对象为北京市房地产,属开发建设的，该项目尚在开发建设中。根据《国有土地使用证》[]，估价对象（分摊）出让国有建设用地使用权面积为0平方米，规划建筑面积为12021.93平方米。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2025年7月16日（评估专业人员实地查勘之日）</v>
      </c>
    </row>
    <row r="13" spans="1:2">
      <c r="A13" s="1119" t="s">
        <v>529</v>
      </c>
      <c r="B13" s="1120" t="str">
        <f>'预评函-1'!A18</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7022</v>
      </c>
    </row>
    <row r="21" spans="1:2">
      <c r="A21" s="1119" t="s">
        <v>537</v>
      </c>
      <c r="B21" s="1120">
        <f ca="1">'预评函-2'!D7</f>
        <v>5841</v>
      </c>
    </row>
    <row r="22" spans="1:2">
      <c r="A22" s="1119" t="s">
        <v>538</v>
      </c>
      <c r="B22" s="1120" t="str">
        <f ca="1">'预评函-2'!D6</f>
        <v>柒仟零贰拾贰万元整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7022</v>
      </c>
    </row>
    <row r="31" spans="1:2">
      <c r="A31" s="1119" t="s">
        <v>576</v>
      </c>
      <c r="B31" s="1120">
        <f ca="1">'预评函-2'!D15</f>
        <v>5841</v>
      </c>
    </row>
    <row r="32" spans="1:2">
      <c r="A32" s="1119" t="s">
        <v>543</v>
      </c>
      <c r="B32" s="1120" t="str">
        <f ca="1">'预评函-2'!D14</f>
        <v>柒仟零贰拾贰万元整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12021.93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2163</v>
      </c>
    </row>
    <row r="48" spans="1:2">
      <c r="A48" s="1119" t="s">
        <v>549</v>
      </c>
      <c r="B48" s="1120">
        <f ca="1">'预评函-3'!E4</f>
        <v>1799</v>
      </c>
    </row>
    <row r="49" spans="1:2">
      <c r="A49" s="1119" t="s">
        <v>550</v>
      </c>
      <c r="B49" s="1120" t="str">
        <f ca="1">'预评函-3'!D5</f>
        <v>贰仟壹佰陆拾叁万元整</v>
      </c>
    </row>
    <row r="50" spans="1:2">
      <c r="A50" s="1119" t="s">
        <v>574</v>
      </c>
      <c r="B50" s="1120" t="str">
        <f>'预评函-3'!F2</f>
        <v>在建建筑物价值</v>
      </c>
    </row>
    <row r="51" spans="1:2">
      <c r="A51" s="1119" t="s">
        <v>551</v>
      </c>
      <c r="B51" s="1120">
        <f ca="1">'预评函-3'!F4</f>
        <v>4859</v>
      </c>
    </row>
    <row r="52" spans="1:2">
      <c r="A52" s="1119" t="s">
        <v>552</v>
      </c>
      <c r="B52" s="1120">
        <f ca="1">'预评函-3'!G4</f>
        <v>4042</v>
      </c>
    </row>
    <row r="53" spans="1:2">
      <c r="A53" s="1119" t="s">
        <v>580</v>
      </c>
      <c r="B53" s="1120" t="str">
        <f ca="1">'预评函-3'!F5</f>
        <v>肆仟捌佰伍拾玖万元整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0" sqref="F2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3397</v>
      </c>
      <c r="AA1" s="1438" t="s">
        <v>3396</v>
      </c>
      <c r="AB1" s="1438" t="s">
        <v>3</v>
      </c>
    </row>
    <row r="2" spans="1:28">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3404</v>
      </c>
      <c r="Z2" s="1445" t="s">
        <v>2443</v>
      </c>
      <c r="AA2" s="1445" t="s">
        <v>3405</v>
      </c>
      <c r="AB2" s="1445" t="s">
        <v>2470</v>
      </c>
    </row>
    <row r="3" spans="1:28">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3406</v>
      </c>
    </row>
    <row r="6" spans="1:28">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3333</v>
      </c>
      <c r="X7" s="1445" t="s">
        <v>2440</v>
      </c>
      <c r="Z7" s="1445" t="s">
        <v>2453</v>
      </c>
      <c r="AB7" s="1445" t="s">
        <v>2479</v>
      </c>
    </row>
    <row r="8" spans="1:28">
      <c r="A8" s="1441" t="s">
        <v>1026</v>
      </c>
      <c r="B8" s="1441" t="s">
        <v>1027</v>
      </c>
      <c r="C8" s="1442" t="s">
        <v>319</v>
      </c>
      <c r="F8" s="1443" t="s">
        <v>1028</v>
      </c>
      <c r="H8" s="1443" t="s">
        <v>2568</v>
      </c>
      <c r="I8" s="1443" t="s">
        <v>3334</v>
      </c>
      <c r="X8" s="1445" t="s">
        <v>3407</v>
      </c>
      <c r="Z8" s="1445" t="s">
        <v>2455</v>
      </c>
      <c r="AB8" s="1445" t="s">
        <v>2481</v>
      </c>
    </row>
    <row r="9" spans="1:28">
      <c r="A9" s="1441" t="s">
        <v>1029</v>
      </c>
      <c r="B9" s="1441" t="s">
        <v>1030</v>
      </c>
      <c r="C9" s="1442" t="s">
        <v>320</v>
      </c>
      <c r="F9" s="1443" t="s">
        <v>1031</v>
      </c>
      <c r="H9" s="1443"/>
      <c r="I9" s="1445" t="s">
        <v>3335</v>
      </c>
      <c r="X9" s="1445" t="s">
        <v>3408</v>
      </c>
      <c r="Z9" s="1445" t="s">
        <v>2457</v>
      </c>
      <c r="AB9" s="1445" t="s">
        <v>2483</v>
      </c>
    </row>
    <row r="10" spans="1:28">
      <c r="A10" s="1441" t="s">
        <v>1032</v>
      </c>
      <c r="B10" s="1441" t="s">
        <v>1033</v>
      </c>
      <c r="C10" s="1442" t="s">
        <v>321</v>
      </c>
      <c r="F10" s="1443" t="s">
        <v>2569</v>
      </c>
      <c r="I10" s="1445" t="s">
        <v>3336</v>
      </c>
      <c r="Z10" s="1445" t="s">
        <v>2459</v>
      </c>
      <c r="AB10" s="1445" t="s">
        <v>2485</v>
      </c>
    </row>
    <row r="11" spans="1:28">
      <c r="A11" s="1441" t="s">
        <v>1034</v>
      </c>
      <c r="B11" s="1441" t="s">
        <v>1035</v>
      </c>
      <c r="C11" s="1442" t="s">
        <v>322</v>
      </c>
      <c r="F11" s="1443" t="s">
        <v>13</v>
      </c>
      <c r="I11" s="1445" t="s">
        <v>3337</v>
      </c>
      <c r="Z11" s="1445" t="s">
        <v>2461</v>
      </c>
      <c r="AB11" s="1445" t="s">
        <v>2487</v>
      </c>
    </row>
    <row r="12" spans="1:28">
      <c r="A12" s="1441" t="s">
        <v>1036</v>
      </c>
      <c r="B12" s="1441" t="s">
        <v>1037</v>
      </c>
      <c r="C12" s="1442" t="s">
        <v>323</v>
      </c>
      <c r="I12" s="1445" t="s">
        <v>3338</v>
      </c>
      <c r="Z12" s="1445" t="s">
        <v>2463</v>
      </c>
      <c r="AB12" s="1445" t="s">
        <v>2489</v>
      </c>
    </row>
    <row r="13" spans="1:28">
      <c r="A13" s="1441" t="s">
        <v>1038</v>
      </c>
      <c r="B13" s="1441" t="s">
        <v>1039</v>
      </c>
      <c r="C13" s="1442" t="s">
        <v>324</v>
      </c>
      <c r="I13" s="1445" t="s">
        <v>3339</v>
      </c>
      <c r="Z13" s="1445" t="s">
        <v>2465</v>
      </c>
    </row>
    <row r="14" spans="1:28">
      <c r="A14" s="1441" t="s">
        <v>1040</v>
      </c>
      <c r="B14" s="1441" t="s">
        <v>1041</v>
      </c>
      <c r="C14" s="1443" t="s">
        <v>13</v>
      </c>
      <c r="I14" s="1445" t="s">
        <v>3340</v>
      </c>
      <c r="Z14" s="1445" t="s">
        <v>2467</v>
      </c>
    </row>
    <row r="15" spans="1:28">
      <c r="A15" s="1441" t="s">
        <v>1042</v>
      </c>
      <c r="B15" s="1441" t="s">
        <v>1043</v>
      </c>
      <c r="C15" s="1442"/>
      <c r="I15" s="1445" t="s">
        <v>3341</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12" t="s">
        <v>2571</v>
      </c>
      <c r="J2" s="3212"/>
      <c r="K2" s="3212"/>
      <c r="L2" s="3212"/>
      <c r="M2" s="3212"/>
      <c r="N2" s="3212"/>
      <c r="O2" s="3212"/>
      <c r="P2" s="3212"/>
      <c r="Q2" s="3212"/>
      <c r="R2" s="3212"/>
    </row>
    <row r="3" spans="1:18">
      <c r="A3" s="2762" t="s">
        <v>2492</v>
      </c>
      <c r="B3" s="2763">
        <f>项目基本情况!D3</f>
        <v>45854</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1.42</v>
      </c>
      <c r="D5" s="2767">
        <f>IF(ISERROR(ROUND(POWER(1+E5,A5-C5)*(POWER(1+E5,C5)-1)/(POWER(1+E5,A5)-1),3)),0,ROUND(POWER(1+E5,A5-C5)*(POWER(1+E5,C5)-1)/(POWER(1+E5,A5)-1),4))</f>
        <v>6.8400000000000002E-2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11.43</v>
      </c>
      <c r="D6" s="2767">
        <f>IF(ISERROR(ROUND(POWER(1+E6,A6-C6)*(POWER(1+E6,C6)-1)/(POWER(1+E6,A6)-1),3)),0,ROUND(POWER(1+E6,A6-C6)*(POWER(1+E6,C6)-1)/(POWER(1+E6,A6)-1),4))</f>
        <v>0.4204</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31.44</v>
      </c>
      <c r="D7" s="2767">
        <f>IF(ISERROR(ROUND(POWER(1+E7,A7-C7)*(POWER(1+E7,C7)-1)/(POWER(1+E7,A7)-1),3)),0,ROUND(POWER(1+E7,A7-C7)*(POWER(1+E7,C7)-1)/(POWER(1+E7,A7)-1),4))</f>
        <v>0.75719999999999998</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3377</v>
      </c>
    </row>
    <row r="50" spans="1:4">
      <c r="A50" s="3144" t="s">
        <v>3378</v>
      </c>
      <c r="B50" s="3144" t="s">
        <v>3379</v>
      </c>
      <c r="C50" s="3144" t="s">
        <v>3380</v>
      </c>
      <c r="D50" s="3144" t="s">
        <v>3381</v>
      </c>
    </row>
    <row r="51" spans="1:4">
      <c r="A51" s="3144" t="s">
        <v>3382</v>
      </c>
      <c r="B51" s="2764">
        <f>B52+B53</f>
        <v>15000</v>
      </c>
      <c r="C51" s="3145">
        <f>D51/B51</f>
        <v>2666.6666666666665</v>
      </c>
      <c r="D51" s="2764">
        <f>D52+D53</f>
        <v>40000000</v>
      </c>
    </row>
    <row r="52" spans="1:4">
      <c r="A52" s="3146" t="s">
        <v>3383</v>
      </c>
      <c r="B52" s="3147">
        <v>10000</v>
      </c>
      <c r="C52" s="3147">
        <v>1500</v>
      </c>
      <c r="D52" s="3148">
        <f>C52*B52</f>
        <v>15000000</v>
      </c>
    </row>
    <row r="53" spans="1:4">
      <c r="A53" s="3146" t="s">
        <v>3384</v>
      </c>
      <c r="B53" s="3147">
        <v>5000</v>
      </c>
      <c r="C53" s="3147">
        <v>5000</v>
      </c>
      <c r="D53" s="3148">
        <f>C53*B53</f>
        <v>25000000</v>
      </c>
    </row>
    <row r="54" spans="1:4">
      <c r="A54" s="3144" t="s">
        <v>3385</v>
      </c>
      <c r="B54" s="2764">
        <f>B51</f>
        <v>15000</v>
      </c>
      <c r="C54" s="2770">
        <v>700</v>
      </c>
      <c r="D54" s="2764">
        <f t="shared" ref="D54:D55" si="5">C54*B54</f>
        <v>10500000</v>
      </c>
    </row>
    <row r="55" spans="1:4">
      <c r="A55" s="3144" t="s">
        <v>3386</v>
      </c>
      <c r="B55" s="2764">
        <f>B51</f>
        <v>15000</v>
      </c>
      <c r="C55" s="2770">
        <v>1500</v>
      </c>
      <c r="D55" s="2764">
        <f t="shared" si="5"/>
        <v>22500000</v>
      </c>
    </row>
    <row r="56" spans="1:4">
      <c r="A56" s="3144" t="s">
        <v>3387</v>
      </c>
      <c r="B56" s="2764">
        <f>B51</f>
        <v>15000</v>
      </c>
      <c r="C56" s="3149">
        <f>C51+C54+C55</f>
        <v>4866.6666666666661</v>
      </c>
      <c r="D56" s="2764">
        <f>D51+D54+D55</f>
        <v>73000000</v>
      </c>
    </row>
    <row r="58" spans="1:4">
      <c r="A58" s="3144" t="s">
        <v>3388</v>
      </c>
      <c r="B58" s="3150">
        <v>0.05</v>
      </c>
      <c r="C58" s="2764">
        <f>C56*(1+B58)</f>
        <v>5110</v>
      </c>
      <c r="D58" s="2764">
        <f>D56*B58</f>
        <v>3650000</v>
      </c>
    </row>
    <row r="60" spans="1:4">
      <c r="A60" s="3144" t="s">
        <v>3389</v>
      </c>
      <c r="B60" s="2770">
        <v>3500</v>
      </c>
      <c r="C60" s="2770">
        <f>C53</f>
        <v>5000</v>
      </c>
      <c r="D60" s="2764">
        <f>C60*B60</f>
        <v>17500000</v>
      </c>
    </row>
    <row r="62" spans="1:4">
      <c r="A62" s="3144" t="s">
        <v>3390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E18" sqref="E18:I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45854</v>
      </c>
      <c r="C3" s="2186" t="s">
        <v>2171</v>
      </c>
      <c r="D3" s="2185">
        <v>45854</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3409</v>
      </c>
      <c r="C8" s="2201"/>
      <c r="D8" s="3223" t="s">
        <v>2177</v>
      </c>
      <c r="E8" s="2202" t="s">
        <v>3410</v>
      </c>
      <c r="F8" s="2203"/>
      <c r="G8" s="2441"/>
      <c r="H8" s="2441"/>
      <c r="I8" s="2441"/>
      <c r="J8" s="2245"/>
      <c r="K8" s="2399"/>
      <c r="L8" s="2398"/>
      <c r="M8" s="2398"/>
      <c r="N8" s="2245"/>
      <c r="O8" s="1670"/>
      <c r="P8" s="2245"/>
      <c r="Q8" s="2245"/>
      <c r="R8" s="2245"/>
    </row>
    <row r="9" spans="1:30" ht="13.5" thickBot="1">
      <c r="A9" s="2204" t="s">
        <v>2178</v>
      </c>
      <c r="B9" s="2205" t="s">
        <v>3410</v>
      </c>
      <c r="C9" s="2206"/>
      <c r="D9" s="3224"/>
      <c r="E9" s="2205" t="s">
        <v>43</v>
      </c>
      <c r="F9" s="2207"/>
      <c r="G9" s="2442"/>
      <c r="H9" s="2442"/>
      <c r="I9" s="2442"/>
      <c r="J9" s="2245"/>
      <c r="K9" s="2401"/>
      <c r="L9" s="2398"/>
      <c r="M9" s="2398"/>
      <c r="N9" s="2245"/>
      <c r="O9" s="1670"/>
      <c r="P9" s="2245"/>
      <c r="Q9" s="2245"/>
      <c r="R9" s="2245"/>
    </row>
    <row r="10" spans="1:30" ht="13.5" thickTop="1">
      <c r="A10" s="2208" t="s">
        <v>2179</v>
      </c>
      <c r="B10" s="2209" t="s">
        <v>3411</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3412</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8"/>
      <c r="L12" s="2398"/>
      <c r="M12" s="2245"/>
      <c r="N12" s="1670"/>
      <c r="O12" s="2245"/>
      <c r="P12" s="2245"/>
      <c r="Q12" s="2245"/>
      <c r="AD12" s="1618"/>
    </row>
    <row r="13" spans="1:30">
      <c r="A13" s="3121" t="s">
        <v>3323</v>
      </c>
      <c r="B13" s="2218" t="s">
        <v>2190</v>
      </c>
      <c r="C13" s="803">
        <v>65201</v>
      </c>
      <c r="D13" s="803">
        <v>54244</v>
      </c>
      <c r="E13" s="803">
        <v>57896</v>
      </c>
      <c r="F13" s="803">
        <v>57896</v>
      </c>
      <c r="G13" s="803"/>
      <c r="H13" s="803"/>
      <c r="I13" s="803"/>
      <c r="J13" s="2802"/>
      <c r="K13" s="2398"/>
      <c r="L13" s="2398"/>
      <c r="M13" s="2245"/>
      <c r="N13" s="1670"/>
      <c r="O13" s="2245"/>
      <c r="P13" s="2245"/>
      <c r="Q13" s="2245"/>
      <c r="AD13" s="1618"/>
    </row>
    <row r="14" spans="1:30">
      <c r="A14" s="1018"/>
      <c r="B14" s="2218" t="s">
        <v>2191</v>
      </c>
      <c r="C14" s="2219">
        <v>70</v>
      </c>
      <c r="D14" s="2219">
        <v>40</v>
      </c>
      <c r="E14" s="2219">
        <v>50</v>
      </c>
      <c r="F14" s="2219">
        <v>50</v>
      </c>
      <c r="G14" s="2219"/>
      <c r="H14" s="2219"/>
      <c r="I14" s="2219"/>
      <c r="J14" s="2803"/>
      <c r="K14" s="2398"/>
      <c r="L14" s="2398"/>
      <c r="M14" s="2245"/>
      <c r="N14" s="1670"/>
      <c r="O14" s="2245"/>
      <c r="P14" s="2245"/>
      <c r="Q14" s="2245"/>
      <c r="AD14" s="1618"/>
    </row>
    <row r="15" spans="1:30">
      <c r="A15" s="312"/>
      <c r="B15" s="2220" t="s">
        <v>2192</v>
      </c>
      <c r="C15" s="2221">
        <f>IF(A13="出让",IF(C13="","",ROUNDDOWN(MIN((C13-$D$3)/365,C14),2)),C14)</f>
        <v>53</v>
      </c>
      <c r="D15" s="2221">
        <f>IF(A13="出让",IF(D13="","",ROUNDDOWN(MIN((D13-$D$3)/365,D14),2)),D14)</f>
        <v>22.98</v>
      </c>
      <c r="E15" s="2221">
        <f>IF(A13="出让",IF(E13="","",ROUNDDOWN(MIN((E13-$D$3)/365,E14),2)),E14)</f>
        <v>32.99</v>
      </c>
      <c r="F15" s="2221">
        <f>IF(A13="出让",IF(F13="","",ROUNDDOWN(MIN((F13-$D$3)/365,F14),2)),F14)</f>
        <v>32.99</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30"/>
      <c r="C16" s="3231"/>
      <c r="D16" s="3232"/>
      <c r="E16" s="2222" t="s">
        <v>2194</v>
      </c>
      <c r="F16" s="3233"/>
      <c r="G16" s="3234"/>
      <c r="H16" s="3234"/>
      <c r="I16" s="3235"/>
      <c r="J16" s="2245"/>
      <c r="K16" s="2402"/>
      <c r="L16" s="1670"/>
      <c r="M16" s="1670"/>
      <c r="N16" s="2245"/>
      <c r="O16" s="1670"/>
      <c r="P16" s="2245"/>
      <c r="Q16" s="2245"/>
      <c r="R16" s="2245"/>
    </row>
    <row r="17" spans="1:28">
      <c r="A17" s="305" t="s">
        <v>2195</v>
      </c>
      <c r="B17" s="294" t="s">
        <v>2196</v>
      </c>
      <c r="C17" s="8">
        <f>'数据-汇总表'!E3</f>
        <v>12021.93</v>
      </c>
      <c r="D17" s="1256" t="s">
        <v>2197</v>
      </c>
      <c r="E17" s="3236" t="s">
        <v>2198</v>
      </c>
      <c r="F17" s="3237"/>
      <c r="G17" s="3237"/>
      <c r="H17" s="3237"/>
      <c r="I17" s="3238"/>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9" t="s">
        <v>2202</v>
      </c>
      <c r="F18" s="3240"/>
      <c r="G18" s="3240"/>
      <c r="H18" s="3240"/>
      <c r="I18" s="3241"/>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26" t="s">
        <v>2206</v>
      </c>
      <c r="C20" s="3227"/>
      <c r="D20" s="3228" t="s">
        <v>2207</v>
      </c>
      <c r="E20" s="3229"/>
      <c r="F20" s="2429" t="s">
        <v>1056</v>
      </c>
      <c r="G20" s="2441"/>
      <c r="H20" s="2441"/>
      <c r="I20" s="2441"/>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6" t="s">
        <v>1057</v>
      </c>
      <c r="D21" s="1460" t="s">
        <v>2210</v>
      </c>
      <c r="E21" s="2418" t="s">
        <v>1057</v>
      </c>
      <c r="F21" s="2430"/>
      <c r="G21" s="2441"/>
      <c r="H21" s="2441"/>
      <c r="I21" s="2441"/>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6" t="s">
        <v>1058</v>
      </c>
      <c r="D22" s="2441"/>
      <c r="E22" s="2441"/>
      <c r="F22" s="2441"/>
      <c r="G22" s="2441"/>
      <c r="H22" s="2441"/>
      <c r="I22" s="2441"/>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3"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3"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3"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14"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14"/>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14"/>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15"/>
      <c r="B30" s="294" t="s">
        <v>2218</v>
      </c>
      <c r="C30" s="3216"/>
      <c r="D30" s="3217"/>
      <c r="E30" s="2441"/>
      <c r="F30" s="2441"/>
      <c r="G30" s="2441"/>
      <c r="H30" s="2441"/>
      <c r="I30" s="2441"/>
      <c r="J30" s="2245"/>
      <c r="K30" s="2401"/>
      <c r="L30" s="2398"/>
      <c r="M30" s="2398"/>
      <c r="N30" s="2245"/>
      <c r="O30" s="1670"/>
      <c r="P30" s="2245"/>
      <c r="Q30" s="2245"/>
      <c r="R30" s="2245"/>
      <c r="S30" s="2245"/>
      <c r="T30" s="2245"/>
      <c r="U30" s="2245"/>
      <c r="V30" s="2245"/>
    </row>
    <row r="31" spans="1:28">
      <c r="A31" s="3218"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19"/>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19"/>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13" t="s">
        <v>2228</v>
      </c>
      <c r="T34" s="315" t="str">
        <f>NUMBERSTRING(7-K34,1)&amp;"通"</f>
        <v>七通</v>
      </c>
      <c r="U34" s="2245"/>
      <c r="V34" s="2245"/>
    </row>
    <row r="35" spans="1:30">
      <c r="A35" s="2236"/>
      <c r="B35" s="3213" t="s">
        <v>2229</v>
      </c>
      <c r="C35" s="3213"/>
      <c r="D35" s="3213"/>
      <c r="E35" s="3213"/>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2570</v>
      </c>
      <c r="G36" s="2441"/>
      <c r="H36" s="2441"/>
      <c r="I36" s="2441"/>
      <c r="J36" s="2245"/>
      <c r="K36" s="2401"/>
      <c r="L36" s="2398"/>
      <c r="M36" s="2398"/>
      <c r="N36" s="2245"/>
      <c r="O36" s="1670"/>
      <c r="P36" s="2245"/>
      <c r="Q36" s="2245"/>
      <c r="R36" s="2245"/>
      <c r="S36" s="2245"/>
      <c r="T36" s="2245"/>
      <c r="U36" s="2245"/>
      <c r="V36" s="2245"/>
    </row>
    <row r="37" spans="1:30">
      <c r="A37" s="2414" t="s">
        <v>2230</v>
      </c>
      <c r="B37" s="2237" t="s">
        <v>144</v>
      </c>
      <c r="C37" s="2237" t="s">
        <v>144</v>
      </c>
      <c r="D37" s="2237" t="s">
        <v>144</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t="s">
        <v>145</v>
      </c>
      <c r="C38" s="2238" t="s">
        <v>145</v>
      </c>
      <c r="D38" s="2238" t="s">
        <v>145</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12021.93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12021.93</v>
      </c>
      <c r="H5" s="13">
        <f t="shared" ref="H5:AT5" si="0">SUM(H13:H656)</f>
        <v>12021.93</v>
      </c>
      <c r="I5" s="13">
        <f t="shared" si="0"/>
        <v>12021.93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12021.93</v>
      </c>
      <c r="BA5" s="15">
        <f t="shared" si="1"/>
        <v>12021.93</v>
      </c>
      <c r="BB5" s="15">
        <f t="shared" si="1"/>
        <v>12021.93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3324</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3324</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车库</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车库</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9" t="s">
        <v>3414</v>
      </c>
      <c r="D13" s="1513" t="s">
        <v>3415</v>
      </c>
      <c r="E13" s="13">
        <f>IF($C$3="是",ROUND($A$3*G13/$B$3,2),ROUND($A$3*(G13-AT13)/$B$3,2))</f>
        <v>0</v>
      </c>
      <c r="F13" s="29"/>
      <c r="G13" s="30">
        <f>H13+AC13+AT13</f>
        <v>12021.93</v>
      </c>
      <c r="H13" s="17">
        <f>SUMIF(I$12:AB$12,"总值",I13:AB13)</f>
        <v>12021.93</v>
      </c>
      <c r="I13" s="1514">
        <v>12021.93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地下车库</v>
      </c>
      <c r="AY13" s="1260">
        <f>ROUND($AY$6*AZ13/$AZ$5,2)</f>
        <v>0</v>
      </c>
      <c r="AZ13" s="13">
        <f>BA13+BL13</f>
        <v>12021.93</v>
      </c>
      <c r="BA13" s="13">
        <f>SUM(BB13:BK13)</f>
        <v>12021.93</v>
      </c>
      <c r="BB13" s="13">
        <f>IF($D13="是",I13-J13,0)</f>
        <v>12021.93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D19D2-FAAE-40D1-952B-FD037F660E94}">
  <dimension ref="M1:Q225"/>
  <sheetViews>
    <sheetView tabSelected="1" topLeftCell="A185" workbookViewId="0">
      <selection activeCell="M1" sqref="M1:Q225"/>
    </sheetView>
  </sheetViews>
  <sheetFormatPr defaultRowHeight="13.5"/>
  <cols>
    <col min="13" max="13" width="5.25" bestFit="1" customWidth="1"/>
    <col min="14" max="14" width="6.5" bestFit="1" customWidth="1"/>
    <col min="17" max="17" width="33.625" bestFit="1" customWidth="1"/>
  </cols>
  <sheetData>
    <row r="1" spans="13:17">
      <c r="M1" s="3508" t="s">
        <v>3452</v>
      </c>
      <c r="N1" s="3509" t="s">
        <v>3453</v>
      </c>
      <c r="O1" s="3509" t="s">
        <v>3454</v>
      </c>
      <c r="P1" s="3509" t="s">
        <v>3455</v>
      </c>
      <c r="Q1" s="3510" t="s">
        <v>3680</v>
      </c>
    </row>
    <row r="2" spans="13:17">
      <c r="M2" s="3508">
        <v>1</v>
      </c>
      <c r="N2" s="3509" t="s">
        <v>3456</v>
      </c>
      <c r="O2" s="3508">
        <v>53.91</v>
      </c>
      <c r="P2" s="3509" t="s">
        <v>3679</v>
      </c>
      <c r="Q2" s="3509" t="s">
        <v>3681</v>
      </c>
    </row>
    <row r="3" spans="13:17">
      <c r="M3" s="3508">
        <v>2</v>
      </c>
      <c r="N3" s="3509" t="s">
        <v>3457</v>
      </c>
      <c r="O3" s="3508">
        <v>53.91</v>
      </c>
      <c r="P3" s="3509" t="s">
        <v>3679</v>
      </c>
      <c r="Q3" s="3509" t="s">
        <v>3681</v>
      </c>
    </row>
    <row r="4" spans="13:17">
      <c r="M4" s="3508">
        <v>3</v>
      </c>
      <c r="N4" s="3509" t="s">
        <v>3458</v>
      </c>
      <c r="O4" s="3508">
        <v>53.91</v>
      </c>
      <c r="P4" s="3509" t="s">
        <v>3679</v>
      </c>
      <c r="Q4" s="3509" t="s">
        <v>3681</v>
      </c>
    </row>
    <row r="5" spans="13:17">
      <c r="M5" s="3508">
        <v>4</v>
      </c>
      <c r="N5" s="3509" t="s">
        <v>3459</v>
      </c>
      <c r="O5" s="3508">
        <v>53.91</v>
      </c>
      <c r="P5" s="3509" t="s">
        <v>3679</v>
      </c>
      <c r="Q5" s="3509" t="s">
        <v>3681</v>
      </c>
    </row>
    <row r="6" spans="13:17">
      <c r="M6" s="3508">
        <v>5</v>
      </c>
      <c r="N6" s="3509" t="s">
        <v>3460</v>
      </c>
      <c r="O6" s="3508">
        <v>53.91</v>
      </c>
      <c r="P6" s="3509" t="s">
        <v>3679</v>
      </c>
      <c r="Q6" s="3509" t="s">
        <v>3681</v>
      </c>
    </row>
    <row r="7" spans="13:17">
      <c r="M7" s="3508">
        <v>6</v>
      </c>
      <c r="N7" s="3509" t="s">
        <v>3461</v>
      </c>
      <c r="O7" s="3508">
        <v>53.91</v>
      </c>
      <c r="P7" s="3509" t="s">
        <v>3679</v>
      </c>
      <c r="Q7" s="3509" t="s">
        <v>3681</v>
      </c>
    </row>
    <row r="8" spans="13:17">
      <c r="M8" s="3508">
        <v>7</v>
      </c>
      <c r="N8" s="3509" t="s">
        <v>3462</v>
      </c>
      <c r="O8" s="3508">
        <v>53.91</v>
      </c>
      <c r="P8" s="3509" t="s">
        <v>3679</v>
      </c>
      <c r="Q8" s="3509" t="s">
        <v>3681</v>
      </c>
    </row>
    <row r="9" spans="13:17">
      <c r="M9" s="3508">
        <v>8</v>
      </c>
      <c r="N9" s="3509" t="s">
        <v>3463</v>
      </c>
      <c r="O9" s="3508">
        <v>53.91</v>
      </c>
      <c r="P9" s="3509" t="s">
        <v>3679</v>
      </c>
      <c r="Q9" s="3509" t="s">
        <v>3681</v>
      </c>
    </row>
    <row r="10" spans="13:17">
      <c r="M10" s="3508">
        <v>9</v>
      </c>
      <c r="N10" s="3509" t="s">
        <v>3464</v>
      </c>
      <c r="O10" s="3508">
        <v>53.91</v>
      </c>
      <c r="P10" s="3509" t="s">
        <v>3679</v>
      </c>
      <c r="Q10" s="3509" t="s">
        <v>3681</v>
      </c>
    </row>
    <row r="11" spans="13:17">
      <c r="M11" s="3508">
        <v>10</v>
      </c>
      <c r="N11" s="3509" t="s">
        <v>3465</v>
      </c>
      <c r="O11" s="3508">
        <v>53.91</v>
      </c>
      <c r="P11" s="3509" t="s">
        <v>3679</v>
      </c>
      <c r="Q11" s="3509" t="s">
        <v>3681</v>
      </c>
    </row>
    <row r="12" spans="13:17">
      <c r="M12" s="3508">
        <v>11</v>
      </c>
      <c r="N12" s="3509" t="s">
        <v>3466</v>
      </c>
      <c r="O12" s="3508">
        <v>53.91</v>
      </c>
      <c r="P12" s="3509" t="s">
        <v>3679</v>
      </c>
      <c r="Q12" s="3509" t="s">
        <v>3681</v>
      </c>
    </row>
    <row r="13" spans="13:17">
      <c r="M13" s="3508">
        <v>12</v>
      </c>
      <c r="N13" s="3509" t="s">
        <v>3467</v>
      </c>
      <c r="O13" s="3508">
        <v>53.91</v>
      </c>
      <c r="P13" s="3509" t="s">
        <v>3679</v>
      </c>
      <c r="Q13" s="3509" t="s">
        <v>3681</v>
      </c>
    </row>
    <row r="14" spans="13:17">
      <c r="M14" s="3508">
        <v>13</v>
      </c>
      <c r="N14" s="3509" t="s">
        <v>3468</v>
      </c>
      <c r="O14" s="3508">
        <v>53.91</v>
      </c>
      <c r="P14" s="3509" t="s">
        <v>3679</v>
      </c>
      <c r="Q14" s="3509" t="s">
        <v>3681</v>
      </c>
    </row>
    <row r="15" spans="13:17">
      <c r="M15" s="3508">
        <v>14</v>
      </c>
      <c r="N15" s="3509" t="s">
        <v>3469</v>
      </c>
      <c r="O15" s="3508">
        <v>53.91</v>
      </c>
      <c r="P15" s="3509" t="s">
        <v>3679</v>
      </c>
      <c r="Q15" s="3509" t="s">
        <v>3681</v>
      </c>
    </row>
    <row r="16" spans="13:17">
      <c r="M16" s="3508">
        <v>15</v>
      </c>
      <c r="N16" s="3509" t="s">
        <v>3470</v>
      </c>
      <c r="O16" s="3508">
        <v>53.91</v>
      </c>
      <c r="P16" s="3509" t="s">
        <v>3679</v>
      </c>
      <c r="Q16" s="3509" t="s">
        <v>3681</v>
      </c>
    </row>
    <row r="17" spans="13:17">
      <c r="M17" s="3508">
        <v>16</v>
      </c>
      <c r="N17" s="3509" t="s">
        <v>3471</v>
      </c>
      <c r="O17" s="3508">
        <v>53.91</v>
      </c>
      <c r="P17" s="3509" t="s">
        <v>3679</v>
      </c>
      <c r="Q17" s="3509" t="s">
        <v>3681</v>
      </c>
    </row>
    <row r="18" spans="13:17">
      <c r="M18" s="3508">
        <v>17</v>
      </c>
      <c r="N18" s="3509" t="s">
        <v>3472</v>
      </c>
      <c r="O18" s="3508">
        <v>53.91</v>
      </c>
      <c r="P18" s="3509" t="s">
        <v>3679</v>
      </c>
      <c r="Q18" s="3509" t="s">
        <v>3681</v>
      </c>
    </row>
    <row r="19" spans="13:17">
      <c r="M19" s="3508">
        <v>18</v>
      </c>
      <c r="N19" s="3509" t="s">
        <v>3473</v>
      </c>
      <c r="O19" s="3508">
        <v>53.91</v>
      </c>
      <c r="P19" s="3509" t="s">
        <v>3679</v>
      </c>
      <c r="Q19" s="3509" t="s">
        <v>3681</v>
      </c>
    </row>
    <row r="20" spans="13:17">
      <c r="M20" s="3508">
        <v>19</v>
      </c>
      <c r="N20" s="3509" t="s">
        <v>3474</v>
      </c>
      <c r="O20" s="3508">
        <v>53.91</v>
      </c>
      <c r="P20" s="3509" t="s">
        <v>3679</v>
      </c>
      <c r="Q20" s="3509" t="s">
        <v>3681</v>
      </c>
    </row>
    <row r="21" spans="13:17">
      <c r="M21" s="3508">
        <v>20</v>
      </c>
      <c r="N21" s="3509" t="s">
        <v>3475</v>
      </c>
      <c r="O21" s="3508">
        <v>53.91</v>
      </c>
      <c r="P21" s="3509" t="s">
        <v>3679</v>
      </c>
      <c r="Q21" s="3509" t="s">
        <v>3681</v>
      </c>
    </row>
    <row r="22" spans="13:17">
      <c r="M22" s="3508">
        <v>21</v>
      </c>
      <c r="N22" s="3509" t="s">
        <v>3476</v>
      </c>
      <c r="O22" s="3508">
        <v>53.91</v>
      </c>
      <c r="P22" s="3509" t="s">
        <v>3679</v>
      </c>
      <c r="Q22" s="3509" t="s">
        <v>3681</v>
      </c>
    </row>
    <row r="23" spans="13:17">
      <c r="M23" s="3508">
        <v>22</v>
      </c>
      <c r="N23" s="3509" t="s">
        <v>3477</v>
      </c>
      <c r="O23" s="3508">
        <v>53.91</v>
      </c>
      <c r="P23" s="3509" t="s">
        <v>3679</v>
      </c>
      <c r="Q23" s="3509" t="s">
        <v>3681</v>
      </c>
    </row>
    <row r="24" spans="13:17">
      <c r="M24" s="3508">
        <v>23</v>
      </c>
      <c r="N24" s="3509" t="s">
        <v>3478</v>
      </c>
      <c r="O24" s="3508">
        <v>53.91</v>
      </c>
      <c r="P24" s="3509" t="s">
        <v>3679</v>
      </c>
      <c r="Q24" s="3509" t="s">
        <v>3681</v>
      </c>
    </row>
    <row r="25" spans="13:17">
      <c r="M25" s="3508">
        <v>24</v>
      </c>
      <c r="N25" s="3509" t="s">
        <v>3479</v>
      </c>
      <c r="O25" s="3508">
        <v>53.91</v>
      </c>
      <c r="P25" s="3509" t="s">
        <v>3679</v>
      </c>
      <c r="Q25" s="3509" t="s">
        <v>3681</v>
      </c>
    </row>
    <row r="26" spans="13:17">
      <c r="M26" s="3508">
        <v>25</v>
      </c>
      <c r="N26" s="3509" t="s">
        <v>3480</v>
      </c>
      <c r="O26" s="3508">
        <v>53.91</v>
      </c>
      <c r="P26" s="3509" t="s">
        <v>3679</v>
      </c>
      <c r="Q26" s="3509" t="s">
        <v>3681</v>
      </c>
    </row>
    <row r="27" spans="13:17">
      <c r="M27" s="3508">
        <v>26</v>
      </c>
      <c r="N27" s="3509" t="s">
        <v>3481</v>
      </c>
      <c r="O27" s="3508">
        <v>53.91</v>
      </c>
      <c r="P27" s="3509" t="s">
        <v>3679</v>
      </c>
      <c r="Q27" s="3509" t="s">
        <v>3681</v>
      </c>
    </row>
    <row r="28" spans="13:17">
      <c r="M28" s="3508">
        <v>27</v>
      </c>
      <c r="N28" s="3509" t="s">
        <v>3482</v>
      </c>
      <c r="O28" s="3508">
        <v>53.91</v>
      </c>
      <c r="P28" s="3509" t="s">
        <v>3679</v>
      </c>
      <c r="Q28" s="3509" t="s">
        <v>3681</v>
      </c>
    </row>
    <row r="29" spans="13:17">
      <c r="M29" s="3508">
        <v>28</v>
      </c>
      <c r="N29" s="3509" t="s">
        <v>3483</v>
      </c>
      <c r="O29" s="3508">
        <v>53.91</v>
      </c>
      <c r="P29" s="3509" t="s">
        <v>3679</v>
      </c>
      <c r="Q29" s="3509" t="s">
        <v>3681</v>
      </c>
    </row>
    <row r="30" spans="13:17">
      <c r="M30" s="3508">
        <v>29</v>
      </c>
      <c r="N30" s="3509" t="s">
        <v>3484</v>
      </c>
      <c r="O30" s="3508">
        <v>53.91</v>
      </c>
      <c r="P30" s="3509" t="s">
        <v>3679</v>
      </c>
      <c r="Q30" s="3509" t="s">
        <v>3681</v>
      </c>
    </row>
    <row r="31" spans="13:17">
      <c r="M31" s="3508">
        <v>30</v>
      </c>
      <c r="N31" s="3509" t="s">
        <v>3485</v>
      </c>
      <c r="O31" s="3508">
        <v>53.91</v>
      </c>
      <c r="P31" s="3509" t="s">
        <v>3679</v>
      </c>
      <c r="Q31" s="3509" t="s">
        <v>3681</v>
      </c>
    </row>
    <row r="32" spans="13:17">
      <c r="M32" s="3508">
        <v>31</v>
      </c>
      <c r="N32" s="3509" t="s">
        <v>3486</v>
      </c>
      <c r="O32" s="3508">
        <v>53.91</v>
      </c>
      <c r="P32" s="3509" t="s">
        <v>3679</v>
      </c>
      <c r="Q32" s="3509" t="s">
        <v>3681</v>
      </c>
    </row>
    <row r="33" spans="13:17">
      <c r="M33" s="3508">
        <v>32</v>
      </c>
      <c r="N33" s="3509" t="s">
        <v>3487</v>
      </c>
      <c r="O33" s="3508">
        <v>53.91</v>
      </c>
      <c r="P33" s="3509" t="s">
        <v>3679</v>
      </c>
      <c r="Q33" s="3509" t="s">
        <v>3681</v>
      </c>
    </row>
    <row r="34" spans="13:17">
      <c r="M34" s="3508">
        <v>33</v>
      </c>
      <c r="N34" s="3509" t="s">
        <v>3488</v>
      </c>
      <c r="O34" s="3508">
        <v>53.91</v>
      </c>
      <c r="P34" s="3509" t="s">
        <v>3679</v>
      </c>
      <c r="Q34" s="3509" t="s">
        <v>3681</v>
      </c>
    </row>
    <row r="35" spans="13:17">
      <c r="M35" s="3508">
        <v>34</v>
      </c>
      <c r="N35" s="3509" t="s">
        <v>3489</v>
      </c>
      <c r="O35" s="3508">
        <v>53.91</v>
      </c>
      <c r="P35" s="3509" t="s">
        <v>3679</v>
      </c>
      <c r="Q35" s="3509" t="s">
        <v>3681</v>
      </c>
    </row>
    <row r="36" spans="13:17">
      <c r="M36" s="3508">
        <v>35</v>
      </c>
      <c r="N36" s="3509" t="s">
        <v>3490</v>
      </c>
      <c r="O36" s="3508">
        <v>53.91</v>
      </c>
      <c r="P36" s="3509" t="s">
        <v>3679</v>
      </c>
      <c r="Q36" s="3509" t="s">
        <v>3681</v>
      </c>
    </row>
    <row r="37" spans="13:17">
      <c r="M37" s="3508">
        <v>36</v>
      </c>
      <c r="N37" s="3509" t="s">
        <v>3491</v>
      </c>
      <c r="O37" s="3508">
        <v>53.91</v>
      </c>
      <c r="P37" s="3509" t="s">
        <v>3679</v>
      </c>
      <c r="Q37" s="3509" t="s">
        <v>3681</v>
      </c>
    </row>
    <row r="38" spans="13:17">
      <c r="M38" s="3508">
        <v>37</v>
      </c>
      <c r="N38" s="3509" t="s">
        <v>3492</v>
      </c>
      <c r="O38" s="3508">
        <v>53.91</v>
      </c>
      <c r="P38" s="3509" t="s">
        <v>3679</v>
      </c>
      <c r="Q38" s="3509" t="s">
        <v>3681</v>
      </c>
    </row>
    <row r="39" spans="13:17">
      <c r="M39" s="3508">
        <v>38</v>
      </c>
      <c r="N39" s="3509" t="s">
        <v>3493</v>
      </c>
      <c r="O39" s="3508">
        <v>53.91</v>
      </c>
      <c r="P39" s="3509" t="s">
        <v>3679</v>
      </c>
      <c r="Q39" s="3509" t="s">
        <v>3681</v>
      </c>
    </row>
    <row r="40" spans="13:17">
      <c r="M40" s="3508">
        <v>39</v>
      </c>
      <c r="N40" s="3509" t="s">
        <v>3494</v>
      </c>
      <c r="O40" s="3508">
        <v>53.91</v>
      </c>
      <c r="P40" s="3509" t="s">
        <v>3679</v>
      </c>
      <c r="Q40" s="3509" t="s">
        <v>3681</v>
      </c>
    </row>
    <row r="41" spans="13:17">
      <c r="M41" s="3508">
        <v>40</v>
      </c>
      <c r="N41" s="3509" t="s">
        <v>3495</v>
      </c>
      <c r="O41" s="3508">
        <v>53.91</v>
      </c>
      <c r="P41" s="3509" t="s">
        <v>3679</v>
      </c>
      <c r="Q41" s="3509" t="s">
        <v>3681</v>
      </c>
    </row>
    <row r="42" spans="13:17">
      <c r="M42" s="3508">
        <v>41</v>
      </c>
      <c r="N42" s="3509" t="s">
        <v>3496</v>
      </c>
      <c r="O42" s="3508">
        <v>53.91</v>
      </c>
      <c r="P42" s="3509" t="s">
        <v>3679</v>
      </c>
      <c r="Q42" s="3509" t="s">
        <v>3681</v>
      </c>
    </row>
    <row r="43" spans="13:17">
      <c r="M43" s="3508">
        <v>42</v>
      </c>
      <c r="N43" s="3509" t="s">
        <v>3497</v>
      </c>
      <c r="O43" s="3508">
        <v>53.91</v>
      </c>
      <c r="P43" s="3509" t="s">
        <v>3679</v>
      </c>
      <c r="Q43" s="3509" t="s">
        <v>3681</v>
      </c>
    </row>
    <row r="44" spans="13:17">
      <c r="M44" s="3508">
        <v>43</v>
      </c>
      <c r="N44" s="3509" t="s">
        <v>3498</v>
      </c>
      <c r="O44" s="3508">
        <v>53.91</v>
      </c>
      <c r="P44" s="3509" t="s">
        <v>3679</v>
      </c>
      <c r="Q44" s="3509" t="s">
        <v>3681</v>
      </c>
    </row>
    <row r="45" spans="13:17">
      <c r="M45" s="3508">
        <v>44</v>
      </c>
      <c r="N45" s="3509" t="s">
        <v>3499</v>
      </c>
      <c r="O45" s="3508">
        <v>53.91</v>
      </c>
      <c r="P45" s="3509" t="s">
        <v>3679</v>
      </c>
      <c r="Q45" s="3509" t="s">
        <v>3681</v>
      </c>
    </row>
    <row r="46" spans="13:17">
      <c r="M46" s="3508">
        <v>45</v>
      </c>
      <c r="N46" s="3509" t="s">
        <v>3500</v>
      </c>
      <c r="O46" s="3508">
        <v>53.91</v>
      </c>
      <c r="P46" s="3509" t="s">
        <v>3679</v>
      </c>
      <c r="Q46" s="3509" t="s">
        <v>3681</v>
      </c>
    </row>
    <row r="47" spans="13:17">
      <c r="M47" s="3508">
        <v>46</v>
      </c>
      <c r="N47" s="3509" t="s">
        <v>3501</v>
      </c>
      <c r="O47" s="3508">
        <v>53.91</v>
      </c>
      <c r="P47" s="3509" t="s">
        <v>3679</v>
      </c>
      <c r="Q47" s="3509" t="s">
        <v>3681</v>
      </c>
    </row>
    <row r="48" spans="13:17">
      <c r="M48" s="3508">
        <v>47</v>
      </c>
      <c r="N48" s="3509" t="s">
        <v>3502</v>
      </c>
      <c r="O48" s="3508">
        <v>53.91</v>
      </c>
      <c r="P48" s="3509" t="s">
        <v>3679</v>
      </c>
      <c r="Q48" s="3509" t="s">
        <v>3681</v>
      </c>
    </row>
    <row r="49" spans="13:17">
      <c r="M49" s="3508">
        <v>48</v>
      </c>
      <c r="N49" s="3509" t="s">
        <v>3503</v>
      </c>
      <c r="O49" s="3508">
        <v>53.91</v>
      </c>
      <c r="P49" s="3509" t="s">
        <v>3679</v>
      </c>
      <c r="Q49" s="3509" t="s">
        <v>3681</v>
      </c>
    </row>
    <row r="50" spans="13:17">
      <c r="M50" s="3508">
        <v>49</v>
      </c>
      <c r="N50" s="3509" t="s">
        <v>3504</v>
      </c>
      <c r="O50" s="3508">
        <v>53.91</v>
      </c>
      <c r="P50" s="3509" t="s">
        <v>3679</v>
      </c>
      <c r="Q50" s="3509" t="s">
        <v>3681</v>
      </c>
    </row>
    <row r="51" spans="13:17">
      <c r="M51" s="3508">
        <v>50</v>
      </c>
      <c r="N51" s="3509" t="s">
        <v>3505</v>
      </c>
      <c r="O51" s="3508">
        <v>53.91</v>
      </c>
      <c r="P51" s="3509" t="s">
        <v>3679</v>
      </c>
      <c r="Q51" s="3509" t="s">
        <v>3681</v>
      </c>
    </row>
    <row r="52" spans="13:17">
      <c r="M52" s="3508">
        <v>51</v>
      </c>
      <c r="N52" s="3509" t="s">
        <v>3506</v>
      </c>
      <c r="O52" s="3508">
        <v>53.91</v>
      </c>
      <c r="P52" s="3509" t="s">
        <v>3679</v>
      </c>
      <c r="Q52" s="3509" t="s">
        <v>3681</v>
      </c>
    </row>
    <row r="53" spans="13:17">
      <c r="M53" s="3508">
        <v>52</v>
      </c>
      <c r="N53" s="3509" t="s">
        <v>3507</v>
      </c>
      <c r="O53" s="3508">
        <v>53.91</v>
      </c>
      <c r="P53" s="3509" t="s">
        <v>3679</v>
      </c>
      <c r="Q53" s="3509" t="s">
        <v>3681</v>
      </c>
    </row>
    <row r="54" spans="13:17">
      <c r="M54" s="3508">
        <v>53</v>
      </c>
      <c r="N54" s="3509" t="s">
        <v>3508</v>
      </c>
      <c r="O54" s="3508">
        <v>53.91</v>
      </c>
      <c r="P54" s="3509" t="s">
        <v>3679</v>
      </c>
      <c r="Q54" s="3509" t="s">
        <v>3681</v>
      </c>
    </row>
    <row r="55" spans="13:17">
      <c r="M55" s="3508">
        <v>54</v>
      </c>
      <c r="N55" s="3509" t="s">
        <v>3509</v>
      </c>
      <c r="O55" s="3508">
        <v>53.91</v>
      </c>
      <c r="P55" s="3509" t="s">
        <v>3679</v>
      </c>
      <c r="Q55" s="3509" t="s">
        <v>3681</v>
      </c>
    </row>
    <row r="56" spans="13:17">
      <c r="M56" s="3508">
        <v>55</v>
      </c>
      <c r="N56" s="3509" t="s">
        <v>3510</v>
      </c>
      <c r="O56" s="3508">
        <v>53.91</v>
      </c>
      <c r="P56" s="3509" t="s">
        <v>3679</v>
      </c>
      <c r="Q56" s="3509" t="s">
        <v>3681</v>
      </c>
    </row>
    <row r="57" spans="13:17">
      <c r="M57" s="3508">
        <v>56</v>
      </c>
      <c r="N57" s="3509" t="s">
        <v>3511</v>
      </c>
      <c r="O57" s="3508">
        <v>53.91</v>
      </c>
      <c r="P57" s="3509" t="s">
        <v>3679</v>
      </c>
      <c r="Q57" s="3509" t="s">
        <v>3681</v>
      </c>
    </row>
    <row r="58" spans="13:17">
      <c r="M58" s="3508">
        <v>57</v>
      </c>
      <c r="N58" s="3509" t="s">
        <v>3512</v>
      </c>
      <c r="O58" s="3508">
        <v>53.91</v>
      </c>
      <c r="P58" s="3509" t="s">
        <v>3679</v>
      </c>
      <c r="Q58" s="3509" t="s">
        <v>3681</v>
      </c>
    </row>
    <row r="59" spans="13:17">
      <c r="M59" s="3508">
        <v>58</v>
      </c>
      <c r="N59" s="3509" t="s">
        <v>3513</v>
      </c>
      <c r="O59" s="3508">
        <v>53.91</v>
      </c>
      <c r="P59" s="3509" t="s">
        <v>3679</v>
      </c>
      <c r="Q59" s="3509" t="s">
        <v>3681</v>
      </c>
    </row>
    <row r="60" spans="13:17">
      <c r="M60" s="3508">
        <v>59</v>
      </c>
      <c r="N60" s="3509" t="s">
        <v>3514</v>
      </c>
      <c r="O60" s="3508">
        <v>53.91</v>
      </c>
      <c r="P60" s="3509" t="s">
        <v>3679</v>
      </c>
      <c r="Q60" s="3509" t="s">
        <v>3681</v>
      </c>
    </row>
    <row r="61" spans="13:17">
      <c r="M61" s="3508">
        <v>60</v>
      </c>
      <c r="N61" s="3509" t="s">
        <v>3515</v>
      </c>
      <c r="O61" s="3508">
        <v>53.91</v>
      </c>
      <c r="P61" s="3509" t="s">
        <v>3679</v>
      </c>
      <c r="Q61" s="3509" t="s">
        <v>3681</v>
      </c>
    </row>
    <row r="62" spans="13:17">
      <c r="M62" s="3508">
        <v>61</v>
      </c>
      <c r="N62" s="3509" t="s">
        <v>3516</v>
      </c>
      <c r="O62" s="3508">
        <v>53.91</v>
      </c>
      <c r="P62" s="3509" t="s">
        <v>3679</v>
      </c>
      <c r="Q62" s="3509" t="s">
        <v>3681</v>
      </c>
    </row>
    <row r="63" spans="13:17">
      <c r="M63" s="3508">
        <v>62</v>
      </c>
      <c r="N63" s="3509" t="s">
        <v>3517</v>
      </c>
      <c r="O63" s="3508">
        <v>53.91</v>
      </c>
      <c r="P63" s="3509" t="s">
        <v>3679</v>
      </c>
      <c r="Q63" s="3509" t="s">
        <v>3681</v>
      </c>
    </row>
    <row r="64" spans="13:17">
      <c r="M64" s="3508">
        <v>63</v>
      </c>
      <c r="N64" s="3509" t="s">
        <v>3518</v>
      </c>
      <c r="O64" s="3508">
        <v>53.91</v>
      </c>
      <c r="P64" s="3509" t="s">
        <v>3679</v>
      </c>
      <c r="Q64" s="3509" t="s">
        <v>3681</v>
      </c>
    </row>
    <row r="65" spans="13:17">
      <c r="M65" s="3508">
        <v>64</v>
      </c>
      <c r="N65" s="3509" t="s">
        <v>3519</v>
      </c>
      <c r="O65" s="3508">
        <v>53.91</v>
      </c>
      <c r="P65" s="3509" t="s">
        <v>3679</v>
      </c>
      <c r="Q65" s="3509" t="s">
        <v>3681</v>
      </c>
    </row>
    <row r="66" spans="13:17">
      <c r="M66" s="3508">
        <v>65</v>
      </c>
      <c r="N66" s="3509" t="s">
        <v>3520</v>
      </c>
      <c r="O66" s="3508">
        <v>53.91</v>
      </c>
      <c r="P66" s="3509" t="s">
        <v>3679</v>
      </c>
      <c r="Q66" s="3509" t="s">
        <v>3681</v>
      </c>
    </row>
    <row r="67" spans="13:17">
      <c r="M67" s="3508">
        <v>66</v>
      </c>
      <c r="N67" s="3509" t="s">
        <v>3521</v>
      </c>
      <c r="O67" s="3508">
        <v>53.91</v>
      </c>
      <c r="P67" s="3509" t="s">
        <v>3679</v>
      </c>
      <c r="Q67" s="3509" t="s">
        <v>3681</v>
      </c>
    </row>
    <row r="68" spans="13:17">
      <c r="M68" s="3508">
        <v>67</v>
      </c>
      <c r="N68" s="3509" t="s">
        <v>3522</v>
      </c>
      <c r="O68" s="3508">
        <v>53.91</v>
      </c>
      <c r="P68" s="3509" t="s">
        <v>3679</v>
      </c>
      <c r="Q68" s="3509" t="s">
        <v>3681</v>
      </c>
    </row>
    <row r="69" spans="13:17">
      <c r="M69" s="3508">
        <v>68</v>
      </c>
      <c r="N69" s="3509" t="s">
        <v>3523</v>
      </c>
      <c r="O69" s="3508">
        <v>53.91</v>
      </c>
      <c r="P69" s="3509" t="s">
        <v>3679</v>
      </c>
      <c r="Q69" s="3509" t="s">
        <v>3681</v>
      </c>
    </row>
    <row r="70" spans="13:17">
      <c r="M70" s="3508">
        <v>69</v>
      </c>
      <c r="N70" s="3509" t="s">
        <v>3524</v>
      </c>
      <c r="O70" s="3508">
        <v>53.91</v>
      </c>
      <c r="P70" s="3509" t="s">
        <v>3679</v>
      </c>
      <c r="Q70" s="3509" t="s">
        <v>3681</v>
      </c>
    </row>
    <row r="71" spans="13:17">
      <c r="M71" s="3508">
        <v>70</v>
      </c>
      <c r="N71" s="3509" t="s">
        <v>3525</v>
      </c>
      <c r="O71" s="3508">
        <v>53.91</v>
      </c>
      <c r="P71" s="3509" t="s">
        <v>3679</v>
      </c>
      <c r="Q71" s="3509" t="s">
        <v>3681</v>
      </c>
    </row>
    <row r="72" spans="13:17">
      <c r="M72" s="3508">
        <v>71</v>
      </c>
      <c r="N72" s="3509" t="s">
        <v>3526</v>
      </c>
      <c r="O72" s="3508">
        <v>53.91</v>
      </c>
      <c r="P72" s="3509" t="s">
        <v>3679</v>
      </c>
      <c r="Q72" s="3509" t="s">
        <v>3681</v>
      </c>
    </row>
    <row r="73" spans="13:17">
      <c r="M73" s="3508">
        <v>72</v>
      </c>
      <c r="N73" s="3509" t="s">
        <v>3527</v>
      </c>
      <c r="O73" s="3508">
        <v>53.91</v>
      </c>
      <c r="P73" s="3509" t="s">
        <v>3679</v>
      </c>
      <c r="Q73" s="3509" t="s">
        <v>3681</v>
      </c>
    </row>
    <row r="74" spans="13:17">
      <c r="M74" s="3508">
        <v>73</v>
      </c>
      <c r="N74" s="3509" t="s">
        <v>3528</v>
      </c>
      <c r="O74" s="3508">
        <v>53.91</v>
      </c>
      <c r="P74" s="3509" t="s">
        <v>3679</v>
      </c>
      <c r="Q74" s="3509" t="s">
        <v>3681</v>
      </c>
    </row>
    <row r="75" spans="13:17">
      <c r="M75" s="3508">
        <v>74</v>
      </c>
      <c r="N75" s="3509" t="s">
        <v>3529</v>
      </c>
      <c r="O75" s="3508">
        <v>53.91</v>
      </c>
      <c r="P75" s="3509" t="s">
        <v>3679</v>
      </c>
      <c r="Q75" s="3509" t="s">
        <v>3681</v>
      </c>
    </row>
    <row r="76" spans="13:17">
      <c r="M76" s="3508">
        <v>75</v>
      </c>
      <c r="N76" s="3509" t="s">
        <v>3530</v>
      </c>
      <c r="O76" s="3508">
        <v>53.91</v>
      </c>
      <c r="P76" s="3509" t="s">
        <v>3679</v>
      </c>
      <c r="Q76" s="3509" t="s">
        <v>3681</v>
      </c>
    </row>
    <row r="77" spans="13:17">
      <c r="M77" s="3508">
        <v>76</v>
      </c>
      <c r="N77" s="3509" t="s">
        <v>3531</v>
      </c>
      <c r="O77" s="3508">
        <v>53.91</v>
      </c>
      <c r="P77" s="3509" t="s">
        <v>3679</v>
      </c>
      <c r="Q77" s="3509" t="s">
        <v>3681</v>
      </c>
    </row>
    <row r="78" spans="13:17">
      <c r="M78" s="3508">
        <v>77</v>
      </c>
      <c r="N78" s="3509" t="s">
        <v>3532</v>
      </c>
      <c r="O78" s="3508">
        <v>53.91</v>
      </c>
      <c r="P78" s="3509" t="s">
        <v>3679</v>
      </c>
      <c r="Q78" s="3509" t="s">
        <v>3681</v>
      </c>
    </row>
    <row r="79" spans="13:17">
      <c r="M79" s="3508">
        <v>78</v>
      </c>
      <c r="N79" s="3509" t="s">
        <v>3533</v>
      </c>
      <c r="O79" s="3508">
        <v>53.91</v>
      </c>
      <c r="P79" s="3509" t="s">
        <v>3679</v>
      </c>
      <c r="Q79" s="3509" t="s">
        <v>3681</v>
      </c>
    </row>
    <row r="80" spans="13:17">
      <c r="M80" s="3508">
        <v>79</v>
      </c>
      <c r="N80" s="3509" t="s">
        <v>3534</v>
      </c>
      <c r="O80" s="3508">
        <v>53.91</v>
      </c>
      <c r="P80" s="3509" t="s">
        <v>3679</v>
      </c>
      <c r="Q80" s="3509" t="s">
        <v>3681</v>
      </c>
    </row>
    <row r="81" spans="13:17">
      <c r="M81" s="3508">
        <v>80</v>
      </c>
      <c r="N81" s="3509" t="s">
        <v>3535</v>
      </c>
      <c r="O81" s="3508">
        <v>53.91</v>
      </c>
      <c r="P81" s="3509" t="s">
        <v>3679</v>
      </c>
      <c r="Q81" s="3509" t="s">
        <v>3681</v>
      </c>
    </row>
    <row r="82" spans="13:17">
      <c r="M82" s="3508">
        <v>81</v>
      </c>
      <c r="N82" s="3509" t="s">
        <v>3536</v>
      </c>
      <c r="O82" s="3508">
        <v>53.91</v>
      </c>
      <c r="P82" s="3509" t="s">
        <v>3679</v>
      </c>
      <c r="Q82" s="3509" t="s">
        <v>3681</v>
      </c>
    </row>
    <row r="83" spans="13:17">
      <c r="M83" s="3508">
        <v>82</v>
      </c>
      <c r="N83" s="3509" t="s">
        <v>3537</v>
      </c>
      <c r="O83" s="3508">
        <v>53.91</v>
      </c>
      <c r="P83" s="3509" t="s">
        <v>3679</v>
      </c>
      <c r="Q83" s="3509" t="s">
        <v>3681</v>
      </c>
    </row>
    <row r="84" spans="13:17">
      <c r="M84" s="3508">
        <v>83</v>
      </c>
      <c r="N84" s="3509" t="s">
        <v>3538</v>
      </c>
      <c r="O84" s="3508">
        <v>53.91</v>
      </c>
      <c r="P84" s="3509" t="s">
        <v>3679</v>
      </c>
      <c r="Q84" s="3509" t="s">
        <v>3681</v>
      </c>
    </row>
    <row r="85" spans="13:17">
      <c r="M85" s="3508">
        <v>84</v>
      </c>
      <c r="N85" s="3509" t="s">
        <v>3539</v>
      </c>
      <c r="O85" s="3508">
        <v>53.91</v>
      </c>
      <c r="P85" s="3509" t="s">
        <v>3679</v>
      </c>
      <c r="Q85" s="3509" t="s">
        <v>3681</v>
      </c>
    </row>
    <row r="86" spans="13:17">
      <c r="M86" s="3508">
        <v>85</v>
      </c>
      <c r="N86" s="3509" t="s">
        <v>3540</v>
      </c>
      <c r="O86" s="3508">
        <v>53.91</v>
      </c>
      <c r="P86" s="3509" t="s">
        <v>3679</v>
      </c>
      <c r="Q86" s="3509" t="s">
        <v>3681</v>
      </c>
    </row>
    <row r="87" spans="13:17">
      <c r="M87" s="3508">
        <v>86</v>
      </c>
      <c r="N87" s="3509" t="s">
        <v>3541</v>
      </c>
      <c r="O87" s="3508">
        <v>53.91</v>
      </c>
      <c r="P87" s="3509" t="s">
        <v>3679</v>
      </c>
      <c r="Q87" s="3509" t="s">
        <v>3681</v>
      </c>
    </row>
    <row r="88" spans="13:17">
      <c r="M88" s="3508">
        <v>87</v>
      </c>
      <c r="N88" s="3509" t="s">
        <v>3542</v>
      </c>
      <c r="O88" s="3508">
        <v>53.91</v>
      </c>
      <c r="P88" s="3509" t="s">
        <v>3679</v>
      </c>
      <c r="Q88" s="3509" t="s">
        <v>3681</v>
      </c>
    </row>
    <row r="89" spans="13:17">
      <c r="M89" s="3508">
        <v>88</v>
      </c>
      <c r="N89" s="3509" t="s">
        <v>3543</v>
      </c>
      <c r="O89" s="3508">
        <v>53.91</v>
      </c>
      <c r="P89" s="3509" t="s">
        <v>3679</v>
      </c>
      <c r="Q89" s="3509" t="s">
        <v>3681</v>
      </c>
    </row>
    <row r="90" spans="13:17">
      <c r="M90" s="3508">
        <v>89</v>
      </c>
      <c r="N90" s="3509" t="s">
        <v>3544</v>
      </c>
      <c r="O90" s="3508">
        <v>53.91</v>
      </c>
      <c r="P90" s="3509" t="s">
        <v>3679</v>
      </c>
      <c r="Q90" s="3509" t="s">
        <v>3681</v>
      </c>
    </row>
    <row r="91" spans="13:17">
      <c r="M91" s="3508">
        <v>90</v>
      </c>
      <c r="N91" s="3509" t="s">
        <v>3545</v>
      </c>
      <c r="O91" s="3508">
        <v>53.91</v>
      </c>
      <c r="P91" s="3509" t="s">
        <v>3679</v>
      </c>
      <c r="Q91" s="3509" t="s">
        <v>3681</v>
      </c>
    </row>
    <row r="92" spans="13:17">
      <c r="M92" s="3508">
        <v>91</v>
      </c>
      <c r="N92" s="3509" t="s">
        <v>3546</v>
      </c>
      <c r="O92" s="3508">
        <v>53.91</v>
      </c>
      <c r="P92" s="3509" t="s">
        <v>3679</v>
      </c>
      <c r="Q92" s="3509" t="s">
        <v>3681</v>
      </c>
    </row>
    <row r="93" spans="13:17">
      <c r="M93" s="3508">
        <v>92</v>
      </c>
      <c r="N93" s="3509" t="s">
        <v>3547</v>
      </c>
      <c r="O93" s="3508">
        <v>53.91</v>
      </c>
      <c r="P93" s="3509" t="s">
        <v>3679</v>
      </c>
      <c r="Q93" s="3509" t="s">
        <v>3681</v>
      </c>
    </row>
    <row r="94" spans="13:17">
      <c r="M94" s="3508">
        <v>93</v>
      </c>
      <c r="N94" s="3509" t="s">
        <v>3548</v>
      </c>
      <c r="O94" s="3508">
        <v>53.91</v>
      </c>
      <c r="P94" s="3509" t="s">
        <v>3679</v>
      </c>
      <c r="Q94" s="3509" t="s">
        <v>3681</v>
      </c>
    </row>
    <row r="95" spans="13:17">
      <c r="M95" s="3508">
        <v>94</v>
      </c>
      <c r="N95" s="3509" t="s">
        <v>3549</v>
      </c>
      <c r="O95" s="3508">
        <v>53.91</v>
      </c>
      <c r="P95" s="3509" t="s">
        <v>3679</v>
      </c>
      <c r="Q95" s="3509" t="s">
        <v>3681</v>
      </c>
    </row>
    <row r="96" spans="13:17">
      <c r="M96" s="3508">
        <v>95</v>
      </c>
      <c r="N96" s="3509" t="s">
        <v>3550</v>
      </c>
      <c r="O96" s="3508">
        <v>53.91</v>
      </c>
      <c r="P96" s="3509" t="s">
        <v>3679</v>
      </c>
      <c r="Q96" s="3509" t="s">
        <v>3681</v>
      </c>
    </row>
    <row r="97" spans="13:17">
      <c r="M97" s="3508">
        <v>96</v>
      </c>
      <c r="N97" s="3509" t="s">
        <v>3551</v>
      </c>
      <c r="O97" s="3508">
        <v>53.91</v>
      </c>
      <c r="P97" s="3509" t="s">
        <v>3679</v>
      </c>
      <c r="Q97" s="3509" t="s">
        <v>3681</v>
      </c>
    </row>
    <row r="98" spans="13:17">
      <c r="M98" s="3508">
        <v>97</v>
      </c>
      <c r="N98" s="3509" t="s">
        <v>3552</v>
      </c>
      <c r="O98" s="3508">
        <v>53.91</v>
      </c>
      <c r="P98" s="3509" t="s">
        <v>3679</v>
      </c>
      <c r="Q98" s="3509" t="s">
        <v>3681</v>
      </c>
    </row>
    <row r="99" spans="13:17">
      <c r="M99" s="3508">
        <v>98</v>
      </c>
      <c r="N99" s="3509" t="s">
        <v>3553</v>
      </c>
      <c r="O99" s="3508">
        <v>53.91</v>
      </c>
      <c r="P99" s="3509" t="s">
        <v>3679</v>
      </c>
      <c r="Q99" s="3509" t="s">
        <v>3681</v>
      </c>
    </row>
    <row r="100" spans="13:17">
      <c r="M100" s="3508">
        <v>99</v>
      </c>
      <c r="N100" s="3509" t="s">
        <v>3554</v>
      </c>
      <c r="O100" s="3508">
        <v>53.91</v>
      </c>
      <c r="P100" s="3509" t="s">
        <v>3679</v>
      </c>
      <c r="Q100" s="3509" t="s">
        <v>3681</v>
      </c>
    </row>
    <row r="101" spans="13:17">
      <c r="M101" s="3508">
        <v>100</v>
      </c>
      <c r="N101" s="3509" t="s">
        <v>3555</v>
      </c>
      <c r="O101" s="3508">
        <v>53.91</v>
      </c>
      <c r="P101" s="3509" t="s">
        <v>3679</v>
      </c>
      <c r="Q101" s="3509" t="s">
        <v>3681</v>
      </c>
    </row>
    <row r="102" spans="13:17">
      <c r="M102" s="3508">
        <v>101</v>
      </c>
      <c r="N102" s="3509" t="s">
        <v>3556</v>
      </c>
      <c r="O102" s="3508">
        <v>53.91</v>
      </c>
      <c r="P102" s="3509" t="s">
        <v>3679</v>
      </c>
      <c r="Q102" s="3509" t="s">
        <v>3681</v>
      </c>
    </row>
    <row r="103" spans="13:17">
      <c r="M103" s="3508">
        <v>102</v>
      </c>
      <c r="N103" s="3509" t="s">
        <v>3557</v>
      </c>
      <c r="O103" s="3508">
        <v>53.91</v>
      </c>
      <c r="P103" s="3509" t="s">
        <v>3679</v>
      </c>
      <c r="Q103" s="3509" t="s">
        <v>3681</v>
      </c>
    </row>
    <row r="104" spans="13:17">
      <c r="M104" s="3508">
        <v>103</v>
      </c>
      <c r="N104" s="3509" t="s">
        <v>3558</v>
      </c>
      <c r="O104" s="3508">
        <v>53.91</v>
      </c>
      <c r="P104" s="3509" t="s">
        <v>3679</v>
      </c>
      <c r="Q104" s="3509" t="s">
        <v>3681</v>
      </c>
    </row>
    <row r="105" spans="13:17">
      <c r="M105" s="3508">
        <v>104</v>
      </c>
      <c r="N105" s="3509" t="s">
        <v>3559</v>
      </c>
      <c r="O105" s="3508">
        <v>53.91</v>
      </c>
      <c r="P105" s="3509" t="s">
        <v>3679</v>
      </c>
      <c r="Q105" s="3509" t="s">
        <v>3681</v>
      </c>
    </row>
    <row r="106" spans="13:17">
      <c r="M106" s="3508">
        <v>105</v>
      </c>
      <c r="N106" s="3509" t="s">
        <v>3560</v>
      </c>
      <c r="O106" s="3508">
        <v>53.91</v>
      </c>
      <c r="P106" s="3509" t="s">
        <v>3679</v>
      </c>
      <c r="Q106" s="3509" t="s">
        <v>3681</v>
      </c>
    </row>
    <row r="107" spans="13:17">
      <c r="M107" s="3508">
        <v>106</v>
      </c>
      <c r="N107" s="3509" t="s">
        <v>3561</v>
      </c>
      <c r="O107" s="3508">
        <v>53.91</v>
      </c>
      <c r="P107" s="3509" t="s">
        <v>3679</v>
      </c>
      <c r="Q107" s="3509" t="s">
        <v>3681</v>
      </c>
    </row>
    <row r="108" spans="13:17">
      <c r="M108" s="3508">
        <v>107</v>
      </c>
      <c r="N108" s="3509" t="s">
        <v>3562</v>
      </c>
      <c r="O108" s="3508">
        <v>53.91</v>
      </c>
      <c r="P108" s="3509" t="s">
        <v>3679</v>
      </c>
      <c r="Q108" s="3509" t="s">
        <v>3681</v>
      </c>
    </row>
    <row r="109" spans="13:17">
      <c r="M109" s="3508">
        <v>108</v>
      </c>
      <c r="N109" s="3509" t="s">
        <v>3563</v>
      </c>
      <c r="O109" s="3508">
        <v>53.91</v>
      </c>
      <c r="P109" s="3509" t="s">
        <v>3679</v>
      </c>
      <c r="Q109" s="3509" t="s">
        <v>3681</v>
      </c>
    </row>
    <row r="110" spans="13:17">
      <c r="M110" s="3508">
        <v>109</v>
      </c>
      <c r="N110" s="3509" t="s">
        <v>3564</v>
      </c>
      <c r="O110" s="3508">
        <v>53.91</v>
      </c>
      <c r="P110" s="3509" t="s">
        <v>3679</v>
      </c>
      <c r="Q110" s="3509" t="s">
        <v>3681</v>
      </c>
    </row>
    <row r="111" spans="13:17">
      <c r="M111" s="3508">
        <v>110</v>
      </c>
      <c r="N111" s="3509" t="s">
        <v>3565</v>
      </c>
      <c r="O111" s="3508">
        <v>53.91</v>
      </c>
      <c r="P111" s="3509" t="s">
        <v>3679</v>
      </c>
      <c r="Q111" s="3509" t="s">
        <v>3681</v>
      </c>
    </row>
    <row r="112" spans="13:17">
      <c r="M112" s="3508">
        <v>111</v>
      </c>
      <c r="N112" s="3509" t="s">
        <v>3566</v>
      </c>
      <c r="O112" s="3508">
        <v>53.91</v>
      </c>
      <c r="P112" s="3509" t="s">
        <v>3679</v>
      </c>
      <c r="Q112" s="3509" t="s">
        <v>3681</v>
      </c>
    </row>
    <row r="113" spans="13:17">
      <c r="M113" s="3508">
        <v>112</v>
      </c>
      <c r="N113" s="3509" t="s">
        <v>3567</v>
      </c>
      <c r="O113" s="3508">
        <v>53.91</v>
      </c>
      <c r="P113" s="3509" t="s">
        <v>3679</v>
      </c>
      <c r="Q113" s="3509" t="s">
        <v>3681</v>
      </c>
    </row>
    <row r="114" spans="13:17">
      <c r="M114" s="3508">
        <v>113</v>
      </c>
      <c r="N114" s="3509" t="s">
        <v>3568</v>
      </c>
      <c r="O114" s="3508">
        <v>53.91</v>
      </c>
      <c r="P114" s="3509" t="s">
        <v>3679</v>
      </c>
      <c r="Q114" s="3509" t="s">
        <v>3681</v>
      </c>
    </row>
    <row r="115" spans="13:17">
      <c r="M115" s="3508">
        <v>114</v>
      </c>
      <c r="N115" s="3509" t="s">
        <v>3569</v>
      </c>
      <c r="O115" s="3508">
        <v>53.91</v>
      </c>
      <c r="P115" s="3509" t="s">
        <v>3679</v>
      </c>
      <c r="Q115" s="3509" t="s">
        <v>3681</v>
      </c>
    </row>
    <row r="116" spans="13:17">
      <c r="M116" s="3508">
        <v>115</v>
      </c>
      <c r="N116" s="3509" t="s">
        <v>3570</v>
      </c>
      <c r="O116" s="3508">
        <v>53.91</v>
      </c>
      <c r="P116" s="3509" t="s">
        <v>3679</v>
      </c>
      <c r="Q116" s="3509" t="s">
        <v>3681</v>
      </c>
    </row>
    <row r="117" spans="13:17">
      <c r="M117" s="3508">
        <v>116</v>
      </c>
      <c r="N117" s="3509" t="s">
        <v>3571</v>
      </c>
      <c r="O117" s="3508">
        <v>53.91</v>
      </c>
      <c r="P117" s="3509" t="s">
        <v>3679</v>
      </c>
      <c r="Q117" s="3509" t="s">
        <v>3681</v>
      </c>
    </row>
    <row r="118" spans="13:17">
      <c r="M118" s="3508">
        <v>117</v>
      </c>
      <c r="N118" s="3509" t="s">
        <v>3572</v>
      </c>
      <c r="O118" s="3508">
        <v>53.91</v>
      </c>
      <c r="P118" s="3509" t="s">
        <v>3679</v>
      </c>
      <c r="Q118" s="3509" t="s">
        <v>3681</v>
      </c>
    </row>
    <row r="119" spans="13:17">
      <c r="M119" s="3508">
        <v>118</v>
      </c>
      <c r="N119" s="3509" t="s">
        <v>3573</v>
      </c>
      <c r="O119" s="3508">
        <v>53.91</v>
      </c>
      <c r="P119" s="3509" t="s">
        <v>3679</v>
      </c>
      <c r="Q119" s="3509" t="s">
        <v>3681</v>
      </c>
    </row>
    <row r="120" spans="13:17">
      <c r="M120" s="3508">
        <v>119</v>
      </c>
      <c r="N120" s="3509" t="s">
        <v>3574</v>
      </c>
      <c r="O120" s="3508">
        <v>53.91</v>
      </c>
      <c r="P120" s="3509" t="s">
        <v>3679</v>
      </c>
      <c r="Q120" s="3509" t="s">
        <v>3681</v>
      </c>
    </row>
    <row r="121" spans="13:17">
      <c r="M121" s="3508">
        <v>120</v>
      </c>
      <c r="N121" s="3509" t="s">
        <v>3575</v>
      </c>
      <c r="O121" s="3508">
        <v>53.91</v>
      </c>
      <c r="P121" s="3509" t="s">
        <v>3679</v>
      </c>
      <c r="Q121" s="3509" t="s">
        <v>3681</v>
      </c>
    </row>
    <row r="122" spans="13:17">
      <c r="M122" s="3508">
        <v>121</v>
      </c>
      <c r="N122" s="3509" t="s">
        <v>3576</v>
      </c>
      <c r="O122" s="3508">
        <v>53.91</v>
      </c>
      <c r="P122" s="3509" t="s">
        <v>3679</v>
      </c>
      <c r="Q122" s="3509" t="s">
        <v>3681</v>
      </c>
    </row>
    <row r="123" spans="13:17">
      <c r="M123" s="3508">
        <v>122</v>
      </c>
      <c r="N123" s="3509" t="s">
        <v>3577</v>
      </c>
      <c r="O123" s="3508">
        <v>53.91</v>
      </c>
      <c r="P123" s="3509" t="s">
        <v>3679</v>
      </c>
      <c r="Q123" s="3509" t="s">
        <v>3681</v>
      </c>
    </row>
    <row r="124" spans="13:17">
      <c r="M124" s="3508">
        <v>123</v>
      </c>
      <c r="N124" s="3509" t="s">
        <v>3578</v>
      </c>
      <c r="O124" s="3508">
        <v>53.91</v>
      </c>
      <c r="P124" s="3509" t="s">
        <v>3679</v>
      </c>
      <c r="Q124" s="3509" t="s">
        <v>3681</v>
      </c>
    </row>
    <row r="125" spans="13:17">
      <c r="M125" s="3508">
        <v>124</v>
      </c>
      <c r="N125" s="3509" t="s">
        <v>3579</v>
      </c>
      <c r="O125" s="3508">
        <v>53.91</v>
      </c>
      <c r="P125" s="3509" t="s">
        <v>3679</v>
      </c>
      <c r="Q125" s="3509" t="s">
        <v>3681</v>
      </c>
    </row>
    <row r="126" spans="13:17">
      <c r="M126" s="3508">
        <v>125</v>
      </c>
      <c r="N126" s="3509" t="s">
        <v>3580</v>
      </c>
      <c r="O126" s="3508">
        <v>53.91</v>
      </c>
      <c r="P126" s="3509" t="s">
        <v>3679</v>
      </c>
      <c r="Q126" s="3509" t="s">
        <v>3681</v>
      </c>
    </row>
    <row r="127" spans="13:17">
      <c r="M127" s="3508">
        <v>126</v>
      </c>
      <c r="N127" s="3509" t="s">
        <v>3581</v>
      </c>
      <c r="O127" s="3508">
        <v>53.91</v>
      </c>
      <c r="P127" s="3509" t="s">
        <v>3679</v>
      </c>
      <c r="Q127" s="3509" t="s">
        <v>3681</v>
      </c>
    </row>
    <row r="128" spans="13:17">
      <c r="M128" s="3508">
        <v>127</v>
      </c>
      <c r="N128" s="3509" t="s">
        <v>3582</v>
      </c>
      <c r="O128" s="3508">
        <v>53.91</v>
      </c>
      <c r="P128" s="3509" t="s">
        <v>3679</v>
      </c>
      <c r="Q128" s="3509" t="s">
        <v>3681</v>
      </c>
    </row>
    <row r="129" spans="13:17">
      <c r="M129" s="3508">
        <v>128</v>
      </c>
      <c r="N129" s="3509" t="s">
        <v>3583</v>
      </c>
      <c r="O129" s="3508">
        <v>53.91</v>
      </c>
      <c r="P129" s="3509" t="s">
        <v>3679</v>
      </c>
      <c r="Q129" s="3509" t="s">
        <v>3681</v>
      </c>
    </row>
    <row r="130" spans="13:17">
      <c r="M130" s="3508">
        <v>129</v>
      </c>
      <c r="N130" s="3509" t="s">
        <v>3584</v>
      </c>
      <c r="O130" s="3508">
        <v>53.91</v>
      </c>
      <c r="P130" s="3509" t="s">
        <v>3679</v>
      </c>
      <c r="Q130" s="3509" t="s">
        <v>3681</v>
      </c>
    </row>
    <row r="131" spans="13:17">
      <c r="M131" s="3508">
        <v>130</v>
      </c>
      <c r="N131" s="3509" t="s">
        <v>3585</v>
      </c>
      <c r="O131" s="3508">
        <v>53.91</v>
      </c>
      <c r="P131" s="3509" t="s">
        <v>3679</v>
      </c>
      <c r="Q131" s="3509" t="s">
        <v>3681</v>
      </c>
    </row>
    <row r="132" spans="13:17">
      <c r="M132" s="3508">
        <v>131</v>
      </c>
      <c r="N132" s="3509" t="s">
        <v>3586</v>
      </c>
      <c r="O132" s="3508">
        <v>53.91</v>
      </c>
      <c r="P132" s="3509" t="s">
        <v>3679</v>
      </c>
      <c r="Q132" s="3509" t="s">
        <v>3681</v>
      </c>
    </row>
    <row r="133" spans="13:17">
      <c r="M133" s="3508">
        <v>132</v>
      </c>
      <c r="N133" s="3509" t="s">
        <v>3587</v>
      </c>
      <c r="O133" s="3508">
        <v>53.91</v>
      </c>
      <c r="P133" s="3509" t="s">
        <v>3679</v>
      </c>
      <c r="Q133" s="3509" t="s">
        <v>3681</v>
      </c>
    </row>
    <row r="134" spans="13:17">
      <c r="M134" s="3508">
        <v>133</v>
      </c>
      <c r="N134" s="3509" t="s">
        <v>3588</v>
      </c>
      <c r="O134" s="3508">
        <v>53.91</v>
      </c>
      <c r="P134" s="3509" t="s">
        <v>3679</v>
      </c>
      <c r="Q134" s="3509" t="s">
        <v>3681</v>
      </c>
    </row>
    <row r="135" spans="13:17">
      <c r="M135" s="3508">
        <v>134</v>
      </c>
      <c r="N135" s="3509" t="s">
        <v>3589</v>
      </c>
      <c r="O135" s="3508">
        <v>53.91</v>
      </c>
      <c r="P135" s="3509" t="s">
        <v>3679</v>
      </c>
      <c r="Q135" s="3509" t="s">
        <v>3681</v>
      </c>
    </row>
    <row r="136" spans="13:17">
      <c r="M136" s="3508">
        <v>135</v>
      </c>
      <c r="N136" s="3509" t="s">
        <v>3590</v>
      </c>
      <c r="O136" s="3508">
        <v>53.91</v>
      </c>
      <c r="P136" s="3509" t="s">
        <v>3679</v>
      </c>
      <c r="Q136" s="3509" t="s">
        <v>3681</v>
      </c>
    </row>
    <row r="137" spans="13:17">
      <c r="M137" s="3508">
        <v>136</v>
      </c>
      <c r="N137" s="3509" t="s">
        <v>3591</v>
      </c>
      <c r="O137" s="3508">
        <v>53.91</v>
      </c>
      <c r="P137" s="3509" t="s">
        <v>3679</v>
      </c>
      <c r="Q137" s="3509" t="s">
        <v>3681</v>
      </c>
    </row>
    <row r="138" spans="13:17">
      <c r="M138" s="3508">
        <v>137</v>
      </c>
      <c r="N138" s="3509" t="s">
        <v>3592</v>
      </c>
      <c r="O138" s="3508">
        <v>53.91</v>
      </c>
      <c r="P138" s="3509" t="s">
        <v>3679</v>
      </c>
      <c r="Q138" s="3509" t="s">
        <v>3681</v>
      </c>
    </row>
    <row r="139" spans="13:17">
      <c r="M139" s="3508">
        <v>138</v>
      </c>
      <c r="N139" s="3509" t="s">
        <v>3593</v>
      </c>
      <c r="O139" s="3508">
        <v>53.91</v>
      </c>
      <c r="P139" s="3509" t="s">
        <v>3679</v>
      </c>
      <c r="Q139" s="3509" t="s">
        <v>3681</v>
      </c>
    </row>
    <row r="140" spans="13:17">
      <c r="M140" s="3508">
        <v>139</v>
      </c>
      <c r="N140" s="3509" t="s">
        <v>3594</v>
      </c>
      <c r="O140" s="3508">
        <v>53.91</v>
      </c>
      <c r="P140" s="3509" t="s">
        <v>3679</v>
      </c>
      <c r="Q140" s="3509" t="s">
        <v>3681</v>
      </c>
    </row>
    <row r="141" spans="13:17">
      <c r="M141" s="3508">
        <v>140</v>
      </c>
      <c r="N141" s="3509" t="s">
        <v>3595</v>
      </c>
      <c r="O141" s="3508">
        <v>53.91</v>
      </c>
      <c r="P141" s="3509" t="s">
        <v>3679</v>
      </c>
      <c r="Q141" s="3509" t="s">
        <v>3681</v>
      </c>
    </row>
    <row r="142" spans="13:17">
      <c r="M142" s="3508">
        <v>141</v>
      </c>
      <c r="N142" s="3509" t="s">
        <v>3596</v>
      </c>
      <c r="O142" s="3508">
        <v>53.91</v>
      </c>
      <c r="P142" s="3509" t="s">
        <v>3679</v>
      </c>
      <c r="Q142" s="3509" t="s">
        <v>3681</v>
      </c>
    </row>
    <row r="143" spans="13:17">
      <c r="M143" s="3508">
        <v>142</v>
      </c>
      <c r="N143" s="3509" t="s">
        <v>3597</v>
      </c>
      <c r="O143" s="3508">
        <v>53.91</v>
      </c>
      <c r="P143" s="3509" t="s">
        <v>3679</v>
      </c>
      <c r="Q143" s="3509" t="s">
        <v>3681</v>
      </c>
    </row>
    <row r="144" spans="13:17">
      <c r="M144" s="3508">
        <v>143</v>
      </c>
      <c r="N144" s="3509" t="s">
        <v>3598</v>
      </c>
      <c r="O144" s="3508">
        <v>53.91</v>
      </c>
      <c r="P144" s="3509" t="s">
        <v>3679</v>
      </c>
      <c r="Q144" s="3509" t="s">
        <v>3681</v>
      </c>
    </row>
    <row r="145" spans="13:17">
      <c r="M145" s="3508">
        <v>144</v>
      </c>
      <c r="N145" s="3509" t="s">
        <v>3599</v>
      </c>
      <c r="O145" s="3508">
        <v>53.91</v>
      </c>
      <c r="P145" s="3509" t="s">
        <v>3679</v>
      </c>
      <c r="Q145" s="3509" t="s">
        <v>3681</v>
      </c>
    </row>
    <row r="146" spans="13:17">
      <c r="M146" s="3508">
        <v>145</v>
      </c>
      <c r="N146" s="3509" t="s">
        <v>3600</v>
      </c>
      <c r="O146" s="3508">
        <v>53.91</v>
      </c>
      <c r="P146" s="3509" t="s">
        <v>3679</v>
      </c>
      <c r="Q146" s="3509" t="s">
        <v>3681</v>
      </c>
    </row>
    <row r="147" spans="13:17">
      <c r="M147" s="3508">
        <v>146</v>
      </c>
      <c r="N147" s="3509" t="s">
        <v>3601</v>
      </c>
      <c r="O147" s="3508">
        <v>53.91</v>
      </c>
      <c r="P147" s="3509" t="s">
        <v>3679</v>
      </c>
      <c r="Q147" s="3509" t="s">
        <v>3681</v>
      </c>
    </row>
    <row r="148" spans="13:17">
      <c r="M148" s="3508">
        <v>147</v>
      </c>
      <c r="N148" s="3509" t="s">
        <v>3602</v>
      </c>
      <c r="O148" s="3508">
        <v>53.91</v>
      </c>
      <c r="P148" s="3509" t="s">
        <v>3679</v>
      </c>
      <c r="Q148" s="3509" t="s">
        <v>3681</v>
      </c>
    </row>
    <row r="149" spans="13:17">
      <c r="M149" s="3508">
        <v>148</v>
      </c>
      <c r="N149" s="3509" t="s">
        <v>3603</v>
      </c>
      <c r="O149" s="3508">
        <v>53.91</v>
      </c>
      <c r="P149" s="3509" t="s">
        <v>3679</v>
      </c>
      <c r="Q149" s="3509" t="s">
        <v>3681</v>
      </c>
    </row>
    <row r="150" spans="13:17">
      <c r="M150" s="3508">
        <v>149</v>
      </c>
      <c r="N150" s="3509" t="s">
        <v>3604</v>
      </c>
      <c r="O150" s="3508">
        <v>53.91</v>
      </c>
      <c r="P150" s="3509" t="s">
        <v>3679</v>
      </c>
      <c r="Q150" s="3509" t="s">
        <v>3681</v>
      </c>
    </row>
    <row r="151" spans="13:17">
      <c r="M151" s="3508">
        <v>150</v>
      </c>
      <c r="N151" s="3509" t="s">
        <v>3605</v>
      </c>
      <c r="O151" s="3508">
        <v>53.91</v>
      </c>
      <c r="P151" s="3509" t="s">
        <v>3679</v>
      </c>
      <c r="Q151" s="3509" t="s">
        <v>3681</v>
      </c>
    </row>
    <row r="152" spans="13:17">
      <c r="M152" s="3508">
        <v>151</v>
      </c>
      <c r="N152" s="3509" t="s">
        <v>3606</v>
      </c>
      <c r="O152" s="3508">
        <v>53.91</v>
      </c>
      <c r="P152" s="3509" t="s">
        <v>3679</v>
      </c>
      <c r="Q152" s="3509" t="s">
        <v>3681</v>
      </c>
    </row>
    <row r="153" spans="13:17">
      <c r="M153" s="3508">
        <v>152</v>
      </c>
      <c r="N153" s="3509" t="s">
        <v>3607</v>
      </c>
      <c r="O153" s="3508">
        <v>53.91</v>
      </c>
      <c r="P153" s="3509" t="s">
        <v>3679</v>
      </c>
      <c r="Q153" s="3509" t="s">
        <v>3681</v>
      </c>
    </row>
    <row r="154" spans="13:17">
      <c r="M154" s="3508">
        <v>153</v>
      </c>
      <c r="N154" s="3509" t="s">
        <v>3608</v>
      </c>
      <c r="O154" s="3508">
        <v>53.91</v>
      </c>
      <c r="P154" s="3509" t="s">
        <v>3679</v>
      </c>
      <c r="Q154" s="3509" t="s">
        <v>3681</v>
      </c>
    </row>
    <row r="155" spans="13:17">
      <c r="M155" s="3508">
        <v>154</v>
      </c>
      <c r="N155" s="3509" t="s">
        <v>3609</v>
      </c>
      <c r="O155" s="3508">
        <v>53.91</v>
      </c>
      <c r="P155" s="3509" t="s">
        <v>3679</v>
      </c>
      <c r="Q155" s="3509" t="s">
        <v>3681</v>
      </c>
    </row>
    <row r="156" spans="13:17">
      <c r="M156" s="3508">
        <v>155</v>
      </c>
      <c r="N156" s="3509" t="s">
        <v>3610</v>
      </c>
      <c r="O156" s="3508">
        <v>53.91</v>
      </c>
      <c r="P156" s="3509" t="s">
        <v>3679</v>
      </c>
      <c r="Q156" s="3509" t="s">
        <v>3681</v>
      </c>
    </row>
    <row r="157" spans="13:17">
      <c r="M157" s="3508">
        <v>156</v>
      </c>
      <c r="N157" s="3509" t="s">
        <v>3611</v>
      </c>
      <c r="O157" s="3508">
        <v>53.91</v>
      </c>
      <c r="P157" s="3509" t="s">
        <v>3679</v>
      </c>
      <c r="Q157" s="3509" t="s">
        <v>3681</v>
      </c>
    </row>
    <row r="158" spans="13:17">
      <c r="M158" s="3508">
        <v>157</v>
      </c>
      <c r="N158" s="3509" t="s">
        <v>3612</v>
      </c>
      <c r="O158" s="3508">
        <v>53.91</v>
      </c>
      <c r="P158" s="3509" t="s">
        <v>3679</v>
      </c>
      <c r="Q158" s="3509" t="s">
        <v>3681</v>
      </c>
    </row>
    <row r="159" spans="13:17">
      <c r="M159" s="3508">
        <v>158</v>
      </c>
      <c r="N159" s="3509" t="s">
        <v>3613</v>
      </c>
      <c r="O159" s="3508">
        <v>53.91</v>
      </c>
      <c r="P159" s="3509" t="s">
        <v>3679</v>
      </c>
      <c r="Q159" s="3509" t="s">
        <v>3681</v>
      </c>
    </row>
    <row r="160" spans="13:17">
      <c r="M160" s="3508">
        <v>159</v>
      </c>
      <c r="N160" s="3509" t="s">
        <v>3614</v>
      </c>
      <c r="O160" s="3508">
        <v>53.91</v>
      </c>
      <c r="P160" s="3509" t="s">
        <v>3679</v>
      </c>
      <c r="Q160" s="3509" t="s">
        <v>3681</v>
      </c>
    </row>
    <row r="161" spans="13:17">
      <c r="M161" s="3508">
        <v>160</v>
      </c>
      <c r="N161" s="3509" t="s">
        <v>3615</v>
      </c>
      <c r="O161" s="3508">
        <v>53.91</v>
      </c>
      <c r="P161" s="3509" t="s">
        <v>3679</v>
      </c>
      <c r="Q161" s="3509" t="s">
        <v>3681</v>
      </c>
    </row>
    <row r="162" spans="13:17">
      <c r="M162" s="3508">
        <v>161</v>
      </c>
      <c r="N162" s="3509" t="s">
        <v>3616</v>
      </c>
      <c r="O162" s="3508">
        <v>53.91</v>
      </c>
      <c r="P162" s="3509" t="s">
        <v>3679</v>
      </c>
      <c r="Q162" s="3509" t="s">
        <v>3681</v>
      </c>
    </row>
    <row r="163" spans="13:17">
      <c r="M163" s="3508">
        <v>162</v>
      </c>
      <c r="N163" s="3509" t="s">
        <v>3617</v>
      </c>
      <c r="O163" s="3508">
        <v>53.91</v>
      </c>
      <c r="P163" s="3509" t="s">
        <v>3679</v>
      </c>
      <c r="Q163" s="3509" t="s">
        <v>3681</v>
      </c>
    </row>
    <row r="164" spans="13:17">
      <c r="M164" s="3508">
        <v>163</v>
      </c>
      <c r="N164" s="3509" t="s">
        <v>3618</v>
      </c>
      <c r="O164" s="3508">
        <v>53.91</v>
      </c>
      <c r="P164" s="3509" t="s">
        <v>3679</v>
      </c>
      <c r="Q164" s="3509" t="s">
        <v>3681</v>
      </c>
    </row>
    <row r="165" spans="13:17">
      <c r="M165" s="3508">
        <v>164</v>
      </c>
      <c r="N165" s="3509" t="s">
        <v>3619</v>
      </c>
      <c r="O165" s="3508">
        <v>53.91</v>
      </c>
      <c r="P165" s="3509" t="s">
        <v>3679</v>
      </c>
      <c r="Q165" s="3509" t="s">
        <v>3681</v>
      </c>
    </row>
    <row r="166" spans="13:17">
      <c r="M166" s="3508">
        <v>165</v>
      </c>
      <c r="N166" s="3509" t="s">
        <v>3620</v>
      </c>
      <c r="O166" s="3508">
        <v>53.91</v>
      </c>
      <c r="P166" s="3509" t="s">
        <v>3679</v>
      </c>
      <c r="Q166" s="3509" t="s">
        <v>3681</v>
      </c>
    </row>
    <row r="167" spans="13:17">
      <c r="M167" s="3508">
        <v>166</v>
      </c>
      <c r="N167" s="3509" t="s">
        <v>3621</v>
      </c>
      <c r="O167" s="3508">
        <v>53.91</v>
      </c>
      <c r="P167" s="3509" t="s">
        <v>3679</v>
      </c>
      <c r="Q167" s="3509" t="s">
        <v>3681</v>
      </c>
    </row>
    <row r="168" spans="13:17">
      <c r="M168" s="3508">
        <v>167</v>
      </c>
      <c r="N168" s="3509" t="s">
        <v>3622</v>
      </c>
      <c r="O168" s="3508">
        <v>53.91</v>
      </c>
      <c r="P168" s="3509" t="s">
        <v>3679</v>
      </c>
      <c r="Q168" s="3509" t="s">
        <v>3681</v>
      </c>
    </row>
    <row r="169" spans="13:17">
      <c r="M169" s="3508">
        <v>168</v>
      </c>
      <c r="N169" s="3509" t="s">
        <v>3623</v>
      </c>
      <c r="O169" s="3508">
        <v>53.91</v>
      </c>
      <c r="P169" s="3509" t="s">
        <v>3679</v>
      </c>
      <c r="Q169" s="3509" t="s">
        <v>3681</v>
      </c>
    </row>
    <row r="170" spans="13:17">
      <c r="M170" s="3508">
        <v>169</v>
      </c>
      <c r="N170" s="3509" t="s">
        <v>3624</v>
      </c>
      <c r="O170" s="3508">
        <v>53.91</v>
      </c>
      <c r="P170" s="3509" t="s">
        <v>3679</v>
      </c>
      <c r="Q170" s="3509" t="s">
        <v>3681</v>
      </c>
    </row>
    <row r="171" spans="13:17">
      <c r="M171" s="3508">
        <v>170</v>
      </c>
      <c r="N171" s="3509" t="s">
        <v>3625</v>
      </c>
      <c r="O171" s="3508">
        <v>53.91</v>
      </c>
      <c r="P171" s="3509" t="s">
        <v>3679</v>
      </c>
      <c r="Q171" s="3509" t="s">
        <v>3681</v>
      </c>
    </row>
    <row r="172" spans="13:17">
      <c r="M172" s="3508">
        <v>171</v>
      </c>
      <c r="N172" s="3509" t="s">
        <v>3626</v>
      </c>
      <c r="O172" s="3508">
        <v>53.91</v>
      </c>
      <c r="P172" s="3509" t="s">
        <v>3679</v>
      </c>
      <c r="Q172" s="3509" t="s">
        <v>3681</v>
      </c>
    </row>
    <row r="173" spans="13:17">
      <c r="M173" s="3508">
        <v>172</v>
      </c>
      <c r="N173" s="3509" t="s">
        <v>3627</v>
      </c>
      <c r="O173" s="3508">
        <v>53.91</v>
      </c>
      <c r="P173" s="3509" t="s">
        <v>3679</v>
      </c>
      <c r="Q173" s="3509" t="s">
        <v>3681</v>
      </c>
    </row>
    <row r="174" spans="13:17">
      <c r="M174" s="3508">
        <v>173</v>
      </c>
      <c r="N174" s="3509" t="s">
        <v>3628</v>
      </c>
      <c r="O174" s="3508">
        <v>53.91</v>
      </c>
      <c r="P174" s="3509" t="s">
        <v>3679</v>
      </c>
      <c r="Q174" s="3509" t="s">
        <v>3681</v>
      </c>
    </row>
    <row r="175" spans="13:17">
      <c r="M175" s="3508">
        <v>174</v>
      </c>
      <c r="N175" s="3509" t="s">
        <v>3629</v>
      </c>
      <c r="O175" s="3508">
        <v>53.91</v>
      </c>
      <c r="P175" s="3509" t="s">
        <v>3679</v>
      </c>
      <c r="Q175" s="3509" t="s">
        <v>3681</v>
      </c>
    </row>
    <row r="176" spans="13:17">
      <c r="M176" s="3508">
        <v>175</v>
      </c>
      <c r="N176" s="3509" t="s">
        <v>3630</v>
      </c>
      <c r="O176" s="3508">
        <v>53.91</v>
      </c>
      <c r="P176" s="3509" t="s">
        <v>3679</v>
      </c>
      <c r="Q176" s="3509" t="s">
        <v>3681</v>
      </c>
    </row>
    <row r="177" spans="13:17">
      <c r="M177" s="3508">
        <v>176</v>
      </c>
      <c r="N177" s="3509" t="s">
        <v>3631</v>
      </c>
      <c r="O177" s="3508">
        <v>53.91</v>
      </c>
      <c r="P177" s="3509" t="s">
        <v>3679</v>
      </c>
      <c r="Q177" s="3509" t="s">
        <v>3681</v>
      </c>
    </row>
    <row r="178" spans="13:17">
      <c r="M178" s="3508">
        <v>177</v>
      </c>
      <c r="N178" s="3509" t="s">
        <v>3632</v>
      </c>
      <c r="O178" s="3508">
        <v>53.91</v>
      </c>
      <c r="P178" s="3509" t="s">
        <v>3679</v>
      </c>
      <c r="Q178" s="3509" t="s">
        <v>3681</v>
      </c>
    </row>
    <row r="179" spans="13:17">
      <c r="M179" s="3508">
        <v>178</v>
      </c>
      <c r="N179" s="3509" t="s">
        <v>3633</v>
      </c>
      <c r="O179" s="3508">
        <v>53.91</v>
      </c>
      <c r="P179" s="3509" t="s">
        <v>3679</v>
      </c>
      <c r="Q179" s="3509" t="s">
        <v>3681</v>
      </c>
    </row>
    <row r="180" spans="13:17">
      <c r="M180" s="3508">
        <v>179</v>
      </c>
      <c r="N180" s="3509" t="s">
        <v>3634</v>
      </c>
      <c r="O180" s="3508">
        <v>53.91</v>
      </c>
      <c r="P180" s="3509" t="s">
        <v>3679</v>
      </c>
      <c r="Q180" s="3509" t="s">
        <v>3681</v>
      </c>
    </row>
    <row r="181" spans="13:17">
      <c r="M181" s="3508">
        <v>180</v>
      </c>
      <c r="N181" s="3509" t="s">
        <v>3635</v>
      </c>
      <c r="O181" s="3508">
        <v>53.91</v>
      </c>
      <c r="P181" s="3509" t="s">
        <v>3679</v>
      </c>
      <c r="Q181" s="3509" t="s">
        <v>3681</v>
      </c>
    </row>
    <row r="182" spans="13:17">
      <c r="M182" s="3508">
        <v>181</v>
      </c>
      <c r="N182" s="3509" t="s">
        <v>3636</v>
      </c>
      <c r="O182" s="3508">
        <v>53.91</v>
      </c>
      <c r="P182" s="3509" t="s">
        <v>3679</v>
      </c>
      <c r="Q182" s="3509" t="s">
        <v>3681</v>
      </c>
    </row>
    <row r="183" spans="13:17">
      <c r="M183" s="3508">
        <v>182</v>
      </c>
      <c r="N183" s="3509" t="s">
        <v>3637</v>
      </c>
      <c r="O183" s="3508">
        <v>53.91</v>
      </c>
      <c r="P183" s="3509" t="s">
        <v>3679</v>
      </c>
      <c r="Q183" s="3509" t="s">
        <v>3681</v>
      </c>
    </row>
    <row r="184" spans="13:17">
      <c r="M184" s="3508">
        <v>183</v>
      </c>
      <c r="N184" s="3509" t="s">
        <v>3638</v>
      </c>
      <c r="O184" s="3508">
        <v>53.91</v>
      </c>
      <c r="P184" s="3509" t="s">
        <v>3679</v>
      </c>
      <c r="Q184" s="3509" t="s">
        <v>3681</v>
      </c>
    </row>
    <row r="185" spans="13:17">
      <c r="M185" s="3508">
        <v>184</v>
      </c>
      <c r="N185" s="3509" t="s">
        <v>3639</v>
      </c>
      <c r="O185" s="3508">
        <v>53.91</v>
      </c>
      <c r="P185" s="3509" t="s">
        <v>3679</v>
      </c>
      <c r="Q185" s="3509" t="s">
        <v>3681</v>
      </c>
    </row>
    <row r="186" spans="13:17">
      <c r="M186" s="3508">
        <v>185</v>
      </c>
      <c r="N186" s="3509" t="s">
        <v>3640</v>
      </c>
      <c r="O186" s="3508">
        <v>53.91</v>
      </c>
      <c r="P186" s="3509" t="s">
        <v>3679</v>
      </c>
      <c r="Q186" s="3509" t="s">
        <v>3681</v>
      </c>
    </row>
    <row r="187" spans="13:17">
      <c r="M187" s="3508">
        <v>186</v>
      </c>
      <c r="N187" s="3509" t="s">
        <v>3641</v>
      </c>
      <c r="O187" s="3508">
        <v>53.91</v>
      </c>
      <c r="P187" s="3509" t="s">
        <v>3679</v>
      </c>
      <c r="Q187" s="3509" t="s">
        <v>3681</v>
      </c>
    </row>
    <row r="188" spans="13:17">
      <c r="M188" s="3508">
        <v>187</v>
      </c>
      <c r="N188" s="3509" t="s">
        <v>3642</v>
      </c>
      <c r="O188" s="3508">
        <v>53.91</v>
      </c>
      <c r="P188" s="3509" t="s">
        <v>3679</v>
      </c>
      <c r="Q188" s="3509" t="s">
        <v>3681</v>
      </c>
    </row>
    <row r="189" spans="13:17">
      <c r="M189" s="3508">
        <v>188</v>
      </c>
      <c r="N189" s="3509" t="s">
        <v>3643</v>
      </c>
      <c r="O189" s="3508">
        <v>53.91</v>
      </c>
      <c r="P189" s="3509" t="s">
        <v>3679</v>
      </c>
      <c r="Q189" s="3509" t="s">
        <v>3681</v>
      </c>
    </row>
    <row r="190" spans="13:17">
      <c r="M190" s="3508">
        <v>189</v>
      </c>
      <c r="N190" s="3509" t="s">
        <v>3644</v>
      </c>
      <c r="O190" s="3508">
        <v>53.91</v>
      </c>
      <c r="P190" s="3509" t="s">
        <v>3679</v>
      </c>
      <c r="Q190" s="3509" t="s">
        <v>3681</v>
      </c>
    </row>
    <row r="191" spans="13:17">
      <c r="M191" s="3508">
        <v>190</v>
      </c>
      <c r="N191" s="3509" t="s">
        <v>3645</v>
      </c>
      <c r="O191" s="3508">
        <v>53.91</v>
      </c>
      <c r="P191" s="3509" t="s">
        <v>3679</v>
      </c>
      <c r="Q191" s="3509" t="s">
        <v>3681</v>
      </c>
    </row>
    <row r="192" spans="13:17">
      <c r="M192" s="3508">
        <v>191</v>
      </c>
      <c r="N192" s="3509" t="s">
        <v>3646</v>
      </c>
      <c r="O192" s="3508">
        <v>53.91</v>
      </c>
      <c r="P192" s="3509" t="s">
        <v>3679</v>
      </c>
      <c r="Q192" s="3509" t="s">
        <v>3681</v>
      </c>
    </row>
    <row r="193" spans="13:17">
      <c r="M193" s="3508">
        <v>192</v>
      </c>
      <c r="N193" s="3509" t="s">
        <v>3647</v>
      </c>
      <c r="O193" s="3508">
        <v>53.91</v>
      </c>
      <c r="P193" s="3509" t="s">
        <v>3679</v>
      </c>
      <c r="Q193" s="3509" t="s">
        <v>3681</v>
      </c>
    </row>
    <row r="194" spans="13:17">
      <c r="M194" s="3508">
        <v>193</v>
      </c>
      <c r="N194" s="3509" t="s">
        <v>3648</v>
      </c>
      <c r="O194" s="3508">
        <v>53.91</v>
      </c>
      <c r="P194" s="3509" t="s">
        <v>3679</v>
      </c>
      <c r="Q194" s="3509" t="s">
        <v>3681</v>
      </c>
    </row>
    <row r="195" spans="13:17">
      <c r="M195" s="3508">
        <v>194</v>
      </c>
      <c r="N195" s="3509" t="s">
        <v>3649</v>
      </c>
      <c r="O195" s="3508">
        <v>53.91</v>
      </c>
      <c r="P195" s="3509" t="s">
        <v>3679</v>
      </c>
      <c r="Q195" s="3509" t="s">
        <v>3681</v>
      </c>
    </row>
    <row r="196" spans="13:17">
      <c r="M196" s="3508">
        <v>195</v>
      </c>
      <c r="N196" s="3509" t="s">
        <v>3650</v>
      </c>
      <c r="O196" s="3508">
        <v>53.91</v>
      </c>
      <c r="P196" s="3509" t="s">
        <v>3679</v>
      </c>
      <c r="Q196" s="3509" t="s">
        <v>3681</v>
      </c>
    </row>
    <row r="197" spans="13:17">
      <c r="M197" s="3508">
        <v>196</v>
      </c>
      <c r="N197" s="3509" t="s">
        <v>3651</v>
      </c>
      <c r="O197" s="3508">
        <v>53.91</v>
      </c>
      <c r="P197" s="3509" t="s">
        <v>3679</v>
      </c>
      <c r="Q197" s="3509" t="s">
        <v>3681</v>
      </c>
    </row>
    <row r="198" spans="13:17">
      <c r="M198" s="3508">
        <v>197</v>
      </c>
      <c r="N198" s="3509" t="s">
        <v>3652</v>
      </c>
      <c r="O198" s="3508">
        <v>53.91</v>
      </c>
      <c r="P198" s="3509" t="s">
        <v>3679</v>
      </c>
      <c r="Q198" s="3509" t="s">
        <v>3681</v>
      </c>
    </row>
    <row r="199" spans="13:17">
      <c r="M199" s="3508">
        <v>198</v>
      </c>
      <c r="N199" s="3509" t="s">
        <v>3653</v>
      </c>
      <c r="O199" s="3508">
        <v>53.91</v>
      </c>
      <c r="P199" s="3509" t="s">
        <v>3679</v>
      </c>
      <c r="Q199" s="3509" t="s">
        <v>3681</v>
      </c>
    </row>
    <row r="200" spans="13:17">
      <c r="M200" s="3508">
        <v>199</v>
      </c>
      <c r="N200" s="3509" t="s">
        <v>3654</v>
      </c>
      <c r="O200" s="3508">
        <v>53.91</v>
      </c>
      <c r="P200" s="3509" t="s">
        <v>3679</v>
      </c>
      <c r="Q200" s="3509" t="s">
        <v>3681</v>
      </c>
    </row>
    <row r="201" spans="13:17">
      <c r="M201" s="3508">
        <v>200</v>
      </c>
      <c r="N201" s="3509" t="s">
        <v>3655</v>
      </c>
      <c r="O201" s="3508">
        <v>53.91</v>
      </c>
      <c r="P201" s="3509" t="s">
        <v>3679</v>
      </c>
      <c r="Q201" s="3509" t="s">
        <v>3681</v>
      </c>
    </row>
    <row r="202" spans="13:17">
      <c r="M202" s="3508">
        <v>201</v>
      </c>
      <c r="N202" s="3509" t="s">
        <v>3656</v>
      </c>
      <c r="O202" s="3508">
        <v>53.91</v>
      </c>
      <c r="P202" s="3509" t="s">
        <v>3679</v>
      </c>
      <c r="Q202" s="3509" t="s">
        <v>3681</v>
      </c>
    </row>
    <row r="203" spans="13:17">
      <c r="M203" s="3508">
        <v>202</v>
      </c>
      <c r="N203" s="3509" t="s">
        <v>3657</v>
      </c>
      <c r="O203" s="3508">
        <v>53.91</v>
      </c>
      <c r="P203" s="3509" t="s">
        <v>3679</v>
      </c>
      <c r="Q203" s="3509" t="s">
        <v>3681</v>
      </c>
    </row>
    <row r="204" spans="13:17">
      <c r="M204" s="3508">
        <v>203</v>
      </c>
      <c r="N204" s="3509" t="s">
        <v>3658</v>
      </c>
      <c r="O204" s="3508">
        <v>53.91</v>
      </c>
      <c r="P204" s="3509" t="s">
        <v>3679</v>
      </c>
      <c r="Q204" s="3509" t="s">
        <v>3681</v>
      </c>
    </row>
    <row r="205" spans="13:17">
      <c r="M205" s="3508">
        <v>204</v>
      </c>
      <c r="N205" s="3509" t="s">
        <v>3659</v>
      </c>
      <c r="O205" s="3508">
        <v>53.91</v>
      </c>
      <c r="P205" s="3509" t="s">
        <v>3679</v>
      </c>
      <c r="Q205" s="3509" t="s">
        <v>3681</v>
      </c>
    </row>
    <row r="206" spans="13:17">
      <c r="M206" s="3508">
        <v>205</v>
      </c>
      <c r="N206" s="3509" t="s">
        <v>3660</v>
      </c>
      <c r="O206" s="3508">
        <v>53.91</v>
      </c>
      <c r="P206" s="3509" t="s">
        <v>3679</v>
      </c>
      <c r="Q206" s="3509" t="s">
        <v>3681</v>
      </c>
    </row>
    <row r="207" spans="13:17">
      <c r="M207" s="3508">
        <v>206</v>
      </c>
      <c r="N207" s="3509" t="s">
        <v>3661</v>
      </c>
      <c r="O207" s="3508">
        <v>53.91</v>
      </c>
      <c r="P207" s="3509" t="s">
        <v>3679</v>
      </c>
      <c r="Q207" s="3509" t="s">
        <v>3681</v>
      </c>
    </row>
    <row r="208" spans="13:17">
      <c r="M208" s="3508">
        <v>207</v>
      </c>
      <c r="N208" s="3509" t="s">
        <v>3662</v>
      </c>
      <c r="O208" s="3508">
        <v>53.91</v>
      </c>
      <c r="P208" s="3509" t="s">
        <v>3679</v>
      </c>
      <c r="Q208" s="3509" t="s">
        <v>3681</v>
      </c>
    </row>
    <row r="209" spans="13:17">
      <c r="M209" s="3508">
        <v>208</v>
      </c>
      <c r="N209" s="3509" t="s">
        <v>3663</v>
      </c>
      <c r="O209" s="3508">
        <v>53.91</v>
      </c>
      <c r="P209" s="3509" t="s">
        <v>3679</v>
      </c>
      <c r="Q209" s="3509" t="s">
        <v>3681</v>
      </c>
    </row>
    <row r="210" spans="13:17">
      <c r="M210" s="3508">
        <v>209</v>
      </c>
      <c r="N210" s="3509" t="s">
        <v>3664</v>
      </c>
      <c r="O210" s="3508">
        <v>53.91</v>
      </c>
      <c r="P210" s="3509" t="s">
        <v>3679</v>
      </c>
      <c r="Q210" s="3509" t="s">
        <v>3681</v>
      </c>
    </row>
    <row r="211" spans="13:17">
      <c r="M211" s="3508">
        <v>210</v>
      </c>
      <c r="N211" s="3509" t="s">
        <v>3665</v>
      </c>
      <c r="O211" s="3508">
        <v>53.91</v>
      </c>
      <c r="P211" s="3509" t="s">
        <v>3679</v>
      </c>
      <c r="Q211" s="3509" t="s">
        <v>3681</v>
      </c>
    </row>
    <row r="212" spans="13:17">
      <c r="M212" s="3508">
        <v>211</v>
      </c>
      <c r="N212" s="3509" t="s">
        <v>3666</v>
      </c>
      <c r="O212" s="3508">
        <v>53.91</v>
      </c>
      <c r="P212" s="3509" t="s">
        <v>3679</v>
      </c>
      <c r="Q212" s="3509" t="s">
        <v>3681</v>
      </c>
    </row>
    <row r="213" spans="13:17">
      <c r="M213" s="3508">
        <v>212</v>
      </c>
      <c r="N213" s="3509" t="s">
        <v>3667</v>
      </c>
      <c r="O213" s="3508">
        <v>53.91</v>
      </c>
      <c r="P213" s="3509" t="s">
        <v>3679</v>
      </c>
      <c r="Q213" s="3509" t="s">
        <v>3681</v>
      </c>
    </row>
    <row r="214" spans="13:17">
      <c r="M214" s="3508">
        <v>213</v>
      </c>
      <c r="N214" s="3509" t="s">
        <v>3668</v>
      </c>
      <c r="O214" s="3508">
        <v>53.91</v>
      </c>
      <c r="P214" s="3509" t="s">
        <v>3679</v>
      </c>
      <c r="Q214" s="3509" t="s">
        <v>3681</v>
      </c>
    </row>
    <row r="215" spans="13:17">
      <c r="M215" s="3508">
        <v>214</v>
      </c>
      <c r="N215" s="3509" t="s">
        <v>3669</v>
      </c>
      <c r="O215" s="3508">
        <v>53.91</v>
      </c>
      <c r="P215" s="3509" t="s">
        <v>3679</v>
      </c>
      <c r="Q215" s="3509" t="s">
        <v>3681</v>
      </c>
    </row>
    <row r="216" spans="13:17">
      <c r="M216" s="3508">
        <v>215</v>
      </c>
      <c r="N216" s="3509" t="s">
        <v>3670</v>
      </c>
      <c r="O216" s="3508">
        <v>53.91</v>
      </c>
      <c r="P216" s="3509" t="s">
        <v>3679</v>
      </c>
      <c r="Q216" s="3509" t="s">
        <v>3681</v>
      </c>
    </row>
    <row r="217" spans="13:17">
      <c r="M217" s="3508">
        <v>216</v>
      </c>
      <c r="N217" s="3509" t="s">
        <v>3671</v>
      </c>
      <c r="O217" s="3508">
        <v>53.91</v>
      </c>
      <c r="P217" s="3509" t="s">
        <v>3679</v>
      </c>
      <c r="Q217" s="3509" t="s">
        <v>3681</v>
      </c>
    </row>
    <row r="218" spans="13:17">
      <c r="M218" s="3508">
        <v>217</v>
      </c>
      <c r="N218" s="3509" t="s">
        <v>3672</v>
      </c>
      <c r="O218" s="3508">
        <v>53.91</v>
      </c>
      <c r="P218" s="3509" t="s">
        <v>3679</v>
      </c>
      <c r="Q218" s="3509" t="s">
        <v>3681</v>
      </c>
    </row>
    <row r="219" spans="13:17">
      <c r="M219" s="3508">
        <v>218</v>
      </c>
      <c r="N219" s="3509" t="s">
        <v>3673</v>
      </c>
      <c r="O219" s="3508">
        <v>53.91</v>
      </c>
      <c r="P219" s="3509" t="s">
        <v>3679</v>
      </c>
      <c r="Q219" s="3509" t="s">
        <v>3681</v>
      </c>
    </row>
    <row r="220" spans="13:17">
      <c r="M220" s="3508">
        <v>219</v>
      </c>
      <c r="N220" s="3509" t="s">
        <v>3674</v>
      </c>
      <c r="O220" s="3508">
        <v>53.91</v>
      </c>
      <c r="P220" s="3509" t="s">
        <v>3679</v>
      </c>
      <c r="Q220" s="3509" t="s">
        <v>3681</v>
      </c>
    </row>
    <row r="221" spans="13:17">
      <c r="M221" s="3508">
        <v>220</v>
      </c>
      <c r="N221" s="3509" t="s">
        <v>3675</v>
      </c>
      <c r="O221" s="3508">
        <v>53.91</v>
      </c>
      <c r="P221" s="3509" t="s">
        <v>3679</v>
      </c>
      <c r="Q221" s="3509" t="s">
        <v>3681</v>
      </c>
    </row>
    <row r="222" spans="13:17">
      <c r="M222" s="3508">
        <v>221</v>
      </c>
      <c r="N222" s="3509" t="s">
        <v>3676</v>
      </c>
      <c r="O222" s="3508">
        <v>53.91</v>
      </c>
      <c r="P222" s="3509" t="s">
        <v>3679</v>
      </c>
      <c r="Q222" s="3509" t="s">
        <v>3681</v>
      </c>
    </row>
    <row r="223" spans="13:17">
      <c r="M223" s="3508">
        <v>222</v>
      </c>
      <c r="N223" s="3509" t="s">
        <v>3677</v>
      </c>
      <c r="O223" s="3508">
        <v>53.91</v>
      </c>
      <c r="P223" s="3509" t="s">
        <v>3679</v>
      </c>
      <c r="Q223" s="3509" t="s">
        <v>3681</v>
      </c>
    </row>
    <row r="224" spans="13:17">
      <c r="M224" s="3508">
        <v>223</v>
      </c>
      <c r="N224" s="3509" t="s">
        <v>3678</v>
      </c>
      <c r="O224" s="3508">
        <v>53.91</v>
      </c>
      <c r="P224" s="3509" t="s">
        <v>3679</v>
      </c>
      <c r="Q224" s="3509" t="s">
        <v>3681</v>
      </c>
    </row>
    <row r="225" spans="13:17">
      <c r="M225" s="3508"/>
      <c r="N225" s="3509" t="s">
        <v>3682</v>
      </c>
      <c r="O225" s="3508">
        <f>SUM(O2:O224)</f>
        <v>12021.929999999975</v>
      </c>
      <c r="P225" s="3508"/>
      <c r="Q225" s="3508"/>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18" sqref="K1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1" t="s">
        <v>1131</v>
      </c>
      <c r="B2" s="3251"/>
      <c r="C2" s="3251"/>
      <c r="D2" s="748" t="s">
        <v>1107</v>
      </c>
      <c r="E2" s="1523" t="s">
        <v>1108</v>
      </c>
      <c r="F2" s="2438"/>
      <c r="G2" s="2431"/>
      <c r="H2" s="2432"/>
      <c r="I2" s="2146" t="s">
        <v>1132</v>
      </c>
      <c r="J2" s="2438"/>
      <c r="K2" s="2438"/>
      <c r="L2" s="2438"/>
      <c r="M2" s="2438"/>
      <c r="N2" s="2439"/>
      <c r="O2" s="2438"/>
      <c r="P2" s="2438"/>
    </row>
    <row r="3" spans="1:16" ht="15.75" thickBot="1">
      <c r="A3" s="3252" t="s">
        <v>1105</v>
      </c>
      <c r="B3" s="3252"/>
      <c r="C3" s="3252"/>
      <c r="D3" s="41">
        <f>'数据-基础表'!AY6</f>
        <v>0</v>
      </c>
      <c r="E3" s="41">
        <f>'数据-基础表'!AZ5</f>
        <v>12021.93</v>
      </c>
      <c r="F3" s="2438"/>
      <c r="G3" s="42"/>
      <c r="H3" s="43" t="s">
        <v>1106</v>
      </c>
      <c r="I3" s="802" t="e">
        <f>ROUND('数据-基础表'!B3/'数据-基础表'!A3,2)</f>
        <v>#DIV/0!</v>
      </c>
      <c r="J3" s="2438"/>
      <c r="K3" s="2438"/>
      <c r="L3" s="2438"/>
      <c r="M3" s="2438"/>
      <c r="N3" s="2439"/>
      <c r="O3" s="2438"/>
      <c r="P3" s="2438"/>
    </row>
    <row r="4" spans="1:16" ht="15">
      <c r="A4" s="3253"/>
      <c r="B4" s="3254"/>
      <c r="C4" s="325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6" t="s">
        <v>1110</v>
      </c>
      <c r="C5" s="325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6" t="s">
        <v>1111</v>
      </c>
      <c r="C6" s="3256"/>
      <c r="D6" s="43">
        <f>ROUND($D$3*E6/$E$3,2)</f>
        <v>0</v>
      </c>
      <c r="E6" s="44">
        <f>E3-E5</f>
        <v>12021.93</v>
      </c>
      <c r="F6" s="2438"/>
      <c r="G6" s="1529" t="s">
        <v>1112</v>
      </c>
      <c r="H6" s="45" t="s">
        <v>1113</v>
      </c>
      <c r="I6" s="2434" t="e">
        <f>ROUND(F31/D31,2)</f>
        <v>#DIV/0!</v>
      </c>
      <c r="J6" s="2438"/>
      <c r="K6" s="2438"/>
      <c r="L6" s="2438"/>
      <c r="M6" s="2438"/>
      <c r="N6" s="2438"/>
      <c r="O6" s="2438"/>
      <c r="P6" s="2438"/>
    </row>
    <row r="7" spans="1:16" ht="15.75" thickBot="1">
      <c r="A7" s="3248"/>
      <c r="B7" s="3249"/>
      <c r="C7" s="3250"/>
      <c r="D7" s="1524" t="s">
        <v>1107</v>
      </c>
      <c r="E7" s="1528" t="s">
        <v>1114</v>
      </c>
      <c r="F7" s="2438"/>
      <c r="G7" s="2435" t="s">
        <v>1115</v>
      </c>
      <c r="H7" s="95"/>
      <c r="I7" s="2436">
        <f>基准地价修正!C21</f>
        <v>3.5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12021.93</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12021.93</v>
      </c>
      <c r="F16" s="2438"/>
      <c r="G16" s="2438"/>
      <c r="H16" s="1531" t="s">
        <v>1135</v>
      </c>
      <c r="I16" s="1532"/>
      <c r="J16" s="1071"/>
      <c r="K16" s="3245" t="s">
        <v>1135</v>
      </c>
      <c r="L16" s="3246"/>
      <c r="M16" s="3246"/>
      <c r="N16" s="3246"/>
      <c r="O16" s="3246"/>
      <c r="P16" s="3247"/>
    </row>
    <row r="17" spans="1:19" ht="15">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3417</v>
      </c>
      <c r="D19" s="43">
        <f>ROUND($D$3*E19/$E$3,2)</f>
        <v>0</v>
      </c>
      <c r="E19" s="51">
        <f t="shared" ref="E19:E26" si="1">SUM(F19:G19)</f>
        <v>12021.93</v>
      </c>
      <c r="F19" s="2557"/>
      <c r="G19" s="1243">
        <f>'数据-基础表'!I13</f>
        <v>12021.93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12021.93</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12021.93</v>
      </c>
      <c r="F27" s="1072">
        <f>IF(SUM(F19:F26)=E8,SUM(F19:F26),"地上面积有误")</f>
        <v>0</v>
      </c>
      <c r="G27" s="1074">
        <f>SUM(G19:G26)</f>
        <v>12021.93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12021.93</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12021.93</v>
      </c>
      <c r="F31" s="644">
        <f>F27+F30</f>
        <v>0</v>
      </c>
      <c r="G31" s="645">
        <f>G27+G30</f>
        <v>12021.93</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O18" sqref="AO1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9.3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45854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地下车库</v>
      </c>
      <c r="B6" s="1587" t="str">
        <f>IF(A6=0,"","经营性")</f>
        <v>经营性</v>
      </c>
      <c r="C6" s="1588" t="s">
        <v>3324</v>
      </c>
      <c r="D6" s="805">
        <f>SUMIF(项目基本情况!C$12:I$12,C6,项目基本情况!C$14:I$14)</f>
        <v>50</v>
      </c>
      <c r="E6" s="804">
        <f>IF(B6="","",SUMIF(项目基本情况!C$12:I$12,C6,项目基本情况!C$13:I$13))</f>
        <v>57896</v>
      </c>
      <c r="F6" s="61">
        <f>SUMIF(项目基本情况!C$12:I$12,C6,项目基本情况!C$15:I$15)</f>
        <v>32.99</v>
      </c>
      <c r="G6" s="62">
        <f>IF(ISERROR(ROUND(POWER(1+H6,D6-F6)*(POWER(1+H6,F6)-1)/(POWER(1+H6,D6)-1),3)),0,ROUND(POWER(1+H6,D6-F6)*(POWER(1+H6,F6)-1)/(POWER(1+H6,D6)-1),3))</f>
        <v>0.86099999999999999</v>
      </c>
      <c r="H6" s="691">
        <v>4.4999999999999998E-2</v>
      </c>
      <c r="I6" s="691">
        <v>0.05</v>
      </c>
      <c r="J6" s="63">
        <v>7.0000000000000007E-2</v>
      </c>
      <c r="K6" s="970">
        <f>SUMIF('数据-汇总表'!C$19:C$33,A6,'数据-汇总表'!E$19:E$33)</f>
        <v>12021.93</v>
      </c>
      <c r="L6" s="692">
        <v>5000</v>
      </c>
      <c r="M6" s="64">
        <f t="shared" ref="M6:M14" si="0">ROUND(K6*L6/10000,0)</f>
        <v>6011</v>
      </c>
      <c r="N6" s="690">
        <f>ROUND(1-(2025-2010)/60,2)</f>
        <v>0.75</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v>1600</v>
      </c>
      <c r="V6" s="67">
        <v>1.4999999999999999E-2</v>
      </c>
      <c r="W6" s="67">
        <v>0.1</v>
      </c>
      <c r="X6" s="979"/>
      <c r="Y6" s="68">
        <f>N6</f>
        <v>0.75</v>
      </c>
      <c r="Z6" s="69"/>
      <c r="AA6" s="63"/>
      <c r="AB6" s="63"/>
      <c r="AC6" s="979"/>
      <c r="AD6" s="70"/>
      <c r="AE6" s="980">
        <f ca="1">IF(AN6="",0,SUMIF(INDIRECT("'"&amp;AN6&amp;"'"&amp;"!E:E"),$AE$5,INDIRECT("'"&amp;AN6&amp;"'"&amp;"!F:F")))</f>
        <v>32.99</v>
      </c>
      <c r="AF6" s="74"/>
      <c r="AG6" s="130">
        <f>IF(AF6="",0,AE6-AF6)</f>
        <v>0</v>
      </c>
      <c r="AH6" s="71">
        <v>223</v>
      </c>
      <c r="AI6" s="73">
        <v>12</v>
      </c>
      <c r="AJ6" s="74"/>
      <c r="AK6" s="75">
        <v>2E-3</v>
      </c>
      <c r="AL6" s="76">
        <v>1E-3</v>
      </c>
      <c r="AM6" s="77">
        <v>0.01</v>
      </c>
      <c r="AN6" s="1589" t="s">
        <v>3419</v>
      </c>
      <c r="AO6" s="50">
        <f ca="1">SUMIF(INDIRECT("'"&amp;AN6&amp;"'"&amp;"!A:A"),"总价",INDIRECT("'"&amp;AN6&amp;"'"&amp;"!B:B"))</f>
        <v>5966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3396</v>
      </c>
      <c r="D7" s="805">
        <f>SUMIF(项目基本情况!C$12:I$12,C7,项目基本情况!C$14:I$14)</f>
        <v>70</v>
      </c>
      <c r="E7" s="804" t="str">
        <f>IF(B7="","",SUMIF(项目基本情况!C$12:I$12,C7,项目基本情况!C$13:I$13))</f>
        <v/>
      </c>
      <c r="F7" s="61">
        <f>SUMIF(项目基本情况!C$12:I$12,C7,项目基本情况!C$15:I$15)</f>
        <v>53</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t="s">
        <v>673</v>
      </c>
      <c r="D8" s="805">
        <f>SUMIF(项目基本情况!C$12:I$12,C8,项目基本情况!C$14:I$14)</f>
        <v>40</v>
      </c>
      <c r="E8" s="804" t="str">
        <f>IF(B8="","",SUMIF(项目基本情况!C$12:I$12,C8,项目基本情况!C$13:I$13))</f>
        <v/>
      </c>
      <c r="F8" s="61">
        <f>SUMIF(项目基本情况!C$12:I$12,C8,项目基本情况!C$15:I$15)</f>
        <v>22.98</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t="s">
        <v>21</v>
      </c>
      <c r="D9" s="805">
        <f>SUMIF(项目基本情况!C$12:I$12,C9,项目基本情况!C$14:I$14)</f>
        <v>50</v>
      </c>
      <c r="E9" s="804" t="str">
        <f>IF(B9="","",SUMIF(项目基本情况!C$12:I$12,C9,项目基本情况!C$13:I$13))</f>
        <v/>
      </c>
      <c r="F9" s="61">
        <f>SUMIF(项目基本情况!C$12:I$12,C9,项目基本情况!C$15:I$15)</f>
        <v>32.99</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0.86099999999999999</v>
      </c>
      <c r="H16" s="84">
        <f>ROUND(SUMPRODUCT(H6:H13,K6:K13)/SUMPRODUCT((H6:H13&gt;0)*(K6:K13)),3)</f>
        <v>4.4999999999999998E-2</v>
      </c>
      <c r="I16" s="85"/>
      <c r="J16" s="85"/>
      <c r="K16" s="86">
        <f>SUM(K6:K15)</f>
        <v>12021.93</v>
      </c>
      <c r="L16" s="87">
        <f>ROUND(M16*10000/SUM(K6:K14),0)</f>
        <v>5000</v>
      </c>
      <c r="M16" s="87">
        <f>SUM(M6:M14)</f>
        <v>6011</v>
      </c>
      <c r="N16" s="88">
        <f>ROUND(SUMPRODUCT(M6:M14,N6:N14)/M16,3)</f>
        <v>0.75</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v>53.91</v>
      </c>
      <c r="V21" s="2448">
        <v>1600</v>
      </c>
      <c r="W21" s="2448">
        <f>V21/U21/30</f>
        <v>0.98930315958696591</v>
      </c>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240</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3373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3391</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3374</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3375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3376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184</v>
      </c>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7" t="s">
        <v>2277</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45854</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0</v>
      </c>
      <c r="C5" s="2300">
        <f ca="1">IF(B5=D14,结果表!H102,ROUND(B5*10000/$B$1,0))</f>
        <v>5841</v>
      </c>
      <c r="D5" s="2300" t="e">
        <f>ROUND(B5*10000/$B$2,0)</f>
        <v>#DIV/0!</v>
      </c>
      <c r="E5" s="2461"/>
      <c r="F5" s="2462"/>
      <c r="G5" s="2462"/>
      <c r="H5" s="2462"/>
      <c r="I5" s="2462"/>
      <c r="J5" s="2462"/>
      <c r="K5" s="2462"/>
    </row>
    <row r="6" spans="1:11" ht="16.5">
      <c r="A6" s="2300" t="s">
        <v>656</v>
      </c>
      <c r="B6" s="2300">
        <f>SUM(G14:G23)</f>
        <v>0</v>
      </c>
      <c r="C6" s="2300">
        <f ca="1">IF(B6=G14,结果表!H108,ROUND(B6*10000/$B$1,0))</f>
        <v>5841</v>
      </c>
      <c r="D6" s="2300" t="e">
        <f>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3346</v>
      </c>
      <c r="D10" s="2300" t="s">
        <v>3347</v>
      </c>
      <c r="E10" s="3136"/>
      <c r="F10" s="3140" t="s">
        <v>3348</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c r="C14" s="2306"/>
      <c r="D14" s="2306"/>
      <c r="E14" s="2306" t="e">
        <f>ROUND(D14*10000/B14,0)</f>
        <v>#DIV/0!</v>
      </c>
      <c r="F14" s="2306" t="e">
        <f>ROUND(D14*10000/C14,0)</f>
        <v>#DIV/0!</v>
      </c>
      <c r="G14" s="2306"/>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2" zoomScaleNormal="100" zoomScaleSheetLayoutView="100" zoomScalePageLayoutView="80" workbookViewId="0">
      <selection activeCell="N61" sqref="N6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3450</v>
      </c>
      <c r="H1" s="1621" t="str">
        <f>IF(G1="现房","——","估价对象范围")</f>
        <v>——</v>
      </c>
      <c r="I1" s="1622" t="s">
        <v>3451</v>
      </c>
    </row>
    <row r="2" spans="1:12" ht="21.75" customHeight="1" thickBot="1">
      <c r="A2" s="3293" t="str">
        <f>项目基本情况!S2</f>
        <v>北京市房地产</v>
      </c>
      <c r="B2" s="3294"/>
      <c r="C2" s="3294"/>
      <c r="D2" s="3294"/>
      <c r="E2" s="3294"/>
      <c r="F2" s="3294"/>
      <c r="G2" s="3294"/>
      <c r="H2" s="3294"/>
      <c r="I2" s="3295"/>
    </row>
    <row r="3" spans="1:12" ht="12.75">
      <c r="A3" s="3297" t="s">
        <v>1264</v>
      </c>
      <c r="B3" s="3298"/>
      <c r="C3" s="3298"/>
      <c r="D3" s="3298"/>
      <c r="E3" s="3298"/>
      <c r="F3" s="3298"/>
      <c r="G3" s="3298"/>
      <c r="H3" s="3298"/>
      <c r="I3" s="3298"/>
    </row>
    <row r="4" spans="1:12" ht="14.25">
      <c r="A4" s="1624" t="s">
        <v>1265</v>
      </c>
      <c r="B4" s="1625" t="s">
        <v>1266</v>
      </c>
      <c r="C4" s="1626" t="s">
        <v>3442</v>
      </c>
      <c r="D4" s="1626" t="s">
        <v>3419</v>
      </c>
      <c r="E4" s="3299" t="s">
        <v>1267</v>
      </c>
      <c r="F4" s="3300"/>
      <c r="G4" s="3300"/>
      <c r="H4" s="3300"/>
      <c r="I4" s="330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3" t="s">
        <v>1268</v>
      </c>
      <c r="B5" s="3260">
        <v>25</v>
      </c>
      <c r="C5" s="3276"/>
      <c r="D5" s="3296"/>
      <c r="E5" s="123" t="s">
        <v>1269</v>
      </c>
      <c r="F5" s="1627"/>
      <c r="G5" s="1627"/>
      <c r="H5" s="1627"/>
      <c r="I5" s="1281"/>
    </row>
    <row r="6" spans="1:12" ht="12.75">
      <c r="A6" s="3273"/>
      <c r="B6" s="3260"/>
      <c r="C6" s="3277"/>
      <c r="D6" s="3296"/>
      <c r="E6" s="123" t="s">
        <v>1270</v>
      </c>
      <c r="F6" s="1627"/>
      <c r="G6" s="1627"/>
      <c r="H6" s="1627"/>
      <c r="I6" s="1281"/>
    </row>
    <row r="7" spans="1:12" ht="12.75">
      <c r="A7" s="3273"/>
      <c r="B7" s="3260"/>
      <c r="C7" s="3278"/>
      <c r="D7" s="3296"/>
      <c r="E7" s="123" t="s">
        <v>1271</v>
      </c>
      <c r="F7" s="1627"/>
      <c r="G7" s="1627"/>
      <c r="H7" s="1627"/>
      <c r="I7" s="1281"/>
    </row>
    <row r="8" spans="1:12" ht="12.75">
      <c r="A8" s="3273" t="s">
        <v>1272</v>
      </c>
      <c r="B8" s="3260">
        <v>15</v>
      </c>
      <c r="C8" s="3276"/>
      <c r="D8" s="3296"/>
      <c r="E8" s="123" t="s">
        <v>1273</v>
      </c>
      <c r="F8" s="1627"/>
      <c r="G8" s="1627"/>
      <c r="H8" s="1627"/>
      <c r="I8" s="1281"/>
    </row>
    <row r="9" spans="1:12" ht="12.75">
      <c r="A9" s="3273"/>
      <c r="B9" s="3260"/>
      <c r="C9" s="3278"/>
      <c r="D9" s="3296"/>
      <c r="E9" s="123" t="s">
        <v>1274</v>
      </c>
      <c r="F9" s="1627"/>
      <c r="G9" s="1627"/>
      <c r="H9" s="1627"/>
      <c r="I9" s="1281"/>
    </row>
    <row r="10" spans="1:12" ht="12.75">
      <c r="A10" s="3273" t="s">
        <v>1275</v>
      </c>
      <c r="B10" s="3260">
        <v>15</v>
      </c>
      <c r="C10" s="3276"/>
      <c r="D10" s="3296"/>
      <c r="E10" s="123" t="s">
        <v>1276</v>
      </c>
      <c r="F10" s="1627"/>
      <c r="G10" s="1627"/>
      <c r="H10" s="1627"/>
      <c r="I10" s="1281"/>
    </row>
    <row r="11" spans="1:12" ht="12.75">
      <c r="A11" s="3273"/>
      <c r="B11" s="3260"/>
      <c r="C11" s="3278"/>
      <c r="D11" s="3296"/>
      <c r="E11" s="123" t="s">
        <v>1277</v>
      </c>
      <c r="F11" s="1627"/>
      <c r="G11" s="1627"/>
      <c r="H11" s="1627"/>
      <c r="I11" s="1281"/>
    </row>
    <row r="12" spans="1:12" ht="12.75">
      <c r="A12" s="3273" t="s">
        <v>1278</v>
      </c>
      <c r="B12" s="3260">
        <v>15</v>
      </c>
      <c r="C12" s="3276"/>
      <c r="D12" s="3296"/>
      <c r="E12" s="123" t="s">
        <v>1279</v>
      </c>
      <c r="F12" s="1627"/>
      <c r="G12" s="1627"/>
      <c r="H12" s="1627"/>
      <c r="I12" s="1281"/>
    </row>
    <row r="13" spans="1:12" ht="12.75">
      <c r="A13" s="3273"/>
      <c r="B13" s="3260"/>
      <c r="C13" s="3278"/>
      <c r="D13" s="3296"/>
      <c r="E13" s="123" t="s">
        <v>1280</v>
      </c>
      <c r="F13" s="1627"/>
      <c r="G13" s="1627"/>
      <c r="H13" s="1627"/>
      <c r="I13" s="1281"/>
    </row>
    <row r="14" spans="1:12" ht="12.75">
      <c r="A14" s="3273" t="s">
        <v>1281</v>
      </c>
      <c r="B14" s="3260">
        <v>30</v>
      </c>
      <c r="C14" s="3276">
        <v>4</v>
      </c>
      <c r="D14" s="3296">
        <v>6</v>
      </c>
      <c r="E14" s="123" t="s">
        <v>1282</v>
      </c>
      <c r="F14" s="1627"/>
      <c r="G14" s="1627"/>
      <c r="H14" s="1627"/>
      <c r="I14" s="1281"/>
    </row>
    <row r="15" spans="1:12" ht="12.75">
      <c r="A15" s="3273"/>
      <c r="B15" s="3260"/>
      <c r="C15" s="3277"/>
      <c r="D15" s="3296"/>
      <c r="E15" s="123" t="s">
        <v>1283</v>
      </c>
      <c r="F15" s="1627"/>
      <c r="G15" s="1627"/>
      <c r="H15" s="1627"/>
      <c r="I15" s="1281"/>
    </row>
    <row r="16" spans="1:12" ht="12.75">
      <c r="A16" s="3273"/>
      <c r="B16" s="3260"/>
      <c r="C16" s="3278"/>
      <c r="D16" s="3296"/>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83" t="s">
        <v>2131</v>
      </c>
      <c r="F18" s="3284"/>
      <c r="G18" s="3284"/>
      <c r="H18" s="3284"/>
      <c r="I18" s="3284"/>
      <c r="K18" s="294" t="s">
        <v>1289</v>
      </c>
      <c r="L18" s="294">
        <f>IF(C1="",'数据-汇总表'!E3,SUMIF(项目类型,C1,'数据-汇总表'!E17:E26)+SUMIF(项目类型,C1,'数据-汇总表'!I17:I26))</f>
        <v>12021.93</v>
      </c>
      <c r="M18" s="294">
        <f>IF(C1="",'数据-汇总表'!E3,SUMIF(项目类型,C1,'数据-汇总表'!E17:E26))</f>
        <v>12021.93</v>
      </c>
    </row>
    <row r="19" spans="1:36" ht="15">
      <c r="A19" s="1630" t="s">
        <v>1290</v>
      </c>
      <c r="B19" s="1631" t="s">
        <v>1291</v>
      </c>
      <c r="C19" s="126">
        <f ca="1">SUMIF(INDIRECT("'"&amp;C4&amp;"'"&amp;"!A:A"),结果表!B19,INDIRECT("'"&amp;C4&amp;"'"&amp;"!B:B"))</f>
        <v>8606</v>
      </c>
      <c r="D19" s="127">
        <f ca="1">SUMIF(INDIRECT("'"&amp;D4&amp;"'"&amp;"!A:A"),结果表!B19,INDIRECT("'"&amp;D4&amp;"'"&amp;"!B:B"))</f>
        <v>5966</v>
      </c>
      <c r="E19" s="1630" t="s">
        <v>1292</v>
      </c>
      <c r="F19" s="1631" t="s">
        <v>1291</v>
      </c>
      <c r="G19" s="128">
        <f ca="1">ROUND(C19*$C$18+D19*$D$18,0)</f>
        <v>7022</v>
      </c>
      <c r="H19" s="1632" t="s">
        <v>1293</v>
      </c>
      <c r="I19" s="121">
        <f>ROUND(L18*0.85,0)</f>
        <v>10219</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7159</v>
      </c>
      <c r="D20" s="130">
        <f ca="1">SUMIF(INDIRECT("'"&amp;D4&amp;"'"&amp;"!A:A"),结果表!B20,INDIRECT("'"&amp;D4&amp;"'"&amp;"!B:B"))</f>
        <v>4963</v>
      </c>
      <c r="E20" s="1633"/>
      <c r="F20" s="43" t="s">
        <v>1295</v>
      </c>
      <c r="G20" s="131">
        <f ca="1">ROUND(C20*$C$18+D20*$D$18,0)</f>
        <v>5841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f ca="1">ROUND(G19/223,2)</f>
        <v>31.49</v>
      </c>
    </row>
    <row r="22" spans="1:36" ht="15" thickBot="1">
      <c r="A22" s="1564" t="s">
        <v>1298</v>
      </c>
      <c r="B22" s="1635"/>
      <c r="C22" s="1636"/>
      <c r="D22" s="680">
        <f ca="1">IF(C19&lt;D19,D19/C19-1,C19/D19-1)</f>
        <v>0.44250754274220583</v>
      </c>
      <c r="E22" s="121"/>
      <c r="F22" s="121"/>
      <c r="G22" s="121"/>
      <c r="H22" s="121"/>
      <c r="I22" s="121"/>
    </row>
    <row r="23" spans="1:36" ht="13.5" thickBot="1">
      <c r="A23" s="646"/>
      <c r="B23" s="646"/>
      <c r="C23" s="646"/>
      <c r="D23" s="646"/>
      <c r="E23" s="121"/>
      <c r="F23" s="121"/>
      <c r="G23" s="121"/>
      <c r="H23" s="121"/>
      <c r="I23" s="121"/>
    </row>
    <row r="24" spans="1:36" ht="14.25">
      <c r="A24" s="3267" t="s">
        <v>1299</v>
      </c>
      <c r="B24" s="1631" t="s">
        <v>1291</v>
      </c>
      <c r="C24" s="128">
        <f>IF(B30=0,0,D30)</f>
        <v>0</v>
      </c>
      <c r="D24" s="1637"/>
      <c r="E24" s="121"/>
      <c r="F24" s="121"/>
      <c r="G24" s="121"/>
      <c r="H24" s="121"/>
      <c r="I24" s="121"/>
    </row>
    <row r="25" spans="1:36" ht="14.25">
      <c r="A25" s="32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7022</v>
      </c>
      <c r="D32" s="1641" t="s">
        <v>3443</v>
      </c>
      <c r="E32" s="121"/>
      <c r="F32" s="121"/>
      <c r="G32" s="121"/>
      <c r="H32" s="121"/>
      <c r="I32" s="121"/>
    </row>
    <row r="33" spans="1:15" ht="15">
      <c r="A33" s="740" t="s">
        <v>1306</v>
      </c>
      <c r="B33" s="123"/>
      <c r="C33" s="1642" t="s">
        <v>3444</v>
      </c>
      <c r="D33" s="1643" t="s">
        <v>3442</v>
      </c>
      <c r="E33" s="1644" t="s">
        <v>1307</v>
      </c>
      <c r="F33" s="1645" t="str">
        <f>IF(D32="楼面单价","取值（单价）","取值（总价）")</f>
        <v>取值（总价）</v>
      </c>
      <c r="G33" s="121"/>
      <c r="H33" s="121"/>
      <c r="I33" s="121"/>
    </row>
    <row r="34" spans="1:15" ht="15">
      <c r="A34" s="1646"/>
      <c r="B34" s="1647" t="s">
        <v>1308</v>
      </c>
      <c r="C34" s="140">
        <f ca="1">IF(C33="自定义",F34,C32-C35)</f>
        <v>2163</v>
      </c>
      <c r="D34" s="808">
        <f ca="1">IF(C33="自定义",ROUND(C34/C32,3),IF(C33="收益比率",SUMIF(INDIRECT("'"&amp;D33&amp;"'"&amp;"!b:b"),"土地收益比率",INDIRECT("'"&amp;D33&amp;"'"&amp;"!c:c")),SUMIF(INDIRECT("'"&amp;D33&amp;"'"&amp;"!b:b"),"土地成本比率",INDIRECT("'"&amp;D33&amp;"'"&amp;"!c:c"))))</f>
        <v>0.30800000000000005</v>
      </c>
      <c r="E34" s="1648" t="s">
        <v>1309</v>
      </c>
      <c r="F34" s="1243"/>
      <c r="G34" s="121"/>
      <c r="H34" s="121"/>
      <c r="I34" s="121"/>
    </row>
    <row r="35" spans="1:15" ht="15.75" thickBot="1">
      <c r="A35" s="1649"/>
      <c r="B35" s="1650" t="s">
        <v>1310</v>
      </c>
      <c r="C35" s="1090">
        <f ca="1">IF(C33="自定义",F35,ROUND(C32*D35,0))</f>
        <v>4859</v>
      </c>
      <c r="D35" s="1091">
        <f ca="1">IF(C33="自定义",ROUND(C35/C32,3),IF(C33="收益比率",SUMIF(INDIRECT("'"&amp;D33&amp;"'"&amp;"!b:b"),"建筑物收益比率",INDIRECT("'"&amp;D33&amp;"'"&amp;"!c:c")),SUMIF(INDIRECT("'"&amp;D33&amp;"'"&amp;"!b:b"),"建筑物成本比率",INDIRECT("'"&amp;D33&amp;"'"&amp;"!c:c"))))</f>
        <v>0.69199999999999995</v>
      </c>
      <c r="E35" s="1651" t="s">
        <v>1311</v>
      </c>
      <c r="F35" s="146"/>
      <c r="G35" s="121"/>
      <c r="H35" s="121"/>
      <c r="I35" s="121"/>
    </row>
    <row r="36" spans="1:15" ht="15.75" thickBot="1">
      <c r="A36" s="3287" t="s">
        <v>1312</v>
      </c>
      <c r="B36" s="1652" t="s">
        <v>1313</v>
      </c>
      <c r="C36" s="137"/>
      <c r="D36" s="1653"/>
      <c r="E36" s="1567"/>
      <c r="F36" s="1654"/>
      <c r="G36" s="121"/>
      <c r="H36" s="121"/>
      <c r="I36" s="121"/>
    </row>
    <row r="37" spans="1:15" ht="15.75" thickBot="1">
      <c r="A37" s="3288"/>
      <c r="B37" s="1555" t="s">
        <v>1314</v>
      </c>
      <c r="C37" s="139"/>
      <c r="D37" s="1071"/>
      <c r="E37" s="1071"/>
      <c r="F37" s="1654"/>
      <c r="G37" s="121"/>
      <c r="H37" s="121"/>
      <c r="I37" s="121"/>
    </row>
    <row r="38" spans="1:15" ht="15.75" thickBot="1">
      <c r="A38" s="328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4" t="s">
        <v>1326</v>
      </c>
      <c r="B45" s="3265"/>
      <c r="C45" s="3266"/>
      <c r="D45" s="147">
        <f ca="1">ROUND(H101*F45,0)</f>
        <v>7022</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8"/>
      <c r="I46" s="151"/>
      <c r="J46" s="2310">
        <v>1</v>
      </c>
      <c r="K46" s="3323" t="s">
        <v>1331</v>
      </c>
      <c r="L46" s="3323"/>
      <c r="M46" s="3343"/>
      <c r="N46" s="3343"/>
      <c r="O46" s="3343"/>
    </row>
    <row r="47" spans="1:15" ht="12" customHeight="1">
      <c r="A47" s="152" t="s">
        <v>1332</v>
      </c>
      <c r="B47" s="153"/>
      <c r="C47" s="154"/>
      <c r="D47" s="1024" t="s">
        <v>1333</v>
      </c>
      <c r="E47" s="294" t="s">
        <v>1334</v>
      </c>
      <c r="F47" s="155" t="s">
        <v>1335</v>
      </c>
      <c r="G47" s="2333" t="s">
        <v>1336</v>
      </c>
      <c r="H47" s="2334"/>
      <c r="I47" s="151"/>
      <c r="J47" s="2310">
        <v>2</v>
      </c>
      <c r="K47" s="3323" t="s">
        <v>1337</v>
      </c>
      <c r="L47" s="3323"/>
      <c r="M47" s="3344">
        <f>'数据-取费表'!B2</f>
        <v>45854</v>
      </c>
      <c r="N47" s="3344"/>
      <c r="O47" s="3344"/>
    </row>
    <row r="48" spans="1:15" ht="25.5">
      <c r="A48" s="3292" t="s">
        <v>1338</v>
      </c>
      <c r="B48" s="3275"/>
      <c r="C48" s="3275"/>
      <c r="D48" s="12">
        <f ca="1">IF(H48="情况1",0,IF(H48="情况2",D52,IF(H48="情况3",D53,IF(H48="情况4",D54))))</f>
        <v>111</v>
      </c>
      <c r="E48" s="1256" t="str">
        <f>IF(H48="情况4","(销售额-原购置价)×税（费）率","销售额×税（费）率")</f>
        <v>(销售额-原购置价)×税（费）率</v>
      </c>
      <c r="F48" s="2335">
        <f>IF(H48="情况1","免征",'数据-取费表'!B41)</f>
        <v>5.6000000000000001E-2</v>
      </c>
      <c r="G48" s="2336" t="s">
        <v>1339</v>
      </c>
      <c r="H48" s="2337" t="s">
        <v>3445</v>
      </c>
      <c r="I48" s="1668"/>
      <c r="J48" s="2310">
        <v>3</v>
      </c>
      <c r="K48" s="3323" t="s">
        <v>1340</v>
      </c>
      <c r="L48" s="3323"/>
      <c r="M48" s="3345">
        <f ca="1">H101</f>
        <v>7022</v>
      </c>
      <c r="N48" s="3345"/>
      <c r="O48" s="3345"/>
    </row>
    <row r="49" spans="1:35" ht="25.5" customHeight="1">
      <c r="A49" s="2152" t="s">
        <v>1341</v>
      </c>
      <c r="B49" s="3259" t="s">
        <v>1342</v>
      </c>
      <c r="C49" s="3259"/>
      <c r="D49" s="1478">
        <v>0</v>
      </c>
      <c r="E49" s="316" t="s">
        <v>1343</v>
      </c>
      <c r="F49" s="2233" t="s">
        <v>28</v>
      </c>
      <c r="G49" s="3329"/>
      <c r="H49" s="2134" t="s">
        <v>2134</v>
      </c>
      <c r="I49" s="2135"/>
      <c r="J49" s="2310">
        <v>4</v>
      </c>
      <c r="K49" s="3323" t="str">
        <f>IF(项目基本情况!E8="房地产抵押价值","房地产抵押价值","抵押担保权已注销时的房地产抵押价值")</f>
        <v>房地产抵押价值</v>
      </c>
      <c r="L49" s="3323"/>
      <c r="M49" s="3345">
        <f ca="1">IF(项目基本情况!E8="房地产抵押价值",H107,H109)</f>
        <v>7022</v>
      </c>
      <c r="N49" s="3345"/>
      <c r="O49" s="3345"/>
    </row>
    <row r="50" spans="1:35" ht="25.5" customHeight="1">
      <c r="A50" s="2338"/>
      <c r="B50" s="3259" t="s">
        <v>1344</v>
      </c>
      <c r="C50" s="3259"/>
      <c r="D50" s="2189"/>
      <c r="E50" s="323"/>
      <c r="F50" s="2233"/>
      <c r="G50" s="3330"/>
      <c r="H50" s="2136" t="s">
        <v>2135</v>
      </c>
      <c r="I50" s="2135"/>
      <c r="J50" s="3342" t="s">
        <v>1345</v>
      </c>
      <c r="K50" s="3342"/>
      <c r="L50" s="3342"/>
      <c r="M50" s="3342"/>
      <c r="N50" s="3342"/>
      <c r="O50" s="3342"/>
    </row>
    <row r="51" spans="1:35" ht="20.45" customHeight="1">
      <c r="A51" s="2339"/>
      <c r="B51" s="3259" t="s">
        <v>1346</v>
      </c>
      <c r="C51" s="3259"/>
      <c r="D51" s="1024"/>
      <c r="E51" s="319"/>
      <c r="F51" s="2233"/>
      <c r="G51" s="3331"/>
      <c r="H51" s="2136" t="s">
        <v>2136</v>
      </c>
      <c r="I51" s="2135"/>
      <c r="J51" s="2311" t="s">
        <v>1347</v>
      </c>
      <c r="K51" s="3323" t="s">
        <v>1348</v>
      </c>
      <c r="L51" s="3323"/>
      <c r="M51" s="2311" t="s">
        <v>1349</v>
      </c>
      <c r="N51" s="2311" t="s">
        <v>1350</v>
      </c>
      <c r="O51" s="2311" t="s">
        <v>1351</v>
      </c>
    </row>
    <row r="52" spans="1:35" ht="24" customHeight="1">
      <c r="A52" s="2153" t="s">
        <v>1352</v>
      </c>
      <c r="B52" s="3259" t="s">
        <v>1353</v>
      </c>
      <c r="C52" s="3259"/>
      <c r="D52" s="1024">
        <f ca="1">ROUND(D45*'数据-取费表'!B41/(1+'数据-取费表'!C42),0)</f>
        <v>375</v>
      </c>
      <c r="E52" s="1256" t="s">
        <v>1354</v>
      </c>
      <c r="F52" s="2340">
        <f>'数据-取费表'!B41</f>
        <v>5.6000000000000001E-2</v>
      </c>
      <c r="G52" s="2341"/>
      <c r="H52" s="2331"/>
      <c r="I52" s="1669"/>
      <c r="J52" s="2310">
        <v>1</v>
      </c>
      <c r="K52" s="3324" t="s">
        <v>1355</v>
      </c>
      <c r="L52" s="3324"/>
      <c r="M52" s="2312">
        <f ca="1">D48</f>
        <v>111</v>
      </c>
      <c r="N52" s="2310" t="str">
        <f>E48</f>
        <v>(销售额-原购置价)×税（费）率</v>
      </c>
      <c r="O52" s="2313">
        <f>F48</f>
        <v>5.6000000000000001E-2</v>
      </c>
    </row>
    <row r="53" spans="1:35" ht="12" customHeight="1">
      <c r="A53" s="2153" t="s">
        <v>1356</v>
      </c>
      <c r="B53" s="3285" t="s">
        <v>2282</v>
      </c>
      <c r="C53" s="3286"/>
      <c r="D53" s="1024">
        <f ca="1">ROUND(D45*'数据-取费表'!B41/(1+'数据-取费表'!C42),0)</f>
        <v>375</v>
      </c>
      <c r="E53" s="1256" t="s">
        <v>1354</v>
      </c>
      <c r="F53" s="2340">
        <f>'数据-取费表'!B41</f>
        <v>5.6000000000000001E-2</v>
      </c>
      <c r="G53" s="2341"/>
      <c r="H53" s="2331"/>
      <c r="I53" s="1669"/>
      <c r="J53" s="2310">
        <v>2</v>
      </c>
      <c r="K53" s="3324" t="s">
        <v>1357</v>
      </c>
      <c r="L53" s="3324"/>
      <c r="M53" s="2312">
        <f t="shared" ref="M53:O54" ca="1" si="0">D55</f>
        <v>4</v>
      </c>
      <c r="N53" s="2310" t="str">
        <f t="shared" si="0"/>
        <v>销售额×税（费）率</v>
      </c>
      <c r="O53" s="2313">
        <f t="shared" si="0"/>
        <v>5.0000000000000001E-4</v>
      </c>
    </row>
    <row r="54" spans="1:35" ht="12" customHeight="1">
      <c r="A54" s="2153" t="s">
        <v>1358</v>
      </c>
      <c r="B54" s="3285" t="s">
        <v>2283</v>
      </c>
      <c r="C54" s="3286"/>
      <c r="D54" s="1024">
        <f ca="1">C68</f>
        <v>111</v>
      </c>
      <c r="E54" s="319" t="s">
        <v>1359</v>
      </c>
      <c r="F54" s="2340">
        <f>'数据-取费表'!B41</f>
        <v>5.6000000000000001E-2</v>
      </c>
      <c r="G54" s="2341"/>
      <c r="H54" s="2342"/>
      <c r="I54" s="1669"/>
      <c r="J54" s="2310">
        <v>3</v>
      </c>
      <c r="K54" s="3324" t="s">
        <v>1360</v>
      </c>
      <c r="L54" s="3324"/>
      <c r="M54" s="2312">
        <f t="shared" ca="1" si="0"/>
        <v>537</v>
      </c>
      <c r="N54" s="2310" t="str">
        <f t="shared" si="0"/>
        <v>增值额×税（费）率</v>
      </c>
      <c r="O54" s="2314" t="str">
        <f t="shared" si="0"/>
        <v>——</v>
      </c>
    </row>
    <row r="55" spans="1:35" ht="24" customHeight="1">
      <c r="A55" s="3274" t="s">
        <v>1361</v>
      </c>
      <c r="B55" s="3275"/>
      <c r="C55" s="3275"/>
      <c r="D55" s="12">
        <f ca="1">IF(H55="个人住宅",0,ROUND(D45*I55,0))</f>
        <v>4</v>
      </c>
      <c r="E55" s="1256" t="s">
        <v>1362</v>
      </c>
      <c r="F55" s="2340">
        <f>IF(H55="正常",I55,"免征")</f>
        <v>5.0000000000000001E-4</v>
      </c>
      <c r="G55" s="2341"/>
      <c r="H55" s="2337" t="s">
        <v>3427</v>
      </c>
      <c r="I55" s="157">
        <f>'数据-取费表'!B49</f>
        <v>5.0000000000000001E-4</v>
      </c>
      <c r="J55" s="2310" t="str">
        <f>IF(H59="非个人房产","",4)</f>
        <v/>
      </c>
      <c r="K55" s="3324" t="str">
        <f>IF(H59="非个人房产","——","个人所得税")</f>
        <v>——</v>
      </c>
      <c r="L55" s="3324"/>
      <c r="M55" s="2315" t="str">
        <f>D59</f>
        <v>——</v>
      </c>
      <c r="N55" s="1883" t="str">
        <f>E59</f>
        <v>——</v>
      </c>
      <c r="O55" s="2316" t="str">
        <f>F59</f>
        <v>——</v>
      </c>
    </row>
    <row r="56" spans="1:35" ht="24.75">
      <c r="A56" s="3274" t="s">
        <v>1363</v>
      </c>
      <c r="B56" s="3275"/>
      <c r="C56" s="3275"/>
      <c r="D56" s="12">
        <f ca="1">IF(H56="个人住宅",D57,D58)</f>
        <v>537</v>
      </c>
      <c r="E56" s="1256" t="s">
        <v>1364</v>
      </c>
      <c r="F56" s="2340" t="str">
        <f>IF(H56="正常",F58,"免征")</f>
        <v>——</v>
      </c>
      <c r="G56" s="2343" t="s">
        <v>1365</v>
      </c>
      <c r="H56" s="2344" t="s">
        <v>3427</v>
      </c>
      <c r="I56" s="1670"/>
      <c r="J56" s="2310" t="str">
        <f>IF(项目基本情况!K6="上海银行",IF(J55="",4,J55+1),"")</f>
        <v/>
      </c>
      <c r="K56" s="3347" t="str">
        <f>IF(项目基本情况!K6="上海银行","其他处置费用","")</f>
        <v/>
      </c>
      <c r="L56" s="3348"/>
      <c r="M56" s="2312" t="str">
        <f>IF(项目基本情况!K6="上海银行",M69,"")</f>
        <v/>
      </c>
      <c r="N56" s="3347" t="str">
        <f>IF(项目基本情况!K6="上海银行","包含处置中涉及的律师、诉讼、拍卖、评估等费用","")</f>
        <v/>
      </c>
      <c r="O56" s="3350"/>
    </row>
    <row r="57" spans="1:35" ht="12.75">
      <c r="A57" s="2153" t="s">
        <v>1341</v>
      </c>
      <c r="B57" s="3285" t="s">
        <v>1366</v>
      </c>
      <c r="C57" s="3286"/>
      <c r="D57" s="1478">
        <v>0</v>
      </c>
      <c r="E57" s="316" t="s">
        <v>1343</v>
      </c>
      <c r="F57" s="294"/>
      <c r="G57" s="2341"/>
      <c r="H57" s="2345"/>
      <c r="I57" s="1670"/>
      <c r="J57" s="3324">
        <f>IF(AND(J55="",J56=""),4,IF(项目基本情况!K6="上海银行",结果表!J56+1,结果表!J55+1))</f>
        <v>4</v>
      </c>
      <c r="K57" s="3324" t="s">
        <v>1367</v>
      </c>
      <c r="L57" s="2317" t="s">
        <v>1368</v>
      </c>
      <c r="M57" s="2318"/>
      <c r="N57" s="2319">
        <f ca="1">SUMIF(M52:M56,"&lt;9e307")</f>
        <v>652</v>
      </c>
      <c r="O57" s="2320"/>
      <c r="P57" s="2464">
        <f ca="1">N57/M49</f>
        <v>9.2851039589860435E-2</v>
      </c>
    </row>
    <row r="58" spans="1:35" ht="24.75">
      <c r="A58" s="2153" t="s">
        <v>1352</v>
      </c>
      <c r="B58" s="3285" t="s">
        <v>1369</v>
      </c>
      <c r="C58" s="3259"/>
      <c r="D58" s="12">
        <f ca="1">IF(H58="转让取得",C81,C97)</f>
        <v>537</v>
      </c>
      <c r="E58" s="1256" t="s">
        <v>1364</v>
      </c>
      <c r="F58" s="294" t="s">
        <v>28</v>
      </c>
      <c r="G58" s="2341"/>
      <c r="H58" s="2344" t="s">
        <v>3446</v>
      </c>
      <c r="I58" s="1670"/>
      <c r="J58" s="3324"/>
      <c r="K58" s="3324"/>
      <c r="L58" s="2317" t="s">
        <v>1370</v>
      </c>
      <c r="M58" s="2321"/>
      <c r="N58" s="2322" t="str">
        <f ca="1">NUMBERSTRING(INT(N57*10000),2)&amp;"元整"</f>
        <v>陆佰伍拾贰万元整</v>
      </c>
      <c r="O58" s="2323"/>
    </row>
    <row r="59" spans="1:35" ht="24.75" thickBot="1">
      <c r="A59" s="3327" t="s">
        <v>1371</v>
      </c>
      <c r="B59" s="3328"/>
      <c r="C59" s="3328"/>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3447</v>
      </c>
      <c r="I59" s="2137" t="s">
        <v>2137</v>
      </c>
      <c r="J59" s="3325">
        <f>J57+1</f>
        <v>5</v>
      </c>
      <c r="K59" s="3324" t="s">
        <v>1372</v>
      </c>
      <c r="L59" s="2310" t="s">
        <v>1368</v>
      </c>
      <c r="M59" s="2324"/>
      <c r="N59" s="2325">
        <f ca="1">M49-N57</f>
        <v>6370</v>
      </c>
      <c r="O59" s="2326"/>
    </row>
    <row r="60" spans="1:35" ht="12" customHeight="1">
      <c r="A60" s="1671"/>
      <c r="B60" s="646"/>
      <c r="C60" s="646"/>
      <c r="D60" s="646"/>
      <c r="E60" s="1466"/>
      <c r="F60" s="1670"/>
      <c r="G60" s="1670"/>
      <c r="H60" s="151"/>
      <c r="I60" s="121"/>
      <c r="J60" s="3326"/>
      <c r="K60" s="3324"/>
      <c r="L60" s="2317" t="s">
        <v>1370</v>
      </c>
      <c r="M60" s="2321"/>
      <c r="N60" s="2322" t="str">
        <f ca="1">NUMBERSTRING(INT(N59*10000),2)&amp;"元整"</f>
        <v>陆仟叁佰柒拾万元整</v>
      </c>
      <c r="O60" s="2323"/>
    </row>
    <row r="61" spans="1:35" ht="13.5" thickBot="1">
      <c r="A61" s="3272" t="s">
        <v>1373</v>
      </c>
      <c r="B61" s="3272"/>
      <c r="C61" s="3272"/>
      <c r="D61" s="3272"/>
      <c r="E61" s="3272"/>
      <c r="F61" s="1670"/>
      <c r="G61" s="1670"/>
      <c r="H61" s="151"/>
      <c r="I61" s="121"/>
      <c r="J61" s="2310">
        <f>J59+1</f>
        <v>6</v>
      </c>
      <c r="K61" s="3324" t="s">
        <v>1374</v>
      </c>
      <c r="L61" s="3324"/>
      <c r="M61" s="2327"/>
      <c r="N61" s="2328">
        <f ca="1">ROUND(N59*10000/'数据-汇总表'!E3,0)</f>
        <v>5299</v>
      </c>
      <c r="O61" s="2329"/>
    </row>
    <row r="62" spans="1:35" ht="12.75">
      <c r="A62" s="3290" t="s">
        <v>1375</v>
      </c>
      <c r="B62" s="3291"/>
      <c r="C62" s="1865"/>
      <c r="D62" s="1865" t="s">
        <v>1376</v>
      </c>
      <c r="E62" s="158" t="s">
        <v>1377</v>
      </c>
      <c r="F62" s="1670"/>
      <c r="G62" s="1670"/>
      <c r="H62" s="151"/>
      <c r="I62" s="121"/>
    </row>
    <row r="63" spans="1:35" ht="12.75">
      <c r="A63" s="165" t="s">
        <v>330</v>
      </c>
      <c r="B63" s="159" t="s">
        <v>1378</v>
      </c>
      <c r="C63" s="2350">
        <f ca="1">ROUND((C64+C65)/(1+'数据-取费表'!C42),0)</f>
        <v>6688</v>
      </c>
      <c r="D63" s="159"/>
      <c r="E63" s="160"/>
      <c r="F63" s="1670"/>
      <c r="G63" s="1670"/>
      <c r="H63" s="151"/>
      <c r="I63" s="121"/>
      <c r="J63" s="3349" t="s">
        <v>1379</v>
      </c>
      <c r="K63" s="1245" t="s">
        <v>1380</v>
      </c>
      <c r="L63" s="1245">
        <f ca="1">IF(M49&gt;10000,M49*0.5%,IF(AND(M49&gt;1000,M49&lt;=10000),M49*1%,IF(AND(M49&gt;100,M49&lt;=1000),M49*3%,IF(AND(M49&gt;10,M49&lt;=100),M49*5%,M49*8%))))</f>
        <v>70.22</v>
      </c>
      <c r="M63" s="294">
        <f ca="1">ROUND(L63,1)</f>
        <v>70.2</v>
      </c>
      <c r="N63" s="2330"/>
      <c r="Z63" s="1623"/>
      <c r="AI63" s="1561"/>
    </row>
    <row r="64" spans="1:35" ht="14.25" customHeight="1">
      <c r="A64" s="161" t="s">
        <v>325</v>
      </c>
      <c r="B64" s="162" t="s">
        <v>1381</v>
      </c>
      <c r="C64" s="2351">
        <f ca="1">D45</f>
        <v>7022</v>
      </c>
      <c r="D64" s="162" t="s">
        <v>26</v>
      </c>
      <c r="E64" s="164"/>
      <c r="F64" s="1670"/>
      <c r="G64" s="1670"/>
      <c r="H64" s="151"/>
      <c r="I64" s="121"/>
      <c r="J64" s="3349"/>
      <c r="K64" s="1245" t="s">
        <v>1382</v>
      </c>
      <c r="L64" s="1245">
        <f ca="1">IF(M49&gt;2000,M49*0.5%,IF(AND(M49&gt;1000,M49&lt;=2000),M49*0.6%,IF(AND(M49&gt;500,M49&lt;=1000),M49*0.7%,IF(AND(M49&gt;200,M49&lt;=500),M49*0.8%,IF(AND(M49&gt;100,M49&lt;=200),M49*0.9%,IF(AND(M49&gt;50,M49&lt;=100),M49*1%,IF(AND(M49&gt;20,M49&lt;=50),M49*1.5%,IF(AND(M49&gt;10,M49&lt;=20),M49*2%,IF(AND(M49&gt;1,M49&lt;=10),M49*2.5%)))))))))</f>
        <v>35.11</v>
      </c>
      <c r="M64" s="294">
        <f t="shared" ref="M64:M65" ca="1" si="1">ROUND(L64,1)</f>
        <v>35.1</v>
      </c>
      <c r="N64" s="2331" t="s">
        <v>1383</v>
      </c>
      <c r="Z64" s="1623"/>
      <c r="AI64" s="1561"/>
    </row>
    <row r="65" spans="1:35" ht="14.25" customHeight="1">
      <c r="A65" s="161" t="s">
        <v>326</v>
      </c>
      <c r="B65" s="162" t="s">
        <v>1384</v>
      </c>
      <c r="C65" s="2352"/>
      <c r="D65" s="162"/>
      <c r="E65" s="164"/>
      <c r="F65" s="1670"/>
      <c r="G65" s="1670"/>
      <c r="H65" s="151"/>
      <c r="I65" s="121"/>
      <c r="J65" s="3349"/>
      <c r="K65" s="1245" t="s">
        <v>1385</v>
      </c>
      <c r="L65" s="1245">
        <f ca="1">IF(M49&gt;1000,M49*0.1%,IF(AND(M49&gt;500,M49&lt;=1000),M49*0.5%,IF(AND(M49&gt;50,M49&lt;=500),M49*1%,IF(AND(M49&gt;1,M49&lt;=50),M49*1.5%))))</f>
        <v>7.0220000000000002</v>
      </c>
      <c r="M65" s="294">
        <f t="shared" ca="1" si="1"/>
        <v>7</v>
      </c>
      <c r="N65" s="2331" t="s">
        <v>1383</v>
      </c>
      <c r="Z65" s="1623"/>
      <c r="AI65" s="1561"/>
    </row>
    <row r="66" spans="1:35" ht="14.25" customHeight="1">
      <c r="A66" s="165" t="s">
        <v>327</v>
      </c>
      <c r="B66" s="166" t="s">
        <v>1386</v>
      </c>
      <c r="C66" s="2356">
        <f>ROUND(4949.2215/1.05,0)</f>
        <v>4714</v>
      </c>
      <c r="D66" s="166" t="s">
        <v>26</v>
      </c>
      <c r="E66" s="1251" t="s">
        <v>671</v>
      </c>
      <c r="F66" s="1670"/>
      <c r="G66" s="1670"/>
      <c r="H66" s="151"/>
      <c r="I66" s="121"/>
      <c r="J66" s="3349"/>
      <c r="K66" s="1245" t="s">
        <v>1387</v>
      </c>
      <c r="L66" s="1245">
        <f ca="1">M49*0.5%</f>
        <v>35.11</v>
      </c>
      <c r="M66" s="294">
        <f ca="1">IF(L66&gt;0.5,0.5,ROUND(L66,0))</f>
        <v>0.5</v>
      </c>
      <c r="N66" s="2331" t="s">
        <v>1388</v>
      </c>
      <c r="Z66" s="1623"/>
      <c r="AI66" s="1561"/>
    </row>
    <row r="67" spans="1:35" ht="14.25" customHeight="1">
      <c r="A67" s="165" t="s">
        <v>328</v>
      </c>
      <c r="B67" s="166" t="s">
        <v>1389</v>
      </c>
      <c r="C67" s="2353">
        <f ca="1">C63-C66</f>
        <v>1974</v>
      </c>
      <c r="D67" s="162" t="s">
        <v>26</v>
      </c>
      <c r="E67" s="164"/>
      <c r="F67" s="1670"/>
      <c r="G67" s="1670"/>
      <c r="H67" s="151"/>
      <c r="I67" s="121"/>
      <c r="J67" s="3349"/>
      <c r="K67" s="1245" t="s">
        <v>1390</v>
      </c>
      <c r="L67" s="1245">
        <f ca="1">IF(M49&gt;=10000,(8.25+(M49-10000)*0.01%),IF(AND(M49&gt;=8000,M49&lt;10000),(7.85+(M49-8000)*0.02%),IF(AND(M49&gt;=5000,M49&lt;8000),(6.65+(M49-5000)*0.04%),IF(AND(M49&gt;=2000,M49&lt;5000),(4.25+(PM49-2000)*0.08%),IF(AND(M49&gt;=1000,M49&lt;2000),(2.75+(M49-1000)*0.15%),IF(AND(M49&gt;=100,M49&lt;1000),(0.5+(M49-100)*0.25%),IF(AND(M49&gt;0,M49&lt;100),M49*0.5%)))))))</f>
        <v>7.4588000000000001</v>
      </c>
      <c r="M67" s="294">
        <f ca="1">ROUND(L67*0.9,1)</f>
        <v>6.7</v>
      </c>
      <c r="N67" s="2330"/>
      <c r="Z67" s="1623"/>
      <c r="AI67" s="1561"/>
    </row>
    <row r="68" spans="1:35" ht="14.25" customHeight="1" thickBot="1">
      <c r="A68" s="168" t="s">
        <v>329</v>
      </c>
      <c r="B68" s="169" t="s">
        <v>1391</v>
      </c>
      <c r="C68" s="2354">
        <f ca="1">IF(C67&lt;=0,0,ROUND(C67*D68,0))</f>
        <v>111</v>
      </c>
      <c r="D68" s="2355">
        <f>'数据-取费表'!B41</f>
        <v>5.6000000000000001E-2</v>
      </c>
      <c r="E68" s="170"/>
      <c r="F68" s="1670"/>
      <c r="G68" s="1670"/>
      <c r="H68" s="151"/>
      <c r="I68" s="121"/>
      <c r="J68" s="3349"/>
      <c r="K68" s="1245" t="s">
        <v>1392</v>
      </c>
      <c r="L68" s="1245">
        <f ca="1">IF(M49&gt;10000,M49*0.5%,IF(AND(M49&gt;5000,M49&lt;=10000),M49*1%,IF(AND(M49&gt;1000,M49&lt;=5000),M49*2%,IF(AND(M49&gt;200,M49&lt;=1000),M49*3%,M49*5%))))</f>
        <v>70.22</v>
      </c>
      <c r="M68" s="294">
        <f ca="1">ROUND(L68,1)</f>
        <v>70.2</v>
      </c>
      <c r="N68" s="2330"/>
      <c r="Z68" s="1623"/>
      <c r="AI68" s="1561"/>
    </row>
    <row r="69" spans="1:35" ht="16.5" customHeight="1">
      <c r="A69" s="1672"/>
      <c r="B69" s="1673"/>
      <c r="C69" s="1674"/>
      <c r="D69" s="1675"/>
      <c r="E69" s="1676"/>
      <c r="F69" s="1466"/>
      <c r="G69" s="1466"/>
      <c r="H69" s="1467"/>
      <c r="I69" s="646"/>
      <c r="J69" s="3349"/>
      <c r="K69" s="1245" t="s">
        <v>1393</v>
      </c>
      <c r="L69" s="1245"/>
      <c r="M69" s="294">
        <f ca="1">ROUND(SUM(M63:M68),0)</f>
        <v>190</v>
      </c>
      <c r="N69" s="2332">
        <f ca="1">M69/M49</f>
        <v>2.7057818285388779E-2</v>
      </c>
      <c r="Z69" s="1623"/>
      <c r="AI69" s="1561"/>
    </row>
    <row r="70" spans="1:35" s="642" customFormat="1" ht="15"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6688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4898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4858</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v>4949.2214999999997</v>
      </c>
      <c r="D75" s="162" t="s">
        <v>26</v>
      </c>
      <c r="E75" s="176" t="s">
        <v>1399</v>
      </c>
      <c r="F75" s="2357" t="s">
        <v>3448</v>
      </c>
      <c r="G75" s="176" t="s">
        <v>1400</v>
      </c>
      <c r="H75" s="2358">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5" t="s">
        <v>1402</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144</v>
      </c>
      <c r="D77" s="2360">
        <f>'数据-取费表'!B48+'数据-取费表'!B49</f>
        <v>3.0499999999999999E-2</v>
      </c>
      <c r="E77" s="12" t="s">
        <v>1404</v>
      </c>
      <c r="F77" s="178"/>
      <c r="G77" s="1682" t="s">
        <v>3449</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40</v>
      </c>
      <c r="D78" s="2362">
        <f>'数据-取费表'!B43</f>
        <v>6.000000000000001E-3</v>
      </c>
      <c r="E78" s="3269" t="s">
        <v>1406</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1790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0.36545528787260106</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537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6688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40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51" t="s">
        <v>2129</v>
      </c>
      <c r="H90" s="3352"/>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9" t="s">
        <v>1419</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9" t="s">
        <v>1422</v>
      </c>
      <c r="F92" s="3270"/>
      <c r="G92" s="3270"/>
      <c r="H92" s="3279"/>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40</v>
      </c>
      <c r="D93" s="2362">
        <f>'数据-取费表'!B43</f>
        <v>6.000000000000001E-3</v>
      </c>
      <c r="E93" s="3269" t="s">
        <v>1406</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0" t="s">
        <v>1426</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6648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166.2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3975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71"/>
      <c r="E100" s="3254" t="s">
        <v>1429</v>
      </c>
      <c r="F100" s="3254"/>
      <c r="G100" s="3254"/>
      <c r="H100" s="3271"/>
      <c r="I100" s="121"/>
    </row>
    <row r="101" spans="1:35" ht="18.75" customHeight="1">
      <c r="A101" s="3332" t="s">
        <v>1430</v>
      </c>
      <c r="B101" s="3333"/>
      <c r="C101" s="2370" t="str">
        <f>C4</f>
        <v>成本法</v>
      </c>
      <c r="D101" s="2371" t="str">
        <f>D4</f>
        <v>收益法</v>
      </c>
      <c r="E101" s="3346" t="s">
        <v>1431</v>
      </c>
      <c r="F101" s="3303"/>
      <c r="G101" s="1687" t="s">
        <v>1432</v>
      </c>
      <c r="H101" s="2380">
        <f ca="1">H118</f>
        <v>7022</v>
      </c>
      <c r="I101" s="121"/>
    </row>
    <row r="102" spans="1:35" ht="18.75" customHeight="1">
      <c r="A102" s="3305" t="s">
        <v>1433</v>
      </c>
      <c r="B102" s="2369" t="s">
        <v>1432</v>
      </c>
      <c r="C102" s="2370">
        <f ca="1">IF(D32="楼面单价",ROUND(C19,0),C19)</f>
        <v>8606</v>
      </c>
      <c r="D102" s="2371">
        <f ca="1">IF(D32="楼面单价",ROUND(D19,0),D19)</f>
        <v>5966</v>
      </c>
      <c r="E102" s="3346"/>
      <c r="F102" s="3303"/>
      <c r="G102" s="1687" t="s">
        <v>1434</v>
      </c>
      <c r="H102" s="2341">
        <f ca="1">I118</f>
        <v>5841</v>
      </c>
      <c r="I102" s="121"/>
    </row>
    <row r="103" spans="1:35" ht="42.75" customHeight="1">
      <c r="A103" s="3305"/>
      <c r="B103" s="2369" t="s">
        <v>1434</v>
      </c>
      <c r="C103" s="2372">
        <f ca="1">C20</f>
        <v>7159</v>
      </c>
      <c r="D103" s="2373">
        <f ca="1">D20</f>
        <v>4963</v>
      </c>
      <c r="E103" s="3340" t="s">
        <v>1435</v>
      </c>
      <c r="F103" s="3341"/>
      <c r="G103" s="1688" t="s">
        <v>1436</v>
      </c>
      <c r="H103" s="2380">
        <f>IF(D36="正常操作",H104+H105+H106,H105+H106)</f>
        <v>0</v>
      </c>
      <c r="I103" s="121"/>
    </row>
    <row r="104" spans="1:35" ht="18.75" customHeight="1">
      <c r="A104" s="3305" t="s">
        <v>1437</v>
      </c>
      <c r="B104" s="2374" t="s">
        <v>1432</v>
      </c>
      <c r="C104" s="2375">
        <f ca="1">H118</f>
        <v>7022</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f ca="1">I118</f>
        <v>5841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303"/>
      <c r="G107" s="1687" t="s">
        <v>1432</v>
      </c>
      <c r="H107" s="2380">
        <f ca="1">IF(E107="——","——",H101-H103)</f>
        <v>7022</v>
      </c>
      <c r="I107" s="121"/>
    </row>
    <row r="108" spans="1:35" ht="18.75" customHeight="1">
      <c r="A108" s="121"/>
      <c r="B108" s="121"/>
      <c r="C108" s="121"/>
      <c r="D108" s="121"/>
      <c r="E108" s="3302"/>
      <c r="F108" s="3303"/>
      <c r="G108" s="1687" t="s">
        <v>1434</v>
      </c>
      <c r="H108" s="2341">
        <f ca="1">IF(H107=H101,H102,ROUND(H107*10000/'数据-汇总表'!E3,0))</f>
        <v>5841</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1432</v>
      </c>
      <c r="H109" s="2383" t="str">
        <f>IF(E109="——","——",H101-H105-H106)</f>
        <v>——</v>
      </c>
      <c r="I109" s="121"/>
    </row>
    <row r="110" spans="1:35" ht="18.75" customHeight="1">
      <c r="A110" s="121"/>
      <c r="B110" s="121"/>
      <c r="C110" s="121"/>
      <c r="D110" s="121"/>
      <c r="E110" s="3302"/>
      <c r="F110" s="3303"/>
      <c r="G110" s="1687" t="s">
        <v>1434</v>
      </c>
      <c r="H110" s="2341"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7" t="s">
        <v>1432</v>
      </c>
      <c r="H111" s="2380" t="str">
        <f>IF(E111="——","——",N59)</f>
        <v>——</v>
      </c>
      <c r="I111" s="121"/>
    </row>
    <row r="112" spans="1:35" ht="18.75" customHeight="1" thickBot="1">
      <c r="A112" s="121"/>
      <c r="B112" s="121"/>
      <c r="C112" s="121"/>
      <c r="D112" s="121"/>
      <c r="E112" s="3335"/>
      <c r="F112" s="3336"/>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12021.93</v>
      </c>
      <c r="C118" s="2150">
        <f>M19</f>
        <v>0</v>
      </c>
      <c r="D118" s="2150">
        <f ca="1">ROUND(IF(D32="总价",C34,E118*B118/10000),0)</f>
        <v>2163</v>
      </c>
      <c r="E118" s="2150">
        <f ca="1">ROUND(IF(C33="自定义",IF(D32="楼面单价",C34,D118*10000/B118),I118-G118),0)</f>
        <v>1799</v>
      </c>
      <c r="F118" s="2150">
        <f ca="1">ROUND(IF(D32="总价",C35,G118*B118/10000),0)</f>
        <v>4859</v>
      </c>
      <c r="G118" s="2150">
        <f ca="1">ROUND(IF(D32="楼面单价",C35,F118*10000/B118),0)</f>
        <v>4042</v>
      </c>
      <c r="H118" s="2150">
        <f ca="1">ROUND(IF(D32="总价",C32,I118*B118/10000),0)</f>
        <v>7022</v>
      </c>
      <c r="I118" s="2150">
        <f ca="1">ROUND(IF(D32="楼面单价",C32,H118*10000/B118),0)</f>
        <v>5841</v>
      </c>
    </row>
    <row r="119" spans="1:27" ht="18.75" customHeight="1">
      <c r="A119" s="3273" t="s">
        <v>1452</v>
      </c>
      <c r="B119" s="3273"/>
      <c r="C119" s="3273"/>
      <c r="D119" s="3313" t="str">
        <f ca="1">NUMBERSTRING(INT(D118*10000),2)&amp;"元整"</f>
        <v>贰仟壹佰陆拾叁万元整</v>
      </c>
      <c r="E119" s="3315"/>
      <c r="F119" s="3313" t="str">
        <f ca="1">NUMBERSTRING(INT(F118*10000),2)&amp;"元整"</f>
        <v>肆仟捌佰伍拾玖万元整</v>
      </c>
      <c r="G119" s="3315"/>
      <c r="H119" s="3313" t="str">
        <f ca="1">NUMBERSTRING(INT(H118*10000),2)&amp;"元整"</f>
        <v>柒仟零贰拾贰万元整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1452</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f ca="1">H107</f>
        <v>7022</v>
      </c>
      <c r="E122" s="3338"/>
      <c r="F122" s="3338"/>
      <c r="G122" s="3338"/>
      <c r="H122" s="3338"/>
      <c r="I122" s="3339"/>
      <c r="AA122" s="684"/>
    </row>
    <row r="123" spans="1:27" ht="18.75" customHeight="1">
      <c r="A123" s="3273" t="s">
        <v>1452</v>
      </c>
      <c r="B123" s="3273"/>
      <c r="C123" s="3273"/>
      <c r="D123" s="3313" t="str">
        <f ca="1">NUMBERSTRING(INT(D122*10000),2)&amp;"元整"</f>
        <v>柒仟零贰拾贰万元整</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1452</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
      </c>
      <c r="B126" s="3304"/>
      <c r="C126" s="3304"/>
      <c r="D126" s="3337" t="str">
        <f>H111</f>
        <v>——</v>
      </c>
      <c r="E126" s="3338"/>
      <c r="F126" s="3338"/>
      <c r="G126" s="3338"/>
      <c r="H126" s="3338"/>
      <c r="I126" s="3339"/>
      <c r="AA126" s="684"/>
    </row>
    <row r="127" spans="1:27" ht="18.75" customHeight="1">
      <c r="A127" s="3273" t="s">
        <v>1452</v>
      </c>
      <c r="B127" s="3273"/>
      <c r="C127" s="3273"/>
      <c r="D127" s="3313" t="e">
        <f>NUMBERSTRING(INT(D126*10000),2)&amp;"元整"</f>
        <v>#VALUE!</v>
      </c>
      <c r="E127" s="3314"/>
      <c r="F127" s="3314"/>
      <c r="G127" s="3314"/>
      <c r="H127" s="3314"/>
      <c r="I127" s="3315"/>
      <c r="AA127" s="684"/>
    </row>
    <row r="128" spans="1:27" ht="21.75" customHeight="1">
      <c r="A128" s="3320" t="s">
        <v>1453</v>
      </c>
      <c r="B128" s="3320"/>
      <c r="C128" s="3320"/>
      <c r="D128" s="3320"/>
      <c r="E128" s="3320"/>
      <c r="F128" s="3320"/>
      <c r="G128" s="3320"/>
      <c r="H128" s="3320"/>
      <c r="I128" s="33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J22" sqref="J2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8606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7159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2164</v>
      </c>
      <c r="D5" s="203" t="s">
        <v>1469</v>
      </c>
      <c r="E5" s="204" t="s">
        <v>1470</v>
      </c>
      <c r="F5" s="204" t="s">
        <v>1471</v>
      </c>
      <c r="G5" s="205"/>
    </row>
    <row r="6" spans="1:9" s="206" customFormat="1" ht="13.5" customHeight="1">
      <c r="A6" s="732" t="s">
        <v>1472</v>
      </c>
      <c r="B6" s="207" t="s">
        <v>1473</v>
      </c>
      <c r="C6" s="208">
        <f>基准地价修正!I42</f>
        <v>1867</v>
      </c>
      <c r="D6" s="209"/>
      <c r="E6" s="210"/>
      <c r="F6" s="210"/>
      <c r="G6" s="211"/>
    </row>
    <row r="7" spans="1:9" s="206" customFormat="1" ht="13.5" customHeight="1">
      <c r="A7" s="732" t="s">
        <v>1474</v>
      </c>
      <c r="B7" s="207" t="s">
        <v>1475</v>
      </c>
      <c r="C7" s="212">
        <f>ROUND(C6*F7,0)</f>
        <v>57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240</v>
      </c>
      <c r="D8" s="214"/>
      <c r="E8" s="212"/>
      <c r="F8" s="213"/>
      <c r="G8" s="1714" t="s">
        <v>3439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3440</v>
      </c>
      <c r="H9" s="1070"/>
      <c r="I9" s="1716" t="s">
        <v>1479</v>
      </c>
    </row>
    <row r="10" spans="1:9" s="206" customFormat="1" ht="13.5" customHeight="1">
      <c r="A10" s="733" t="s">
        <v>356</v>
      </c>
      <c r="B10" s="216" t="s">
        <v>1480</v>
      </c>
      <c r="C10" s="217">
        <f ca="1">ROUND(D10*E10/10000,0)</f>
        <v>240</v>
      </c>
      <c r="D10" s="795">
        <f ca="1">IF(B1="",'数据-汇总表'!E6,IF(INDIRECT("'数据-取费表'!c"&amp;$G$1)="住宅",INDIRECT("'数据-取费表'!s"&amp;$G$1),INDIRECT("'数据-取费表'!k"&amp;$G$1)+INDIRECT("'数据-取费表'!s"&amp;$G$1)))</f>
        <v>12021.93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12021.93</v>
      </c>
      <c r="E19" s="203">
        <f>'数据-取费表'!B31</f>
        <v>200</v>
      </c>
      <c r="F19" s="223"/>
      <c r="G19" s="1714" t="s">
        <v>3441</v>
      </c>
    </row>
    <row r="20" spans="1:7" s="206" customFormat="1" ht="13.5" customHeight="1">
      <c r="A20" s="247" t="s">
        <v>1493</v>
      </c>
      <c r="B20" s="202" t="s">
        <v>1494</v>
      </c>
      <c r="C20" s="224">
        <f ca="1">ROUND((C5+C19)*F20,0)</f>
        <v>43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133</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110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110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2648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6672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6011</v>
      </c>
      <c r="D34" s="209"/>
      <c r="E34" s="212"/>
      <c r="F34" s="249">
        <f ca="1">IF('数据-取费表'!B24=0,1,IF(B1="",'数据-取费表'!N16,INDIRECT("'数据-取费表'!n"&amp;$G$1)))</f>
        <v>1</v>
      </c>
      <c r="G34" s="211" t="s">
        <v>1526</v>
      </c>
    </row>
    <row r="35" spans="1:7" ht="13.5" customHeight="1">
      <c r="A35" s="734" t="s">
        <v>351</v>
      </c>
      <c r="B35" s="207" t="s">
        <v>1527</v>
      </c>
      <c r="C35" s="212">
        <f ca="1">ROUND(C34*F35,0)</f>
        <v>301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240</v>
      </c>
      <c r="D37" s="209">
        <f ca="1">D19</f>
        <v>12021.93</v>
      </c>
      <c r="E37" s="241">
        <f>'数据-取费表'!B35</f>
        <v>200</v>
      </c>
      <c r="F37" s="251"/>
      <c r="G37" s="253" t="s">
        <v>1532</v>
      </c>
    </row>
    <row r="38" spans="1:7" ht="13.5" customHeight="1">
      <c r="A38" s="734" t="s">
        <v>354</v>
      </c>
      <c r="B38" s="207" t="s">
        <v>1533</v>
      </c>
      <c r="C38" s="212">
        <f ca="1">ROUND(C34*F38,0)</f>
        <v>120</v>
      </c>
      <c r="D38" s="212"/>
      <c r="E38" s="212"/>
      <c r="F38" s="251">
        <f>'数据-取费表'!B36</f>
        <v>0.02</v>
      </c>
      <c r="G38" s="211" t="s">
        <v>1528</v>
      </c>
    </row>
    <row r="39" spans="1:7" s="206" customFormat="1" ht="13.5" customHeight="1">
      <c r="A39" s="247" t="s">
        <v>1534</v>
      </c>
      <c r="B39" s="202" t="s">
        <v>1535</v>
      </c>
      <c r="C39" s="224">
        <f ca="1">ROUND(C33*F20,0)</f>
        <v>133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200</v>
      </c>
      <c r="D42" s="230"/>
      <c r="E42" s="230"/>
      <c r="F42" s="231"/>
      <c r="G42" s="3353" t="s">
        <v>1544</v>
      </c>
    </row>
    <row r="43" spans="1:7" ht="13.5" customHeight="1">
      <c r="A43" s="734" t="s">
        <v>347</v>
      </c>
      <c r="B43" s="207" t="s">
        <v>1545</v>
      </c>
      <c r="C43" s="230">
        <f ca="1">ROUND(IF('数据-取费表'!B22&lt;=1,C39*F22*'数据-取费表'!B21/2,C39*(POWER((1+F22),'数据-取费表'!B21/2)-1)),0)</f>
        <v>4</v>
      </c>
      <c r="D43" s="230"/>
      <c r="E43" s="230"/>
      <c r="F43" s="231"/>
      <c r="G43" s="3354"/>
    </row>
    <row r="44" spans="1:7" ht="13.5" customHeight="1">
      <c r="A44" s="734" t="s">
        <v>348</v>
      </c>
      <c r="B44" s="207" t="s">
        <v>1546</v>
      </c>
      <c r="C44" s="230">
        <f ca="1">ROUND(IF('数据-取费表'!B22&lt;=1,C40*F22*'数据-取费表'!B21/2,C40*(POWER((1+F22),'数据-取费表'!B21/2)-1)),4)</f>
        <v>5.9999999999999995E-4</v>
      </c>
      <c r="D44" s="230"/>
      <c r="E44" s="230"/>
      <c r="F44" s="231"/>
      <c r="G44" s="3355"/>
    </row>
    <row r="45" spans="1:7" s="206" customFormat="1" ht="13.5" customHeight="1">
      <c r="A45" s="247" t="s">
        <v>1547</v>
      </c>
      <c r="B45" s="236" t="s">
        <v>1513</v>
      </c>
      <c r="C45" s="237">
        <f ca="1">C46</f>
        <v>340</v>
      </c>
      <c r="D45" s="227">
        <f ca="1">C47</f>
        <v>1E-3</v>
      </c>
      <c r="E45" s="228" t="s">
        <v>1539</v>
      </c>
      <c r="F45" s="238">
        <f ca="1">F27</f>
        <v>0.05</v>
      </c>
      <c r="G45" s="239" t="s">
        <v>1548</v>
      </c>
    </row>
    <row r="46" spans="1:7" s="206" customFormat="1" ht="13.5" customHeight="1">
      <c r="A46" s="734" t="s">
        <v>346</v>
      </c>
      <c r="B46" s="240" t="s">
        <v>1549</v>
      </c>
      <c r="C46" s="241">
        <f ca="1">ROUND((C33+C39)*F27,0)</f>
        <v>340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7944</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5958</v>
      </c>
      <c r="D51" s="224"/>
      <c r="E51" s="224"/>
      <c r="F51" s="256"/>
      <c r="G51" s="226" t="s">
        <v>1560</v>
      </c>
    </row>
    <row r="52" spans="1:7" s="200" customFormat="1" ht="16.5" thickBot="1">
      <c r="A52" s="257" t="s">
        <v>1561</v>
      </c>
      <c r="B52" s="258"/>
      <c r="C52" s="259">
        <f ca="1">C31+C51</f>
        <v>8606</v>
      </c>
      <c r="D52" s="258"/>
      <c r="E52" s="258"/>
      <c r="F52" s="258"/>
      <c r="G52" s="260"/>
    </row>
    <row r="55" spans="1:7" ht="15">
      <c r="B55" s="262" t="s">
        <v>1562</v>
      </c>
      <c r="C55" s="263"/>
    </row>
    <row r="56" spans="1:7">
      <c r="B56" s="265" t="s">
        <v>802</v>
      </c>
      <c r="C56" s="267">
        <f ca="1">1-C57</f>
        <v>0.30800000000000005</v>
      </c>
    </row>
    <row r="57" spans="1:7">
      <c r="B57" s="265" t="s">
        <v>803</v>
      </c>
      <c r="C57" s="266">
        <f ca="1">ROUND(C51/C52,3)</f>
        <v>0.69199999999999995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6547.5528000000004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5446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2404386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2404386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2404386</v>
      </c>
      <c r="D10" s="795">
        <f ca="1">IF(B1="",'数据-汇总表'!E6,IF(INDIRECT("'数据-取费表'!c"&amp;$G$1)="住宅",INDIRECT("'数据-取费表'!s"&amp;$G$1),INDIRECT("'数据-取费表'!k"&amp;$G$1)+INDIRECT("'数据-取费表'!s"&amp;$G$1)))</f>
        <v>12021.93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2404386</v>
      </c>
      <c r="D19" s="204">
        <f ca="1">D9+D10</f>
        <v>12021.93</v>
      </c>
      <c r="E19" s="203">
        <f>'数据-取费表'!B31</f>
        <v>200</v>
      </c>
      <c r="F19" s="223"/>
      <c r="G19" s="1714"/>
    </row>
    <row r="20" spans="1:7" s="206" customFormat="1" ht="13.5" customHeight="1">
      <c r="A20" s="247" t="s">
        <v>1574</v>
      </c>
      <c r="B20" s="202" t="s">
        <v>1575</v>
      </c>
      <c r="C20" s="224">
        <f ca="1">ROUND((C5+C19)*F20,0)</f>
        <v>96175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295739</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146427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146427</v>
      </c>
      <c r="D24" s="230"/>
      <c r="E24" s="230"/>
      <c r="F24" s="231"/>
      <c r="G24" s="232" t="s">
        <v>1586</v>
      </c>
    </row>
    <row r="25" spans="1:7" s="206" customFormat="1" ht="24">
      <c r="A25" s="734" t="s">
        <v>1476</v>
      </c>
      <c r="B25" s="207" t="s">
        <v>1587</v>
      </c>
      <c r="C25" s="230">
        <f ca="1">ROUND(IF('数据-取费表'!B22&lt;=1,C20*F22*'数据-取费表'!B22/2,C20*(POWER((1+F22),'数据-取费表'!B22/2)-1)),0)</f>
        <v>2885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245247</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245247</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5886859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66721712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60109650</v>
      </c>
      <c r="D34" s="209"/>
      <c r="E34" s="212"/>
      <c r="F34" s="249"/>
      <c r="G34" s="211"/>
    </row>
    <row r="35" spans="1:7" ht="13.5" customHeight="1">
      <c r="A35" s="734" t="s">
        <v>351</v>
      </c>
      <c r="B35" s="207" t="s">
        <v>1527</v>
      </c>
      <c r="C35" s="212">
        <f ca="1">ROUND(C34*F35,0)</f>
        <v>3005483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2404386</v>
      </c>
      <c r="D37" s="209">
        <f ca="1">D19</f>
        <v>12021.93</v>
      </c>
      <c r="E37" s="241">
        <f>'数据-取费表'!B35</f>
        <v>200</v>
      </c>
      <c r="F37" s="251"/>
      <c r="G37" s="253"/>
    </row>
    <row r="38" spans="1:7" ht="13.5" customHeight="1">
      <c r="A38" s="734" t="s">
        <v>354</v>
      </c>
      <c r="B38" s="207" t="s">
        <v>1533</v>
      </c>
      <c r="C38" s="212">
        <f ca="1">ROUND(C34*F38,0)</f>
        <v>1202193</v>
      </c>
      <c r="D38" s="212"/>
      <c r="E38" s="212"/>
      <c r="F38" s="251">
        <f>'数据-取费表'!B36</f>
        <v>0.02</v>
      </c>
      <c r="G38" s="211" t="s">
        <v>1528</v>
      </c>
    </row>
    <row r="39" spans="1:7" s="206" customFormat="1" ht="13.5" customHeight="1">
      <c r="A39" s="247" t="s">
        <v>1534</v>
      </c>
      <c r="B39" s="202" t="s">
        <v>1535</v>
      </c>
      <c r="C39" s="224">
        <f ca="1">ROUND(C33*F20,0)</f>
        <v>1334434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2041684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2001651</v>
      </c>
      <c r="D42" s="230"/>
      <c r="E42" s="230"/>
      <c r="F42" s="231"/>
      <c r="G42" s="3353" t="s">
        <v>1591</v>
      </c>
    </row>
    <row r="43" spans="1:7" ht="13.5" customHeight="1">
      <c r="A43" s="734" t="s">
        <v>347</v>
      </c>
      <c r="B43" s="207" t="s">
        <v>1545</v>
      </c>
      <c r="C43" s="230">
        <f ca="1">ROUND(IF('数据-取费表'!B22&lt;=1,C39*F22*'数据-取费表'!B20/2,C39*(POWER((1+F22),'数据-取费表'!B20/2)-1)),0)</f>
        <v>40033</v>
      </c>
      <c r="D43" s="230"/>
      <c r="E43" s="230"/>
      <c r="F43" s="231"/>
      <c r="G43" s="3354"/>
    </row>
    <row r="44" spans="1:7" ht="13.5" customHeight="1">
      <c r="A44" s="734" t="s">
        <v>348</v>
      </c>
      <c r="B44" s="207" t="s">
        <v>1546</v>
      </c>
      <c r="C44" s="230">
        <f ca="1">ROUND(IF('数据-取费表'!B22&lt;=1,C40*F22*'数据-取费表'!B20/2,C40*(POWER((1+F22),'数据-取费表'!B20/2)-1)),4)</f>
        <v>5.9999999999999995E-4</v>
      </c>
      <c r="D44" s="230"/>
      <c r="E44" s="230"/>
      <c r="F44" s="231"/>
      <c r="G44" s="3355"/>
    </row>
    <row r="45" spans="1:7" s="206" customFormat="1" ht="13.5" customHeight="1">
      <c r="A45" s="247" t="s">
        <v>1547</v>
      </c>
      <c r="B45" s="236" t="s">
        <v>1513</v>
      </c>
      <c r="C45" s="237">
        <f ca="1">C46</f>
        <v>3402807</v>
      </c>
      <c r="D45" s="227">
        <f ca="1">C47</f>
        <v>1E-3</v>
      </c>
      <c r="E45" s="228" t="s">
        <v>1539</v>
      </c>
      <c r="F45" s="238">
        <f ca="1">F27</f>
        <v>0.05</v>
      </c>
      <c r="G45" s="239" t="s">
        <v>1548</v>
      </c>
    </row>
    <row r="46" spans="1:7" s="206" customFormat="1" ht="13.5" customHeight="1">
      <c r="A46" s="734" t="s">
        <v>346</v>
      </c>
      <c r="B46" s="240" t="s">
        <v>1549</v>
      </c>
      <c r="C46" s="241">
        <f ca="1">ROUND((C33+C39)*F27,0)</f>
        <v>3402807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79451559</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59588669</v>
      </c>
      <c r="D51" s="224"/>
      <c r="E51" s="224"/>
      <c r="F51" s="256"/>
      <c r="G51" s="226" t="s">
        <v>1560</v>
      </c>
    </row>
    <row r="52" spans="1:7" s="200" customFormat="1" ht="16.5" thickBot="1">
      <c r="A52" s="257" t="s">
        <v>1561</v>
      </c>
      <c r="B52" s="258"/>
      <c r="C52" s="259">
        <f ca="1">C31+C51</f>
        <v>65475528</v>
      </c>
      <c r="D52" s="258"/>
      <c r="E52" s="258"/>
      <c r="F52" s="258"/>
      <c r="G52" s="260"/>
    </row>
    <row r="55" spans="1:7" ht="15">
      <c r="B55" s="262" t="s">
        <v>1562</v>
      </c>
      <c r="C55" s="263"/>
    </row>
    <row r="56" spans="1:7">
      <c r="B56" s="265" t="s">
        <v>802</v>
      </c>
      <c r="C56" s="267">
        <f ca="1">1-C57</f>
        <v>8.9999999999999969E-2</v>
      </c>
    </row>
    <row r="57" spans="1:7">
      <c r="B57" s="265" t="s">
        <v>803</v>
      </c>
      <c r="C57" s="266">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12021.93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12021.93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240</v>
      </c>
      <c r="D20" s="796">
        <f ca="1">IF(C1="",'数据-汇总表'!E6,IF(INDIRECT("'数据-取费表'!c"&amp;$K$1)="住宅",INDIRECT("'数据-取费表'!s"&amp;$K$1),INDIRECT("'数据-取费表'!k"&amp;$K$1)+INDIRECT("'数据-取费表'!s"&amp;$K$1)))</f>
        <v>12021.93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0</v>
      </c>
      <c r="D6" s="147" t="s">
        <v>2106</v>
      </c>
      <c r="E6" s="294" t="s">
        <v>696</v>
      </c>
      <c r="F6" s="295">
        <f ca="1">INDIRECT("'数据-取费表'!u"&amp;$G$1)</f>
        <v>0</v>
      </c>
      <c r="G6" s="1292"/>
      <c r="H6" s="1006" t="s">
        <v>398</v>
      </c>
      <c r="I6" s="3356" t="s">
        <v>694</v>
      </c>
      <c r="J6" s="293">
        <f ca="1">ROUND(M6*M8*M7*(1-M9),0)</f>
        <v>0</v>
      </c>
      <c r="K6" s="1284"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3343</v>
      </c>
      <c r="B45" s="1307"/>
      <c r="C45" s="1376" t="e">
        <f ca="1">ROUND((C68-C40)/10000,4)</f>
        <v>#DIV/0!</v>
      </c>
      <c r="D45" s="3130"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53</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3" t="s">
        <v>2306</v>
      </c>
      <c r="B2" s="2594" t="e">
        <f>IF(D2="——",C40,C40+E2)</f>
        <v>#DIV/0!</v>
      </c>
      <c r="C2" s="2595" t="s">
        <v>2307</v>
      </c>
      <c r="D2" s="3138" t="s">
        <v>3349</v>
      </c>
      <c r="E2" s="3139"/>
      <c r="F2" s="2597"/>
      <c r="G2" s="2598"/>
      <c r="H2" s="2599"/>
      <c r="I2" s="2600"/>
      <c r="J2" s="3367" t="s">
        <v>2308</v>
      </c>
      <c r="K2" s="3368"/>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369" t="s">
        <v>2318</v>
      </c>
      <c r="K3" s="3370"/>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369" t="s">
        <v>2320</v>
      </c>
      <c r="K4" s="3370"/>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375" t="s">
        <v>2324</v>
      </c>
      <c r="B6" s="3376"/>
      <c r="C6" s="3377"/>
      <c r="D6" s="2621"/>
      <c r="E6" s="2622"/>
      <c r="F6" s="2623"/>
      <c r="G6" s="2624"/>
      <c r="H6" s="2599"/>
      <c r="I6" s="2600"/>
      <c r="J6" s="3361">
        <v>1</v>
      </c>
      <c r="K6" s="3362"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361"/>
      <c r="K7" s="3363"/>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378" t="s">
        <v>2338</v>
      </c>
      <c r="C8" s="3379"/>
      <c r="D8" s="2640" t="s">
        <v>2339</v>
      </c>
      <c r="E8" s="2641" t="s">
        <v>2340</v>
      </c>
      <c r="F8" s="2642" t="s">
        <v>2341</v>
      </c>
      <c r="G8" s="2643"/>
      <c r="H8" s="2599"/>
      <c r="I8" s="2600"/>
      <c r="J8" s="3361"/>
      <c r="K8" s="3363"/>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378" t="s">
        <v>2344</v>
      </c>
      <c r="C9" s="3379"/>
      <c r="D9" s="2640">
        <f>ROUND(D6*E9,0)</f>
        <v>0</v>
      </c>
      <c r="E9" s="2644"/>
      <c r="F9" s="2645" t="s">
        <v>2345</v>
      </c>
      <c r="G9" s="2624"/>
      <c r="H9" s="2599"/>
      <c r="I9" s="2600"/>
      <c r="J9" s="3361"/>
      <c r="K9" s="3363"/>
      <c r="L9" s="2634" t="s">
        <v>2346</v>
      </c>
      <c r="M9" s="2635"/>
      <c r="N9" s="2611"/>
      <c r="O9" s="2636"/>
      <c r="P9" s="2636"/>
      <c r="Q9" s="2637">
        <v>365</v>
      </c>
      <c r="R9" s="2638">
        <f t="shared" si="0"/>
        <v>0</v>
      </c>
      <c r="S9" s="2592"/>
      <c r="T9" s="2592"/>
      <c r="U9" s="2592"/>
      <c r="V9" s="2600"/>
    </row>
    <row r="10" spans="1:22" s="2604" customFormat="1" ht="13.15" customHeight="1">
      <c r="A10" s="2639">
        <v>2</v>
      </c>
      <c r="B10" s="3378" t="s">
        <v>2347</v>
      </c>
      <c r="C10" s="3379"/>
      <c r="D10" s="2640">
        <f>ROUND(D6*E10,0)</f>
        <v>0</v>
      </c>
      <c r="E10" s="2644"/>
      <c r="F10" s="2645" t="s">
        <v>2348</v>
      </c>
      <c r="G10" s="2624"/>
      <c r="H10" s="2599"/>
      <c r="I10" s="2600"/>
      <c r="J10" s="3361"/>
      <c r="K10" s="3363"/>
      <c r="L10" s="2634" t="s">
        <v>2349</v>
      </c>
      <c r="M10" s="2635"/>
      <c r="N10" s="2611"/>
      <c r="O10" s="2636"/>
      <c r="P10" s="2636"/>
      <c r="Q10" s="2637">
        <v>365</v>
      </c>
      <c r="R10" s="2638">
        <f t="shared" si="0"/>
        <v>0</v>
      </c>
      <c r="S10" s="2592"/>
      <c r="T10" s="2592"/>
      <c r="U10" s="2592"/>
      <c r="V10" s="2600"/>
    </row>
    <row r="11" spans="1:22" s="2604" customFormat="1" ht="13.15" customHeight="1">
      <c r="A11" s="2639">
        <v>3</v>
      </c>
      <c r="B11" s="3378" t="s">
        <v>2350</v>
      </c>
      <c r="C11" s="3379"/>
      <c r="D11" s="2640">
        <f>D12+D14+D15+D16</f>
        <v>0</v>
      </c>
      <c r="E11" s="2646" t="e">
        <f>D11/D6</f>
        <v>#DIV/0!</v>
      </c>
      <c r="F11" s="2642"/>
      <c r="G11" s="2643"/>
      <c r="H11" s="2599"/>
      <c r="I11" s="2600"/>
      <c r="J11" s="3361"/>
      <c r="K11" s="3363"/>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371" t="s">
        <v>2353</v>
      </c>
      <c r="C12" s="3372"/>
      <c r="D12" s="2648">
        <f>ROUND(D13*1.2%*(1-30%),0)</f>
        <v>0</v>
      </c>
      <c r="E12" s="2649">
        <v>1.2E-2</v>
      </c>
      <c r="F12" s="2642" t="s">
        <v>2354</v>
      </c>
      <c r="G12" s="2643"/>
      <c r="H12" s="2599"/>
      <c r="I12" s="2600"/>
      <c r="J12" s="3361"/>
      <c r="K12" s="3363"/>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361"/>
      <c r="K13" s="3363"/>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371" t="s">
        <v>2359</v>
      </c>
      <c r="C14" s="3372"/>
      <c r="D14" s="2648">
        <f>ROUND(E14*B5/10000,0)</f>
        <v>0</v>
      </c>
      <c r="E14" s="2637"/>
      <c r="F14" s="2642" t="s">
        <v>2360</v>
      </c>
      <c r="G14" s="2643"/>
      <c r="H14" s="2599"/>
      <c r="I14" s="2600"/>
      <c r="J14" s="3361"/>
      <c r="K14" s="3364"/>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371" t="s">
        <v>2363</v>
      </c>
      <c r="C15" s="3372"/>
      <c r="D15" s="2648">
        <f>ROUND(D6*E15,0)</f>
        <v>0</v>
      </c>
      <c r="E15" s="2649">
        <v>5.5E-2</v>
      </c>
      <c r="F15" s="2642" t="s">
        <v>2364</v>
      </c>
      <c r="G15" s="2624"/>
      <c r="H15" s="2599"/>
      <c r="I15" s="2600"/>
      <c r="J15" s="3361">
        <v>2</v>
      </c>
      <c r="K15" s="3362"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371" t="s">
        <v>2372</v>
      </c>
      <c r="C16" s="3372"/>
      <c r="D16" s="2659">
        <f>D6*E16</f>
        <v>0</v>
      </c>
      <c r="E16" s="2660"/>
      <c r="F16" s="2645" t="s">
        <v>2373</v>
      </c>
      <c r="G16" s="2624"/>
      <c r="H16" s="2599"/>
      <c r="I16" s="2600"/>
      <c r="J16" s="3361"/>
      <c r="K16" s="3363"/>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373" t="s">
        <v>2375</v>
      </c>
      <c r="C17" s="3374"/>
      <c r="D17" s="2662">
        <f>ROUND(D6*E17,0)</f>
        <v>0</v>
      </c>
      <c r="E17" s="2663"/>
      <c r="F17" s="2664" t="s">
        <v>2376</v>
      </c>
      <c r="G17" s="2624"/>
      <c r="H17" s="2599"/>
      <c r="I17" s="2600"/>
      <c r="J17" s="3361"/>
      <c r="K17" s="3363"/>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361"/>
      <c r="K18" s="3363"/>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361"/>
      <c r="K19" s="3364"/>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1">
        <v>3</v>
      </c>
      <c r="K20" s="3362"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361"/>
      <c r="K21" s="3363"/>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361"/>
      <c r="K22" s="3363"/>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361"/>
      <c r="K23" s="3363"/>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361"/>
      <c r="K24" s="3364"/>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365">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36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367" t="s">
        <v>2308</v>
      </c>
      <c r="K32" s="3368"/>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369" t="s">
        <v>2318</v>
      </c>
      <c r="K33" s="3370"/>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369" t="s">
        <v>2320</v>
      </c>
      <c r="K34" s="337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361">
        <v>1</v>
      </c>
      <c r="K36" s="3362"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361"/>
      <c r="K37" s="3363"/>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1"/>
      <c r="K38" s="3363"/>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361"/>
      <c r="K39" s="3363"/>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361"/>
      <c r="K40" s="3364"/>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5">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36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5966</v>
      </c>
      <c r="C2" s="1729" t="s">
        <v>1651</v>
      </c>
      <c r="D2" s="1730" t="s">
        <v>1652</v>
      </c>
      <c r="E2" s="2392">
        <f>SUM(E6:E13)</f>
        <v>12021.93</v>
      </c>
      <c r="F2" s="2479"/>
      <c r="G2" s="459"/>
      <c r="H2" s="459"/>
      <c r="I2" s="459"/>
      <c r="J2" s="459"/>
      <c r="K2" s="459"/>
      <c r="L2" s="459"/>
      <c r="M2" s="459"/>
      <c r="N2" s="459"/>
      <c r="O2" s="459"/>
      <c r="P2" s="459"/>
      <c r="Q2" s="459"/>
      <c r="R2" s="459"/>
      <c r="S2" s="459"/>
    </row>
    <row r="3" spans="1:22" ht="15.75">
      <c r="A3" s="1728" t="s">
        <v>686</v>
      </c>
      <c r="B3" s="2386">
        <f ca="1">ROUND(B2*10000/E2,0)</f>
        <v>4963</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0" t="s">
        <v>1654</v>
      </c>
      <c r="C5" s="3381"/>
      <c r="D5" s="2480"/>
      <c r="E5" s="1731"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5966</v>
      </c>
      <c r="C6" s="1729" t="s">
        <v>1651</v>
      </c>
      <c r="D6" s="2479"/>
      <c r="E6" s="2391">
        <f>IF(OR(A6=0,F6="否"),0,'数据-取费表'!K6+'数据-取费表'!S6)</f>
        <v>12021.93</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12021.93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00" t="s">
        <v>1667</v>
      </c>
      <c r="D4" s="3401"/>
      <c r="E4" s="3402" t="s">
        <v>1668</v>
      </c>
      <c r="F4" s="3403"/>
      <c r="G4" s="3400" t="s">
        <v>1669</v>
      </c>
      <c r="H4" s="3401"/>
      <c r="I4" s="3400" t="s">
        <v>1670</v>
      </c>
      <c r="J4" s="3401"/>
      <c r="K4" s="1744" t="s">
        <v>1671</v>
      </c>
      <c r="L4" s="2486"/>
      <c r="M4" s="2487"/>
      <c r="N4" s="2487"/>
      <c r="O4" s="2487"/>
      <c r="P4" s="3404" t="s">
        <v>1672</v>
      </c>
      <c r="Q4" s="3405"/>
      <c r="R4" s="3410" t="s">
        <v>1668</v>
      </c>
      <c r="S4" s="3411"/>
      <c r="T4" s="3410" t="s">
        <v>1669</v>
      </c>
      <c r="U4" s="3411"/>
      <c r="V4" s="3386" t="s">
        <v>1670</v>
      </c>
      <c r="W4" s="3386"/>
      <c r="X4" s="1265"/>
      <c r="Y4" s="3410" t="s">
        <v>1672</v>
      </c>
      <c r="Z4" s="3411"/>
      <c r="AA4" s="3397" t="s">
        <v>1668</v>
      </c>
      <c r="AB4" s="3397" t="s">
        <v>1669</v>
      </c>
      <c r="AC4" s="3397" t="s">
        <v>1670</v>
      </c>
    </row>
    <row r="5" spans="1:29" ht="15">
      <c r="A5" s="348"/>
      <c r="B5" s="349"/>
      <c r="C5" s="3418" t="s">
        <v>1673</v>
      </c>
      <c r="D5" s="3419"/>
      <c r="E5" s="3425" t="s">
        <v>1674</v>
      </c>
      <c r="F5" s="3426"/>
      <c r="G5" s="3418" t="s">
        <v>1675</v>
      </c>
      <c r="H5" s="3419"/>
      <c r="I5" s="3418" t="s">
        <v>1676</v>
      </c>
      <c r="J5" s="3419"/>
      <c r="K5" s="1745"/>
      <c r="L5" s="2486"/>
      <c r="M5" s="2487"/>
      <c r="N5" s="2487"/>
      <c r="O5" s="2487"/>
      <c r="P5" s="3406"/>
      <c r="Q5" s="3407"/>
      <c r="R5" s="3412"/>
      <c r="S5" s="3413"/>
      <c r="T5" s="3412"/>
      <c r="U5" s="3413"/>
      <c r="V5" s="3386"/>
      <c r="W5" s="3386"/>
      <c r="X5" s="1265"/>
      <c r="Y5" s="3412"/>
      <c r="Z5" s="3413"/>
      <c r="AA5" s="3398"/>
      <c r="AB5" s="3398"/>
      <c r="AC5" s="3398"/>
    </row>
    <row r="6" spans="1:29" ht="15.75" thickBot="1">
      <c r="A6" s="350"/>
      <c r="B6" s="351"/>
      <c r="C6" s="3416" t="s">
        <v>1677</v>
      </c>
      <c r="D6" s="3417"/>
      <c r="E6" s="3423" t="s">
        <v>1677</v>
      </c>
      <c r="F6" s="3424"/>
      <c r="G6" s="3416" t="s">
        <v>1677</v>
      </c>
      <c r="H6" s="3417"/>
      <c r="I6" s="3416" t="s">
        <v>1677</v>
      </c>
      <c r="J6" s="3417"/>
      <c r="K6" s="1745" t="s">
        <v>1678</v>
      </c>
      <c r="L6" s="2486"/>
      <c r="M6" s="2487"/>
      <c r="N6" s="2487"/>
      <c r="O6" s="2487"/>
      <c r="P6" s="3408"/>
      <c r="Q6" s="3409"/>
      <c r="R6" s="3412"/>
      <c r="S6" s="3413"/>
      <c r="T6" s="3414"/>
      <c r="U6" s="3415"/>
      <c r="V6" s="3386"/>
      <c r="W6" s="3386"/>
      <c r="X6" s="1265"/>
      <c r="Y6" s="3414"/>
      <c r="Z6" s="3415"/>
      <c r="AA6" s="3399"/>
      <c r="AB6" s="3399"/>
      <c r="AC6" s="3399"/>
    </row>
    <row r="7" spans="1:29" s="102" customFormat="1" ht="15.75" thickBot="1">
      <c r="A7" s="352" t="s">
        <v>1679</v>
      </c>
      <c r="B7" s="353"/>
      <c r="C7" s="354">
        <f>'数据-取费表'!B2</f>
        <v>45854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20" t="s">
        <v>1680</v>
      </c>
      <c r="Q7" s="3422"/>
      <c r="R7" s="664" t="s">
        <v>20</v>
      </c>
      <c r="S7" s="665">
        <f t="shared" ref="S7:S15" si="0">F7</f>
        <v>0</v>
      </c>
      <c r="T7" s="664" t="s">
        <v>20</v>
      </c>
      <c r="U7" s="665">
        <f t="shared" ref="U7:U15" si="1">H7</f>
        <v>0</v>
      </c>
      <c r="V7" s="664" t="s">
        <v>20</v>
      </c>
      <c r="W7" s="665">
        <f t="shared" ref="W7:W15" si="2">J7</f>
        <v>0</v>
      </c>
      <c r="X7" s="666"/>
      <c r="Y7" s="3420" t="s">
        <v>1680</v>
      </c>
      <c r="Z7" s="342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20" t="s">
        <v>1683</v>
      </c>
      <c r="Q8" s="3421"/>
      <c r="R8" s="664" t="s">
        <v>20</v>
      </c>
      <c r="S8" s="665">
        <f t="shared" si="0"/>
        <v>100</v>
      </c>
      <c r="T8" s="664" t="s">
        <v>20</v>
      </c>
      <c r="U8" s="665">
        <f t="shared" si="1"/>
        <v>100</v>
      </c>
      <c r="V8" s="664" t="s">
        <v>20</v>
      </c>
      <c r="W8" s="665">
        <f t="shared" si="2"/>
        <v>100</v>
      </c>
      <c r="X8" s="666"/>
      <c r="Y8" s="3420" t="s">
        <v>1683</v>
      </c>
      <c r="Z8" s="342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6"/>
      <c r="Q11" s="530" t="str">
        <f t="shared" si="6"/>
        <v>容积率</v>
      </c>
      <c r="R11" s="664" t="s">
        <v>18</v>
      </c>
      <c r="S11" s="665" t="e">
        <f t="shared" si="0"/>
        <v>#N/A</v>
      </c>
      <c r="T11" s="664" t="s">
        <v>18</v>
      </c>
      <c r="U11" s="665" t="e">
        <f t="shared" si="1"/>
        <v>#N/A</v>
      </c>
      <c r="V11" s="664" t="s">
        <v>18</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6"/>
      <c r="Q12" s="530">
        <f t="shared" si="6"/>
        <v>111</v>
      </c>
      <c r="R12" s="664" t="s">
        <v>18</v>
      </c>
      <c r="S12" s="665">
        <f t="shared" si="0"/>
        <v>100</v>
      </c>
      <c r="T12" s="664" t="s">
        <v>18</v>
      </c>
      <c r="U12" s="665">
        <f t="shared" si="1"/>
        <v>100</v>
      </c>
      <c r="V12" s="664" t="s">
        <v>18</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6"/>
      <c r="Q13" s="530">
        <f t="shared" si="6"/>
        <v>111</v>
      </c>
      <c r="R13" s="664" t="s">
        <v>18</v>
      </c>
      <c r="S13" s="665">
        <f t="shared" si="0"/>
        <v>100</v>
      </c>
      <c r="T13" s="664" t="s">
        <v>18</v>
      </c>
      <c r="U13" s="665">
        <f t="shared" si="1"/>
        <v>100</v>
      </c>
      <c r="V13" s="664" t="s">
        <v>18</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6"/>
      <c r="Q14" s="530">
        <f t="shared" si="6"/>
        <v>111</v>
      </c>
      <c r="R14" s="664" t="s">
        <v>18</v>
      </c>
      <c r="S14" s="665">
        <f t="shared" si="0"/>
        <v>100</v>
      </c>
      <c r="T14" s="664" t="s">
        <v>18</v>
      </c>
      <c r="U14" s="665">
        <f t="shared" si="1"/>
        <v>100</v>
      </c>
      <c r="V14" s="664" t="s">
        <v>18</v>
      </c>
      <c r="W14" s="665">
        <f t="shared" si="2"/>
        <v>100</v>
      </c>
      <c r="X14" s="666"/>
      <c r="Y14" s="326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4" t="s">
        <v>1691</v>
      </c>
      <c r="Q15" s="1263" t="str">
        <f t="shared" si="6"/>
        <v>居住社区成熟度</v>
      </c>
      <c r="R15" s="667" t="s">
        <v>18</v>
      </c>
      <c r="S15" s="668">
        <f t="shared" si="0"/>
        <v>100</v>
      </c>
      <c r="T15" s="667" t="s">
        <v>18</v>
      </c>
      <c r="U15" s="668">
        <f t="shared" si="1"/>
        <v>100</v>
      </c>
      <c r="V15" s="667" t="s">
        <v>18</v>
      </c>
      <c r="W15" s="668">
        <f t="shared" si="2"/>
        <v>100</v>
      </c>
      <c r="X15" s="1265"/>
      <c r="Y15" s="338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5"/>
      <c r="Q16" s="1263"/>
      <c r="R16" s="667"/>
      <c r="S16" s="668"/>
      <c r="T16" s="667"/>
      <c r="U16" s="668"/>
      <c r="V16" s="667"/>
      <c r="W16" s="668"/>
      <c r="X16" s="1265"/>
      <c r="Y16" s="338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5"/>
      <c r="Q17" s="1263" t="str">
        <f>B17</f>
        <v>交通便捷度</v>
      </c>
      <c r="R17" s="667" t="s">
        <v>18</v>
      </c>
      <c r="S17" s="668">
        <f>F17</f>
        <v>100</v>
      </c>
      <c r="T17" s="667" t="s">
        <v>18</v>
      </c>
      <c r="U17" s="668">
        <f>H17</f>
        <v>100</v>
      </c>
      <c r="V17" s="667" t="s">
        <v>18</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5"/>
      <c r="Q18" s="1263"/>
      <c r="R18" s="667"/>
      <c r="S18" s="668"/>
      <c r="T18" s="667"/>
      <c r="U18" s="668"/>
      <c r="V18" s="667"/>
      <c r="W18" s="668"/>
      <c r="X18" s="1265"/>
      <c r="Y18" s="338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5"/>
      <c r="Q19" s="1263" t="str">
        <f>B19</f>
        <v>公共配套设施</v>
      </c>
      <c r="R19" s="667" t="s">
        <v>18</v>
      </c>
      <c r="S19" s="668">
        <f>F19</f>
        <v>100</v>
      </c>
      <c r="T19" s="667" t="s">
        <v>18</v>
      </c>
      <c r="U19" s="668">
        <f>H19</f>
        <v>100</v>
      </c>
      <c r="V19" s="667" t="s">
        <v>18</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5"/>
      <c r="Q20" s="1263"/>
      <c r="R20" s="667"/>
      <c r="S20" s="668"/>
      <c r="T20" s="667"/>
      <c r="U20" s="668"/>
      <c r="V20" s="667"/>
      <c r="W20" s="668"/>
      <c r="X20" s="1265"/>
      <c r="Y20" s="338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5"/>
      <c r="Q22" s="1263"/>
      <c r="R22" s="667"/>
      <c r="S22" s="668"/>
      <c r="T22" s="667"/>
      <c r="U22" s="668"/>
      <c r="V22" s="667"/>
      <c r="W22" s="668"/>
      <c r="X22" s="1265"/>
      <c r="Y22" s="338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5"/>
      <c r="Q23" s="1263" t="str">
        <f>B23</f>
        <v>自然及人文环境</v>
      </c>
      <c r="R23" s="667" t="s">
        <v>18</v>
      </c>
      <c r="S23" s="668">
        <f>F23</f>
        <v>100</v>
      </c>
      <c r="T23" s="667" t="s">
        <v>18</v>
      </c>
      <c r="U23" s="668">
        <f>H23</f>
        <v>100</v>
      </c>
      <c r="V23" s="667" t="s">
        <v>18</v>
      </c>
      <c r="W23" s="668">
        <f>J23</f>
        <v>100</v>
      </c>
      <c r="X23" s="1265"/>
      <c r="Y23" s="338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5"/>
      <c r="Q24" s="1263"/>
      <c r="R24" s="667"/>
      <c r="S24" s="668"/>
      <c r="T24" s="667"/>
      <c r="U24" s="668"/>
      <c r="V24" s="667"/>
      <c r="W24" s="668"/>
      <c r="X24" s="1265"/>
      <c r="Y24" s="338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5"/>
      <c r="Q26" s="1263" t="str">
        <f t="shared" si="11"/>
        <v>朝向</v>
      </c>
      <c r="R26" s="667" t="s">
        <v>18</v>
      </c>
      <c r="S26" s="668">
        <f t="shared" si="12"/>
        <v>100</v>
      </c>
      <c r="T26" s="667" t="s">
        <v>18</v>
      </c>
      <c r="U26" s="668">
        <f t="shared" si="13"/>
        <v>100</v>
      </c>
      <c r="V26" s="667" t="s">
        <v>18</v>
      </c>
      <c r="W26" s="668">
        <f t="shared" si="14"/>
        <v>100</v>
      </c>
      <c r="X26" s="1265"/>
      <c r="Y26" s="338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95"/>
      <c r="Q27" s="530">
        <f t="shared" si="11"/>
        <v>111</v>
      </c>
      <c r="R27" s="664" t="s">
        <v>18</v>
      </c>
      <c r="S27" s="665">
        <f t="shared" si="12"/>
        <v>100</v>
      </c>
      <c r="T27" s="664" t="s">
        <v>18</v>
      </c>
      <c r="U27" s="665">
        <f t="shared" si="13"/>
        <v>100</v>
      </c>
      <c r="V27" s="664" t="s">
        <v>18</v>
      </c>
      <c r="W27" s="665">
        <f t="shared" si="14"/>
        <v>100</v>
      </c>
      <c r="X27" s="666"/>
      <c r="Y27" s="338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5"/>
      <c r="Q28" s="1263">
        <f t="shared" si="11"/>
        <v>111</v>
      </c>
      <c r="R28" s="667" t="s">
        <v>18</v>
      </c>
      <c r="S28" s="668">
        <f t="shared" si="12"/>
        <v>100</v>
      </c>
      <c r="T28" s="667" t="s">
        <v>18</v>
      </c>
      <c r="U28" s="668">
        <f t="shared" si="13"/>
        <v>100</v>
      </c>
      <c r="V28" s="667" t="s">
        <v>18</v>
      </c>
      <c r="W28" s="668">
        <f t="shared" si="14"/>
        <v>100</v>
      </c>
      <c r="X28" s="1265"/>
      <c r="Y28" s="338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5"/>
      <c r="Q29" s="1263">
        <f t="shared" si="11"/>
        <v>111</v>
      </c>
      <c r="R29" s="667" t="s">
        <v>18</v>
      </c>
      <c r="S29" s="668">
        <f t="shared" si="12"/>
        <v>100</v>
      </c>
      <c r="T29" s="667" t="s">
        <v>18</v>
      </c>
      <c r="U29" s="668">
        <f t="shared" si="13"/>
        <v>100</v>
      </c>
      <c r="V29" s="667" t="s">
        <v>18</v>
      </c>
      <c r="W29" s="668">
        <f t="shared" si="14"/>
        <v>100</v>
      </c>
      <c r="X29" s="1265"/>
      <c r="Y29" s="338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5"/>
      <c r="Q30" s="1263">
        <f t="shared" si="11"/>
        <v>111</v>
      </c>
      <c r="R30" s="667" t="s">
        <v>18</v>
      </c>
      <c r="S30" s="668">
        <f t="shared" si="12"/>
        <v>100</v>
      </c>
      <c r="T30" s="667" t="s">
        <v>18</v>
      </c>
      <c r="U30" s="668">
        <f t="shared" si="13"/>
        <v>100</v>
      </c>
      <c r="V30" s="667" t="s">
        <v>18</v>
      </c>
      <c r="W30" s="668">
        <f t="shared" si="14"/>
        <v>100</v>
      </c>
      <c r="X30" s="1265"/>
      <c r="Y30" s="338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5"/>
      <c r="Q31" s="1263">
        <f t="shared" si="11"/>
        <v>111</v>
      </c>
      <c r="R31" s="667" t="s">
        <v>18</v>
      </c>
      <c r="S31" s="668">
        <f t="shared" si="12"/>
        <v>100</v>
      </c>
      <c r="T31" s="667" t="s">
        <v>18</v>
      </c>
      <c r="U31" s="668">
        <f t="shared" si="13"/>
        <v>100</v>
      </c>
      <c r="V31" s="667" t="s">
        <v>18</v>
      </c>
      <c r="W31" s="668">
        <f t="shared" si="14"/>
        <v>100</v>
      </c>
      <c r="X31" s="1265"/>
      <c r="Y31" s="338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9" t="s">
        <v>1696</v>
      </c>
      <c r="Q32" s="1263" t="str">
        <f t="shared" si="11"/>
        <v>建筑类型</v>
      </c>
      <c r="R32" s="667" t="s">
        <v>18</v>
      </c>
      <c r="S32" s="668">
        <f t="shared" si="12"/>
        <v>100</v>
      </c>
      <c r="T32" s="667" t="s">
        <v>18</v>
      </c>
      <c r="U32" s="668">
        <f t="shared" si="13"/>
        <v>100</v>
      </c>
      <c r="V32" s="667" t="s">
        <v>18</v>
      </c>
      <c r="W32" s="668">
        <f t="shared" si="14"/>
        <v>100</v>
      </c>
      <c r="X32" s="1265"/>
      <c r="Y32" s="339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90"/>
      <c r="Q33" s="531" t="str">
        <f t="shared" si="11"/>
        <v>项目建筑规模</v>
      </c>
      <c r="R33" s="669" t="s">
        <v>18</v>
      </c>
      <c r="S33" s="670" t="e">
        <f t="shared" si="12"/>
        <v>#N/A</v>
      </c>
      <c r="T33" s="669" t="s">
        <v>18</v>
      </c>
      <c r="U33" s="670" t="e">
        <f t="shared" si="13"/>
        <v>#N/A</v>
      </c>
      <c r="V33" s="669" t="s">
        <v>18</v>
      </c>
      <c r="W33" s="670" t="e">
        <f t="shared" si="14"/>
        <v>#N/A</v>
      </c>
      <c r="X33" s="671"/>
      <c r="Y33" s="339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90"/>
      <c r="Q34" s="1263" t="str">
        <f t="shared" si="11"/>
        <v>建筑结构</v>
      </c>
      <c r="R34" s="667" t="s">
        <v>18</v>
      </c>
      <c r="S34" s="668">
        <f t="shared" si="12"/>
        <v>100</v>
      </c>
      <c r="T34" s="667" t="s">
        <v>18</v>
      </c>
      <c r="U34" s="668">
        <f t="shared" si="13"/>
        <v>100</v>
      </c>
      <c r="V34" s="667" t="s">
        <v>18</v>
      </c>
      <c r="W34" s="668">
        <f t="shared" si="14"/>
        <v>100</v>
      </c>
      <c r="X34" s="1265"/>
      <c r="Y34" s="339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90"/>
      <c r="Q35" s="1263" t="str">
        <f t="shared" si="11"/>
        <v>建筑品质</v>
      </c>
      <c r="R35" s="667" t="s">
        <v>18</v>
      </c>
      <c r="S35" s="668">
        <f t="shared" si="12"/>
        <v>100</v>
      </c>
      <c r="T35" s="667" t="s">
        <v>18</v>
      </c>
      <c r="U35" s="668">
        <f t="shared" si="13"/>
        <v>100</v>
      </c>
      <c r="V35" s="667" t="s">
        <v>18</v>
      </c>
      <c r="W35" s="668">
        <f t="shared" si="14"/>
        <v>100</v>
      </c>
      <c r="X35" s="1265"/>
      <c r="Y35" s="339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90"/>
      <c r="Q36" s="1263" t="str">
        <f t="shared" si="11"/>
        <v>公共部分装修</v>
      </c>
      <c r="R36" s="667" t="s">
        <v>18</v>
      </c>
      <c r="S36" s="668">
        <f t="shared" si="12"/>
        <v>100</v>
      </c>
      <c r="T36" s="667" t="s">
        <v>18</v>
      </c>
      <c r="U36" s="668">
        <f t="shared" si="13"/>
        <v>100</v>
      </c>
      <c r="V36" s="667" t="s">
        <v>18</v>
      </c>
      <c r="W36" s="668">
        <f t="shared" si="14"/>
        <v>100</v>
      </c>
      <c r="X36" s="1265"/>
      <c r="Y36" s="339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0"/>
      <c r="Q37" s="530" t="str">
        <f t="shared" si="11"/>
        <v>成新度</v>
      </c>
      <c r="R37" s="664" t="s">
        <v>18</v>
      </c>
      <c r="S37" s="665" t="e">
        <f t="shared" si="12"/>
        <v>#N/A</v>
      </c>
      <c r="T37" s="664" t="s">
        <v>18</v>
      </c>
      <c r="U37" s="665" t="e">
        <f t="shared" si="13"/>
        <v>#N/A</v>
      </c>
      <c r="V37" s="664" t="s">
        <v>18</v>
      </c>
      <c r="W37" s="665" t="e">
        <f t="shared" si="14"/>
        <v>#N/A</v>
      </c>
      <c r="X37" s="666"/>
      <c r="Y37" s="339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90" t="s">
        <v>1696</v>
      </c>
      <c r="Q38" s="1263" t="str">
        <f t="shared" si="11"/>
        <v>物业管理</v>
      </c>
      <c r="R38" s="667" t="s">
        <v>18</v>
      </c>
      <c r="S38" s="668">
        <f t="shared" si="12"/>
        <v>100</v>
      </c>
      <c r="T38" s="667" t="s">
        <v>18</v>
      </c>
      <c r="U38" s="668">
        <f t="shared" si="13"/>
        <v>100</v>
      </c>
      <c r="V38" s="667" t="s">
        <v>18</v>
      </c>
      <c r="W38" s="668">
        <f t="shared" si="14"/>
        <v>100</v>
      </c>
      <c r="X38" s="1265"/>
      <c r="Y38" s="339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90"/>
      <c r="Q39" s="1263" t="str">
        <f t="shared" si="11"/>
        <v>市政基础设施</v>
      </c>
      <c r="R39" s="667" t="s">
        <v>18</v>
      </c>
      <c r="S39" s="668">
        <f t="shared" si="12"/>
        <v>100</v>
      </c>
      <c r="T39" s="667" t="s">
        <v>18</v>
      </c>
      <c r="U39" s="668">
        <f t="shared" si="13"/>
        <v>100</v>
      </c>
      <c r="V39" s="667" t="s">
        <v>18</v>
      </c>
      <c r="W39" s="668">
        <f t="shared" si="14"/>
        <v>100</v>
      </c>
      <c r="X39" s="1265"/>
      <c r="Y39" s="339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90"/>
      <c r="Q40" s="1263" t="str">
        <f t="shared" si="11"/>
        <v>房型</v>
      </c>
      <c r="R40" s="667" t="s">
        <v>18</v>
      </c>
      <c r="S40" s="668">
        <f t="shared" si="12"/>
        <v>100</v>
      </c>
      <c r="T40" s="667" t="s">
        <v>18</v>
      </c>
      <c r="U40" s="668">
        <f t="shared" si="13"/>
        <v>100</v>
      </c>
      <c r="V40" s="667" t="s">
        <v>18</v>
      </c>
      <c r="W40" s="668">
        <f t="shared" si="14"/>
        <v>100</v>
      </c>
      <c r="X40" s="1265"/>
      <c r="Y40" s="339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90"/>
      <c r="Q41" s="531" t="str">
        <f t="shared" si="11"/>
        <v>单套/主力户型建筑面积</v>
      </c>
      <c r="R41" s="669" t="s">
        <v>18</v>
      </c>
      <c r="S41" s="670">
        <f t="shared" si="12"/>
        <v>100</v>
      </c>
      <c r="T41" s="669" t="s">
        <v>18</v>
      </c>
      <c r="U41" s="670">
        <f t="shared" si="13"/>
        <v>100</v>
      </c>
      <c r="V41" s="669" t="s">
        <v>18</v>
      </c>
      <c r="W41" s="670">
        <f t="shared" si="14"/>
        <v>100</v>
      </c>
      <c r="X41" s="671"/>
      <c r="Y41" s="339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90"/>
      <c r="Q42" s="1263" t="str">
        <f t="shared" si="11"/>
        <v>内部装修</v>
      </c>
      <c r="R42" s="667" t="s">
        <v>18</v>
      </c>
      <c r="S42" s="668">
        <f t="shared" si="12"/>
        <v>100</v>
      </c>
      <c r="T42" s="667" t="s">
        <v>18</v>
      </c>
      <c r="U42" s="668">
        <f t="shared" si="13"/>
        <v>100</v>
      </c>
      <c r="V42" s="667" t="s">
        <v>18</v>
      </c>
      <c r="W42" s="668">
        <f t="shared" si="14"/>
        <v>100</v>
      </c>
      <c r="X42" s="1265"/>
      <c r="Y42" s="339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90"/>
      <c r="Q43" s="1263" t="str">
        <f t="shared" si="11"/>
        <v>内部装修维护情况</v>
      </c>
      <c r="R43" s="667" t="s">
        <v>18</v>
      </c>
      <c r="S43" s="668">
        <f t="shared" si="12"/>
        <v>100</v>
      </c>
      <c r="T43" s="667" t="s">
        <v>18</v>
      </c>
      <c r="U43" s="668">
        <f t="shared" si="13"/>
        <v>100</v>
      </c>
      <c r="V43" s="667" t="s">
        <v>18</v>
      </c>
      <c r="W43" s="668">
        <f t="shared" si="14"/>
        <v>100</v>
      </c>
      <c r="X43" s="1265"/>
      <c r="Y43" s="339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90"/>
      <c r="Q44" s="530">
        <f t="shared" si="11"/>
        <v>111</v>
      </c>
      <c r="R44" s="664" t="s">
        <v>18</v>
      </c>
      <c r="S44" s="665">
        <f t="shared" si="12"/>
        <v>100</v>
      </c>
      <c r="T44" s="664" t="s">
        <v>18</v>
      </c>
      <c r="U44" s="665">
        <f t="shared" si="13"/>
        <v>100</v>
      </c>
      <c r="V44" s="664" t="s">
        <v>18</v>
      </c>
      <c r="W44" s="665">
        <f t="shared" si="14"/>
        <v>100</v>
      </c>
      <c r="X44" s="666"/>
      <c r="Y44" s="339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90"/>
      <c r="Q45" s="1263">
        <f t="shared" si="11"/>
        <v>111</v>
      </c>
      <c r="R45" s="667" t="s">
        <v>18</v>
      </c>
      <c r="S45" s="668">
        <f t="shared" si="12"/>
        <v>100</v>
      </c>
      <c r="T45" s="667" t="s">
        <v>18</v>
      </c>
      <c r="U45" s="668">
        <f t="shared" si="13"/>
        <v>100</v>
      </c>
      <c r="V45" s="667" t="s">
        <v>18</v>
      </c>
      <c r="W45" s="668">
        <f t="shared" si="14"/>
        <v>100</v>
      </c>
      <c r="X45" s="1265"/>
      <c r="Y45" s="339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91"/>
      <c r="Q46" s="1263">
        <f t="shared" si="11"/>
        <v>111</v>
      </c>
      <c r="R46" s="667" t="s">
        <v>17</v>
      </c>
      <c r="S46" s="668">
        <f t="shared" si="12"/>
        <v>100</v>
      </c>
      <c r="T46" s="667" t="s">
        <v>17</v>
      </c>
      <c r="U46" s="668">
        <f t="shared" si="13"/>
        <v>100</v>
      </c>
      <c r="V46" s="667" t="s">
        <v>17</v>
      </c>
      <c r="W46" s="668">
        <f t="shared" si="14"/>
        <v>100</v>
      </c>
      <c r="X46" s="1265"/>
      <c r="Y46" s="339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12021.93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00" t="s">
        <v>1770</v>
      </c>
      <c r="D4" s="3401"/>
      <c r="E4" s="3402" t="s">
        <v>1771</v>
      </c>
      <c r="F4" s="3403"/>
      <c r="G4" s="3400" t="s">
        <v>1772</v>
      </c>
      <c r="H4" s="3401"/>
      <c r="I4" s="3400" t="s">
        <v>1773</v>
      </c>
      <c r="J4" s="3401"/>
      <c r="K4" s="537" t="s">
        <v>1774</v>
      </c>
      <c r="L4" s="2486"/>
      <c r="M4" s="2487"/>
      <c r="N4" s="2487"/>
      <c r="O4" s="2487"/>
      <c r="P4" s="3404" t="s">
        <v>1775</v>
      </c>
      <c r="Q4" s="3405"/>
      <c r="R4" s="3410" t="s">
        <v>1771</v>
      </c>
      <c r="S4" s="3411"/>
      <c r="T4" s="3410" t="s">
        <v>1772</v>
      </c>
      <c r="U4" s="3411"/>
      <c r="V4" s="3386" t="s">
        <v>1773</v>
      </c>
      <c r="W4" s="3386"/>
      <c r="X4" s="1265"/>
      <c r="Y4" s="3410" t="s">
        <v>1775</v>
      </c>
      <c r="Z4" s="3411"/>
      <c r="AA4" s="3397" t="s">
        <v>1771</v>
      </c>
      <c r="AB4" s="3386" t="s">
        <v>1772</v>
      </c>
      <c r="AC4" s="3397" t="s">
        <v>1773</v>
      </c>
    </row>
    <row r="5" spans="1:29" ht="15">
      <c r="A5" s="348"/>
      <c r="B5" s="349"/>
      <c r="C5" s="3418" t="s">
        <v>1673</v>
      </c>
      <c r="D5" s="3419"/>
      <c r="E5" s="3425" t="s">
        <v>1674</v>
      </c>
      <c r="F5" s="3426"/>
      <c r="G5" s="3418" t="s">
        <v>1675</v>
      </c>
      <c r="H5" s="3419"/>
      <c r="I5" s="3418" t="s">
        <v>1676</v>
      </c>
      <c r="J5" s="3419"/>
      <c r="K5" s="537"/>
      <c r="L5" s="2486"/>
      <c r="M5" s="2487"/>
      <c r="N5" s="2487"/>
      <c r="O5" s="2487"/>
      <c r="P5" s="3406"/>
      <c r="Q5" s="3407"/>
      <c r="R5" s="3412"/>
      <c r="S5" s="3413"/>
      <c r="T5" s="3412"/>
      <c r="U5" s="3413"/>
      <c r="V5" s="3386"/>
      <c r="W5" s="3386"/>
      <c r="X5" s="1265"/>
      <c r="Y5" s="3412"/>
      <c r="Z5" s="3413"/>
      <c r="AA5" s="3398"/>
      <c r="AB5" s="3386"/>
      <c r="AC5" s="3398"/>
    </row>
    <row r="6" spans="1:29" ht="15.75" thickBot="1">
      <c r="A6" s="350"/>
      <c r="B6" s="351"/>
      <c r="C6" s="3416" t="s">
        <v>1677</v>
      </c>
      <c r="D6" s="3417"/>
      <c r="E6" s="3423" t="s">
        <v>1677</v>
      </c>
      <c r="F6" s="3424"/>
      <c r="G6" s="3416" t="s">
        <v>1677</v>
      </c>
      <c r="H6" s="3417"/>
      <c r="I6" s="3416" t="s">
        <v>1677</v>
      </c>
      <c r="J6" s="3417"/>
      <c r="K6" s="537" t="s">
        <v>1678</v>
      </c>
      <c r="L6" s="2486"/>
      <c r="M6" s="2487"/>
      <c r="N6" s="2487"/>
      <c r="O6" s="2487"/>
      <c r="P6" s="3408"/>
      <c r="Q6" s="3409"/>
      <c r="R6" s="3412"/>
      <c r="S6" s="3413"/>
      <c r="T6" s="3414"/>
      <c r="U6" s="3415"/>
      <c r="V6" s="3386"/>
      <c r="W6" s="3386"/>
      <c r="X6" s="1265"/>
      <c r="Y6" s="3414"/>
      <c r="Z6" s="3415"/>
      <c r="AA6" s="3399"/>
      <c r="AB6" s="3386"/>
      <c r="AC6" s="3399"/>
    </row>
    <row r="7" spans="1:29" s="102" customFormat="1" ht="15.75" thickBot="1">
      <c r="A7" s="352" t="s">
        <v>1679</v>
      </c>
      <c r="B7" s="353"/>
      <c r="C7" s="354">
        <f>'数据-取费表'!B2</f>
        <v>45854</v>
      </c>
      <c r="D7" s="355">
        <v>100</v>
      </c>
      <c r="E7" s="356"/>
      <c r="F7" s="357">
        <f>SUMIF(58:58,YEAR(E7)&amp;"-"&amp;MONTH(E7),59:59)</f>
        <v>0</v>
      </c>
      <c r="G7" s="356"/>
      <c r="H7" s="355">
        <f>SUMIF(58:58,YEAR(G7)&amp;"-"&amp;MONTH(G7),59:59)</f>
        <v>0</v>
      </c>
      <c r="I7" s="356"/>
      <c r="J7" s="355">
        <f>SUMIF(58:58,YEAR(I7)&amp;"-"&amp;MONTH(I7),59:59)</f>
        <v>0</v>
      </c>
      <c r="K7" s="38"/>
      <c r="L7" s="2488"/>
      <c r="M7" s="2439"/>
      <c r="N7" s="2439"/>
      <c r="O7" s="2439"/>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20" t="s">
        <v>1683</v>
      </c>
      <c r="Q8" s="3421"/>
      <c r="R8" s="664" t="s">
        <v>14</v>
      </c>
      <c r="S8" s="665">
        <f t="shared" si="0"/>
        <v>100</v>
      </c>
      <c r="T8" s="664" t="s">
        <v>14</v>
      </c>
      <c r="U8" s="665">
        <f t="shared" si="1"/>
        <v>100</v>
      </c>
      <c r="V8" s="664" t="s">
        <v>14</v>
      </c>
      <c r="W8" s="665">
        <f t="shared" si="2"/>
        <v>100</v>
      </c>
      <c r="X8" s="666"/>
      <c r="Y8" s="3420" t="s">
        <v>1683</v>
      </c>
      <c r="Z8" s="342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6"/>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6"/>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6"/>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6"/>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4" t="s">
        <v>1691</v>
      </c>
      <c r="Q15" s="1263" t="str">
        <f t="shared" si="6"/>
        <v>商业繁华度</v>
      </c>
      <c r="R15" s="667" t="s">
        <v>14</v>
      </c>
      <c r="S15" s="668">
        <f t="shared" si="0"/>
        <v>100</v>
      </c>
      <c r="T15" s="667" t="s">
        <v>14</v>
      </c>
      <c r="U15" s="668">
        <f t="shared" si="1"/>
        <v>100</v>
      </c>
      <c r="V15" s="667" t="s">
        <v>14</v>
      </c>
      <c r="W15" s="668">
        <f t="shared" si="2"/>
        <v>100</v>
      </c>
      <c r="X15" s="1265"/>
      <c r="Y15" s="338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5"/>
      <c r="Q16" s="1263"/>
      <c r="R16" s="667"/>
      <c r="S16" s="668"/>
      <c r="T16" s="667"/>
      <c r="U16" s="668"/>
      <c r="V16" s="667"/>
      <c r="W16" s="668"/>
      <c r="X16" s="1265"/>
      <c r="Y16" s="3388"/>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5"/>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5"/>
      <c r="Q18" s="1263"/>
      <c r="R18" s="667"/>
      <c r="S18" s="668"/>
      <c r="T18" s="667"/>
      <c r="U18" s="668"/>
      <c r="V18" s="667"/>
      <c r="W18" s="668"/>
      <c r="X18" s="1265"/>
      <c r="Y18" s="3388"/>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5"/>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5"/>
      <c r="Q20" s="1263"/>
      <c r="R20" s="667"/>
      <c r="S20" s="668"/>
      <c r="T20" s="667"/>
      <c r="U20" s="668"/>
      <c r="V20" s="667"/>
      <c r="W20" s="668"/>
      <c r="X20" s="1265"/>
      <c r="Y20" s="338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5"/>
      <c r="Q22" s="1263"/>
      <c r="R22" s="667"/>
      <c r="S22" s="668"/>
      <c r="T22" s="667"/>
      <c r="U22" s="668"/>
      <c r="V22" s="667"/>
      <c r="W22" s="668"/>
      <c r="X22" s="1265"/>
      <c r="Y22" s="3388"/>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5"/>
      <c r="Q23" s="1263" t="str">
        <f>B23</f>
        <v>自然及人文环境</v>
      </c>
      <c r="R23" s="667" t="s">
        <v>14</v>
      </c>
      <c r="S23" s="668">
        <f>F23</f>
        <v>100</v>
      </c>
      <c r="T23" s="667" t="s">
        <v>14</v>
      </c>
      <c r="U23" s="668">
        <f>H23</f>
        <v>100</v>
      </c>
      <c r="V23" s="667" t="s">
        <v>14</v>
      </c>
      <c r="W23" s="668">
        <f>J23</f>
        <v>100</v>
      </c>
      <c r="X23" s="1265"/>
      <c r="Y23" s="338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5"/>
      <c r="Q24" s="1263"/>
      <c r="R24" s="667"/>
      <c r="S24" s="668"/>
      <c r="T24" s="667"/>
      <c r="U24" s="668"/>
      <c r="V24" s="667"/>
      <c r="W24" s="668"/>
      <c r="X24" s="1265"/>
      <c r="Y24" s="338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5"/>
      <c r="Q25" s="1263" t="str">
        <f t="shared" ref="Q25:Q46" si="11">B25</f>
        <v>临街状况</v>
      </c>
      <c r="R25" s="667" t="s">
        <v>14</v>
      </c>
      <c r="S25" s="668">
        <f>F25</f>
        <v>100</v>
      </c>
      <c r="T25" s="667" t="s">
        <v>14</v>
      </c>
      <c r="U25" s="668">
        <f>H25</f>
        <v>100</v>
      </c>
      <c r="V25" s="667" t="s">
        <v>14</v>
      </c>
      <c r="W25" s="668">
        <f>J25</f>
        <v>100</v>
      </c>
      <c r="X25" s="1265"/>
      <c r="Y25" s="338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5"/>
      <c r="Q26" s="1263" t="str">
        <f t="shared" si="11"/>
        <v>平面位置/可视性</v>
      </c>
      <c r="R26" s="667" t="s">
        <v>14</v>
      </c>
      <c r="S26" s="668">
        <f>F26</f>
        <v>100</v>
      </c>
      <c r="T26" s="667" t="s">
        <v>14</v>
      </c>
      <c r="U26" s="668">
        <f>H26</f>
        <v>100</v>
      </c>
      <c r="V26" s="667" t="s">
        <v>14</v>
      </c>
      <c r="W26" s="668">
        <f>J26</f>
        <v>100</v>
      </c>
      <c r="X26" s="1265"/>
      <c r="Y26" s="338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95"/>
      <c r="Q27" s="530" t="str">
        <f t="shared" si="11"/>
        <v>人流量</v>
      </c>
      <c r="R27" s="664" t="s">
        <v>14</v>
      </c>
      <c r="S27" s="665">
        <f>F27</f>
        <v>100</v>
      </c>
      <c r="T27" s="664" t="s">
        <v>14</v>
      </c>
      <c r="U27" s="665">
        <f>H27</f>
        <v>100</v>
      </c>
      <c r="V27" s="664" t="s">
        <v>14</v>
      </c>
      <c r="W27" s="665">
        <f>J27</f>
        <v>100</v>
      </c>
      <c r="X27" s="666"/>
      <c r="Y27" s="338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5"/>
      <c r="Q29" s="1263">
        <f t="shared" si="11"/>
        <v>111</v>
      </c>
      <c r="R29" s="667" t="s">
        <v>14</v>
      </c>
      <c r="S29" s="668">
        <f t="shared" si="12"/>
        <v>100</v>
      </c>
      <c r="T29" s="667" t="s">
        <v>14</v>
      </c>
      <c r="U29" s="668">
        <f t="shared" si="13"/>
        <v>100</v>
      </c>
      <c r="V29" s="667" t="s">
        <v>14</v>
      </c>
      <c r="W29" s="668">
        <f t="shared" si="14"/>
        <v>100</v>
      </c>
      <c r="X29" s="1265"/>
      <c r="Y29" s="338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5"/>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5"/>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9" t="s">
        <v>1696</v>
      </c>
      <c r="Q32" s="1263" t="str">
        <f t="shared" si="11"/>
        <v>商业类型</v>
      </c>
      <c r="R32" s="667" t="s">
        <v>14</v>
      </c>
      <c r="S32" s="668">
        <f t="shared" si="12"/>
        <v>100</v>
      </c>
      <c r="T32" s="667" t="s">
        <v>14</v>
      </c>
      <c r="U32" s="668">
        <f t="shared" si="13"/>
        <v>100</v>
      </c>
      <c r="V32" s="667" t="s">
        <v>14</v>
      </c>
      <c r="W32" s="668">
        <f t="shared" si="14"/>
        <v>100</v>
      </c>
      <c r="X32" s="1265"/>
      <c r="Y32" s="339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0"/>
      <c r="Q33" s="531" t="str">
        <f t="shared" si="11"/>
        <v>项目建筑规模</v>
      </c>
      <c r="R33" s="669" t="s">
        <v>14</v>
      </c>
      <c r="S33" s="670" t="e">
        <f t="shared" si="12"/>
        <v>#N/A</v>
      </c>
      <c r="T33" s="669" t="s">
        <v>14</v>
      </c>
      <c r="U33" s="670" t="e">
        <f t="shared" si="13"/>
        <v>#N/A</v>
      </c>
      <c r="V33" s="669" t="s">
        <v>14</v>
      </c>
      <c r="W33" s="670" t="e">
        <f t="shared" si="14"/>
        <v>#N/A</v>
      </c>
      <c r="X33" s="671"/>
      <c r="Y33" s="339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0"/>
      <c r="Q34" s="1263" t="str">
        <f t="shared" si="11"/>
        <v>建筑结构</v>
      </c>
      <c r="R34" s="667" t="s">
        <v>14</v>
      </c>
      <c r="S34" s="668">
        <f t="shared" si="12"/>
        <v>100</v>
      </c>
      <c r="T34" s="667" t="s">
        <v>14</v>
      </c>
      <c r="U34" s="668">
        <f t="shared" si="13"/>
        <v>100</v>
      </c>
      <c r="V34" s="667" t="s">
        <v>14</v>
      </c>
      <c r="W34" s="668">
        <f t="shared" si="14"/>
        <v>100</v>
      </c>
      <c r="X34" s="1265"/>
      <c r="Y34" s="339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90"/>
      <c r="Q35" s="1263" t="str">
        <f t="shared" si="11"/>
        <v>公共部分装修</v>
      </c>
      <c r="R35" s="667" t="s">
        <v>14</v>
      </c>
      <c r="S35" s="668">
        <f t="shared" si="12"/>
        <v>100</v>
      </c>
      <c r="T35" s="667" t="s">
        <v>14</v>
      </c>
      <c r="U35" s="668">
        <f t="shared" si="13"/>
        <v>100</v>
      </c>
      <c r="V35" s="667" t="s">
        <v>14</v>
      </c>
      <c r="W35" s="668">
        <f t="shared" si="14"/>
        <v>100</v>
      </c>
      <c r="X35" s="1265"/>
      <c r="Y35" s="339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0"/>
      <c r="Q36" s="1263" t="str">
        <f t="shared" si="11"/>
        <v>成新度</v>
      </c>
      <c r="R36" s="667" t="s">
        <v>14</v>
      </c>
      <c r="S36" s="668" t="e">
        <f t="shared" si="12"/>
        <v>#N/A</v>
      </c>
      <c r="T36" s="667" t="s">
        <v>14</v>
      </c>
      <c r="U36" s="668" t="e">
        <f t="shared" si="13"/>
        <v>#N/A</v>
      </c>
      <c r="V36" s="667" t="s">
        <v>14</v>
      </c>
      <c r="W36" s="668" t="e">
        <f t="shared" si="14"/>
        <v>#N/A</v>
      </c>
      <c r="X36" s="1265"/>
      <c r="Y36" s="339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90"/>
      <c r="Q37" s="530" t="str">
        <f t="shared" si="11"/>
        <v>市政基础设施</v>
      </c>
      <c r="R37" s="664" t="s">
        <v>14</v>
      </c>
      <c r="S37" s="665">
        <f t="shared" si="12"/>
        <v>100</v>
      </c>
      <c r="T37" s="664" t="s">
        <v>14</v>
      </c>
      <c r="U37" s="665">
        <f t="shared" si="13"/>
        <v>100</v>
      </c>
      <c r="V37" s="664" t="s">
        <v>14</v>
      </c>
      <c r="W37" s="665">
        <f t="shared" si="14"/>
        <v>100</v>
      </c>
      <c r="X37" s="666"/>
      <c r="Y37" s="339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90" t="s">
        <v>1696</v>
      </c>
      <c r="Q38" s="1263" t="str">
        <f t="shared" si="11"/>
        <v>业态</v>
      </c>
      <c r="R38" s="667" t="s">
        <v>14</v>
      </c>
      <c r="S38" s="668">
        <f t="shared" si="12"/>
        <v>100</v>
      </c>
      <c r="T38" s="667" t="s">
        <v>14</v>
      </c>
      <c r="U38" s="668">
        <f t="shared" si="13"/>
        <v>100</v>
      </c>
      <c r="V38" s="667" t="s">
        <v>14</v>
      </c>
      <c r="W38" s="668">
        <f t="shared" si="14"/>
        <v>100</v>
      </c>
      <c r="X38" s="1265"/>
      <c r="Y38" s="339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90"/>
      <c r="Q39" s="1263" t="str">
        <f t="shared" si="11"/>
        <v>层高</v>
      </c>
      <c r="R39" s="667" t="s">
        <v>14</v>
      </c>
      <c r="S39" s="668">
        <f t="shared" si="12"/>
        <v>100</v>
      </c>
      <c r="T39" s="667" t="s">
        <v>14</v>
      </c>
      <c r="U39" s="668">
        <f t="shared" si="13"/>
        <v>100</v>
      </c>
      <c r="V39" s="667" t="s">
        <v>14</v>
      </c>
      <c r="W39" s="668">
        <f t="shared" si="14"/>
        <v>100</v>
      </c>
      <c r="X39" s="1265"/>
      <c r="Y39" s="339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0"/>
      <c r="Q40" s="1263" t="str">
        <f t="shared" si="11"/>
        <v>单套建筑面积</v>
      </c>
      <c r="R40" s="667" t="s">
        <v>14</v>
      </c>
      <c r="S40" s="668">
        <f t="shared" si="12"/>
        <v>100</v>
      </c>
      <c r="T40" s="667" t="s">
        <v>14</v>
      </c>
      <c r="U40" s="668">
        <f t="shared" si="13"/>
        <v>100</v>
      </c>
      <c r="V40" s="667" t="s">
        <v>14</v>
      </c>
      <c r="W40" s="668">
        <f t="shared" si="14"/>
        <v>100</v>
      </c>
      <c r="X40" s="1265"/>
      <c r="Y40" s="339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0"/>
      <c r="Q41" s="531" t="str">
        <f t="shared" si="11"/>
        <v>进深比</v>
      </c>
      <c r="R41" s="669" t="s">
        <v>14</v>
      </c>
      <c r="S41" s="670">
        <f t="shared" si="12"/>
        <v>100</v>
      </c>
      <c r="T41" s="669" t="s">
        <v>14</v>
      </c>
      <c r="U41" s="670">
        <f t="shared" si="13"/>
        <v>100</v>
      </c>
      <c r="V41" s="669" t="s">
        <v>14</v>
      </c>
      <c r="W41" s="670">
        <f t="shared" si="14"/>
        <v>100</v>
      </c>
      <c r="X41" s="671"/>
      <c r="Y41" s="339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90"/>
      <c r="Q42" s="1263" t="str">
        <f t="shared" si="11"/>
        <v>内部装修</v>
      </c>
      <c r="R42" s="667" t="s">
        <v>14</v>
      </c>
      <c r="S42" s="668">
        <f t="shared" si="12"/>
        <v>100</v>
      </c>
      <c r="T42" s="667" t="s">
        <v>14</v>
      </c>
      <c r="U42" s="668">
        <f t="shared" si="13"/>
        <v>100</v>
      </c>
      <c r="V42" s="667" t="s">
        <v>14</v>
      </c>
      <c r="W42" s="668">
        <f t="shared" si="14"/>
        <v>100</v>
      </c>
      <c r="X42" s="1265"/>
      <c r="Y42" s="339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90"/>
      <c r="Q43" s="1263" t="str">
        <f t="shared" si="11"/>
        <v>内部装修维护情况</v>
      </c>
      <c r="R43" s="667" t="s">
        <v>14</v>
      </c>
      <c r="S43" s="668">
        <f t="shared" si="12"/>
        <v>100</v>
      </c>
      <c r="T43" s="667" t="s">
        <v>14</v>
      </c>
      <c r="U43" s="668">
        <f t="shared" si="13"/>
        <v>100</v>
      </c>
      <c r="V43" s="667" t="s">
        <v>14</v>
      </c>
      <c r="W43" s="668">
        <f t="shared" si="14"/>
        <v>100</v>
      </c>
      <c r="X43" s="1265"/>
      <c r="Y43" s="339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0"/>
      <c r="Q44" s="530">
        <f t="shared" si="11"/>
        <v>111</v>
      </c>
      <c r="R44" s="664" t="s">
        <v>14</v>
      </c>
      <c r="S44" s="665">
        <f t="shared" si="12"/>
        <v>100</v>
      </c>
      <c r="T44" s="664" t="s">
        <v>14</v>
      </c>
      <c r="U44" s="665">
        <f t="shared" si="13"/>
        <v>100</v>
      </c>
      <c r="V44" s="664" t="s">
        <v>14</v>
      </c>
      <c r="W44" s="665">
        <f t="shared" si="14"/>
        <v>100</v>
      </c>
      <c r="X44" s="666"/>
      <c r="Y44" s="339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0"/>
      <c r="Q45" s="1263">
        <f t="shared" si="11"/>
        <v>111</v>
      </c>
      <c r="R45" s="667" t="s">
        <v>14</v>
      </c>
      <c r="S45" s="668">
        <f t="shared" si="12"/>
        <v>100</v>
      </c>
      <c r="T45" s="667" t="s">
        <v>14</v>
      </c>
      <c r="U45" s="668">
        <f t="shared" si="13"/>
        <v>100</v>
      </c>
      <c r="V45" s="667" t="s">
        <v>14</v>
      </c>
      <c r="W45" s="668">
        <f t="shared" si="14"/>
        <v>100</v>
      </c>
      <c r="X45" s="1265"/>
      <c r="Y45" s="339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12021.93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0" t="s">
        <v>1770</v>
      </c>
      <c r="D4" s="3401"/>
      <c r="E4" s="3402" t="s">
        <v>1771</v>
      </c>
      <c r="F4" s="3403"/>
      <c r="G4" s="3400" t="s">
        <v>1772</v>
      </c>
      <c r="H4" s="3401"/>
      <c r="I4" s="3400" t="s">
        <v>1773</v>
      </c>
      <c r="J4" s="3401"/>
      <c r="K4" s="537" t="s">
        <v>1774</v>
      </c>
      <c r="L4" s="2486"/>
      <c r="M4" s="2487"/>
      <c r="N4" s="2487"/>
      <c r="O4" s="2487"/>
      <c r="P4" s="3433" t="s">
        <v>1775</v>
      </c>
      <c r="Q4" s="3434"/>
      <c r="R4" s="3437" t="s">
        <v>1771</v>
      </c>
      <c r="S4" s="3438"/>
      <c r="T4" s="3437" t="s">
        <v>1772</v>
      </c>
      <c r="U4" s="3438"/>
      <c r="V4" s="3439" t="s">
        <v>1773</v>
      </c>
      <c r="W4" s="3439"/>
      <c r="X4" s="1809"/>
      <c r="Y4" s="3437" t="s">
        <v>1775</v>
      </c>
      <c r="Z4" s="3438"/>
      <c r="AA4" s="3441" t="s">
        <v>1771</v>
      </c>
      <c r="AB4" s="3441" t="s">
        <v>1772</v>
      </c>
      <c r="AC4" s="3430" t="s">
        <v>1773</v>
      </c>
    </row>
    <row r="5" spans="1:29" ht="15">
      <c r="A5" s="348"/>
      <c r="B5" s="349"/>
      <c r="C5" s="3418" t="s">
        <v>1673</v>
      </c>
      <c r="D5" s="3419"/>
      <c r="E5" s="3425" t="s">
        <v>1674</v>
      </c>
      <c r="F5" s="3426"/>
      <c r="G5" s="3418" t="s">
        <v>1675</v>
      </c>
      <c r="H5" s="3419"/>
      <c r="I5" s="3418" t="s">
        <v>1676</v>
      </c>
      <c r="J5" s="3419"/>
      <c r="K5" s="537"/>
      <c r="L5" s="2486"/>
      <c r="M5" s="2487"/>
      <c r="N5" s="2487"/>
      <c r="O5" s="2487"/>
      <c r="P5" s="3435"/>
      <c r="Q5" s="3407"/>
      <c r="R5" s="3412"/>
      <c r="S5" s="3413"/>
      <c r="T5" s="3412"/>
      <c r="U5" s="3413"/>
      <c r="V5" s="3386"/>
      <c r="W5" s="3386"/>
      <c r="X5" s="1265"/>
      <c r="Y5" s="3412"/>
      <c r="Z5" s="3413"/>
      <c r="AA5" s="3398"/>
      <c r="AB5" s="3398"/>
      <c r="AC5" s="3431"/>
    </row>
    <row r="6" spans="1:29" ht="15.75" thickBot="1">
      <c r="A6" s="350"/>
      <c r="B6" s="351"/>
      <c r="C6" s="3416" t="s">
        <v>1677</v>
      </c>
      <c r="D6" s="3417"/>
      <c r="E6" s="3423" t="s">
        <v>1677</v>
      </c>
      <c r="F6" s="3424"/>
      <c r="G6" s="3416" t="s">
        <v>1677</v>
      </c>
      <c r="H6" s="3417"/>
      <c r="I6" s="3416" t="s">
        <v>1677</v>
      </c>
      <c r="J6" s="3417"/>
      <c r="K6" s="537" t="s">
        <v>1678</v>
      </c>
      <c r="L6" s="2486"/>
      <c r="M6" s="2487"/>
      <c r="N6" s="2487"/>
      <c r="O6" s="2487"/>
      <c r="P6" s="3436"/>
      <c r="Q6" s="3409"/>
      <c r="R6" s="3412"/>
      <c r="S6" s="3413"/>
      <c r="T6" s="3414"/>
      <c r="U6" s="3415"/>
      <c r="V6" s="3386"/>
      <c r="W6" s="3386"/>
      <c r="X6" s="1265"/>
      <c r="Y6" s="3414"/>
      <c r="Z6" s="3415"/>
      <c r="AA6" s="3399"/>
      <c r="AB6" s="3399"/>
      <c r="AC6" s="3432"/>
    </row>
    <row r="7" spans="1:29" s="102" customFormat="1" ht="15.75" thickBot="1">
      <c r="A7" s="352" t="s">
        <v>1679</v>
      </c>
      <c r="B7" s="353"/>
      <c r="C7" s="354">
        <f>'数据-取费表'!B2</f>
        <v>45854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0" t="s">
        <v>1683</v>
      </c>
      <c r="Q8" s="3421"/>
      <c r="R8" s="664" t="s">
        <v>14</v>
      </c>
      <c r="S8" s="665">
        <f t="shared" si="0"/>
        <v>100</v>
      </c>
      <c r="T8" s="664" t="s">
        <v>14</v>
      </c>
      <c r="U8" s="665">
        <f t="shared" si="1"/>
        <v>100</v>
      </c>
      <c r="V8" s="664" t="s">
        <v>14</v>
      </c>
      <c r="W8" s="665">
        <f t="shared" si="2"/>
        <v>100</v>
      </c>
      <c r="X8" s="666"/>
      <c r="Y8" s="3420" t="s">
        <v>1683</v>
      </c>
      <c r="Z8" s="342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6"/>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6"/>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6"/>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6"/>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4" t="s">
        <v>1691</v>
      </c>
      <c r="Q15" s="1263" t="str">
        <f t="shared" si="6"/>
        <v>办公集聚程度</v>
      </c>
      <c r="R15" s="667" t="s">
        <v>14</v>
      </c>
      <c r="S15" s="668">
        <f t="shared" si="0"/>
        <v>100</v>
      </c>
      <c r="T15" s="667" t="s">
        <v>14</v>
      </c>
      <c r="U15" s="668">
        <f t="shared" si="1"/>
        <v>100</v>
      </c>
      <c r="V15" s="667" t="s">
        <v>14</v>
      </c>
      <c r="W15" s="668">
        <f t="shared" si="2"/>
        <v>100</v>
      </c>
      <c r="X15" s="1265"/>
      <c r="Y15" s="338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95"/>
      <c r="Q16" s="1263"/>
      <c r="R16" s="667"/>
      <c r="S16" s="668"/>
      <c r="T16" s="667"/>
      <c r="U16" s="668"/>
      <c r="V16" s="667"/>
      <c r="W16" s="668"/>
      <c r="X16" s="1265"/>
      <c r="Y16" s="338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5"/>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95"/>
      <c r="Q18" s="1263"/>
      <c r="R18" s="667"/>
      <c r="S18" s="668"/>
      <c r="T18" s="667"/>
      <c r="U18" s="668"/>
      <c r="V18" s="667"/>
      <c r="W18" s="668"/>
      <c r="X18" s="1265"/>
      <c r="Y18" s="338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5"/>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95"/>
      <c r="Q20" s="1263"/>
      <c r="R20" s="667"/>
      <c r="S20" s="668"/>
      <c r="T20" s="667"/>
      <c r="U20" s="668"/>
      <c r="V20" s="667"/>
      <c r="W20" s="668"/>
      <c r="X20" s="1265"/>
      <c r="Y20" s="338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95"/>
      <c r="Q22" s="1263"/>
      <c r="R22" s="667"/>
      <c r="S22" s="668"/>
      <c r="T22" s="667"/>
      <c r="U22" s="668"/>
      <c r="V22" s="667"/>
      <c r="W22" s="668"/>
      <c r="X22" s="1265"/>
      <c r="Y22" s="338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5"/>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95"/>
      <c r="Q24" s="1263"/>
      <c r="R24" s="667"/>
      <c r="S24" s="668"/>
      <c r="T24" s="667"/>
      <c r="U24" s="668"/>
      <c r="V24" s="667"/>
      <c r="W24" s="668"/>
      <c r="X24" s="1265"/>
      <c r="Y24" s="338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5"/>
      <c r="Q25" s="1263" t="str">
        <f>B25</f>
        <v>毗邻道路的类型与等级</v>
      </c>
      <c r="R25" s="667" t="s">
        <v>14</v>
      </c>
      <c r="S25" s="668">
        <f>F25</f>
        <v>100</v>
      </c>
      <c r="T25" s="667" t="s">
        <v>14</v>
      </c>
      <c r="U25" s="668">
        <f>H25</f>
        <v>100</v>
      </c>
      <c r="V25" s="667" t="s">
        <v>14</v>
      </c>
      <c r="W25" s="668">
        <f>J25</f>
        <v>100</v>
      </c>
      <c r="X25" s="1265"/>
      <c r="Y25" s="338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5"/>
      <c r="Q26" s="1263"/>
      <c r="R26" s="667"/>
      <c r="S26" s="668"/>
      <c r="T26" s="667"/>
      <c r="U26" s="668"/>
      <c r="V26" s="667"/>
      <c r="W26" s="668"/>
      <c r="X26" s="1265"/>
      <c r="Y26" s="338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5"/>
      <c r="Q27" s="1263" t="str">
        <f t="shared" ref="Q27:Q47" si="11">B27</f>
        <v>楼层</v>
      </c>
      <c r="R27" s="667" t="s">
        <v>14</v>
      </c>
      <c r="S27" s="668">
        <f>F27</f>
        <v>100</v>
      </c>
      <c r="T27" s="667" t="s">
        <v>14</v>
      </c>
      <c r="U27" s="668">
        <f>H27</f>
        <v>100</v>
      </c>
      <c r="V27" s="667" t="s">
        <v>14</v>
      </c>
      <c r="W27" s="668">
        <f>J27</f>
        <v>100</v>
      </c>
      <c r="X27" s="1265"/>
      <c r="Y27" s="338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95"/>
      <c r="Q28" s="530" t="str">
        <f t="shared" si="11"/>
        <v>朝向</v>
      </c>
      <c r="R28" s="664" t="s">
        <v>14</v>
      </c>
      <c r="S28" s="665">
        <f>F28</f>
        <v>100</v>
      </c>
      <c r="T28" s="664" t="s">
        <v>14</v>
      </c>
      <c r="U28" s="665">
        <f>H28</f>
        <v>100</v>
      </c>
      <c r="V28" s="664" t="s">
        <v>14</v>
      </c>
      <c r="W28" s="665">
        <f>J28</f>
        <v>100</v>
      </c>
      <c r="X28" s="666"/>
      <c r="Y28" s="338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5"/>
      <c r="Q29" s="1263">
        <f t="shared" si="11"/>
        <v>111</v>
      </c>
      <c r="R29" s="667" t="s">
        <v>14</v>
      </c>
      <c r="S29" s="668">
        <f t="shared" ref="S29:S47" si="12">F29</f>
        <v>100</v>
      </c>
      <c r="T29" s="667" t="s">
        <v>14</v>
      </c>
      <c r="U29" s="668">
        <f t="shared" ref="U29:U47" si="13">H29</f>
        <v>100</v>
      </c>
      <c r="V29" s="667" t="s">
        <v>14</v>
      </c>
      <c r="W29" s="668">
        <f t="shared" ref="W29:W47" si="14">J29</f>
        <v>100</v>
      </c>
      <c r="X29" s="1265"/>
      <c r="Y29" s="338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5"/>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5"/>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5"/>
      <c r="Q32" s="1263">
        <f t="shared" si="11"/>
        <v>111</v>
      </c>
      <c r="R32" s="667" t="s">
        <v>14</v>
      </c>
      <c r="S32" s="668">
        <f t="shared" si="12"/>
        <v>100</v>
      </c>
      <c r="T32" s="667" t="s">
        <v>14</v>
      </c>
      <c r="U32" s="668">
        <f t="shared" si="13"/>
        <v>100</v>
      </c>
      <c r="V32" s="667" t="s">
        <v>14</v>
      </c>
      <c r="W32" s="668">
        <f t="shared" si="14"/>
        <v>100</v>
      </c>
      <c r="X32" s="1265"/>
      <c r="Y32" s="338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9" t="s">
        <v>1696</v>
      </c>
      <c r="Q33" s="1263" t="str">
        <f t="shared" si="11"/>
        <v>建筑类型</v>
      </c>
      <c r="R33" s="667" t="s">
        <v>14</v>
      </c>
      <c r="S33" s="668">
        <f t="shared" si="12"/>
        <v>100</v>
      </c>
      <c r="T33" s="667" t="s">
        <v>14</v>
      </c>
      <c r="U33" s="668">
        <f t="shared" si="13"/>
        <v>100</v>
      </c>
      <c r="V33" s="667" t="s">
        <v>14</v>
      </c>
      <c r="W33" s="668">
        <f t="shared" si="14"/>
        <v>100</v>
      </c>
      <c r="X33" s="1265"/>
      <c r="Y33" s="339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0"/>
      <c r="Q34" s="531" t="str">
        <f t="shared" si="11"/>
        <v>项目建筑规模</v>
      </c>
      <c r="R34" s="669" t="s">
        <v>14</v>
      </c>
      <c r="S34" s="670" t="e">
        <f t="shared" si="12"/>
        <v>#N/A</v>
      </c>
      <c r="T34" s="669" t="s">
        <v>14</v>
      </c>
      <c r="U34" s="670" t="e">
        <f t="shared" si="13"/>
        <v>#N/A</v>
      </c>
      <c r="V34" s="669" t="s">
        <v>14</v>
      </c>
      <c r="W34" s="670" t="e">
        <f t="shared" si="14"/>
        <v>#N/A</v>
      </c>
      <c r="X34" s="671"/>
      <c r="Y34" s="339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0"/>
      <c r="Q35" s="1263" t="str">
        <f t="shared" si="11"/>
        <v>建筑结构</v>
      </c>
      <c r="R35" s="667" t="s">
        <v>14</v>
      </c>
      <c r="S35" s="668">
        <f t="shared" si="12"/>
        <v>100</v>
      </c>
      <c r="T35" s="667" t="s">
        <v>14</v>
      </c>
      <c r="U35" s="668">
        <f t="shared" si="13"/>
        <v>100</v>
      </c>
      <c r="V35" s="667" t="s">
        <v>14</v>
      </c>
      <c r="W35" s="668">
        <f t="shared" si="14"/>
        <v>100</v>
      </c>
      <c r="X35" s="1265"/>
      <c r="Y35" s="339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0"/>
      <c r="Q36" s="1263" t="str">
        <f t="shared" si="11"/>
        <v>公共部分装修</v>
      </c>
      <c r="R36" s="667" t="s">
        <v>14</v>
      </c>
      <c r="S36" s="668">
        <f t="shared" si="12"/>
        <v>100</v>
      </c>
      <c r="T36" s="667" t="s">
        <v>14</v>
      </c>
      <c r="U36" s="668">
        <f t="shared" si="13"/>
        <v>100</v>
      </c>
      <c r="V36" s="667" t="s">
        <v>14</v>
      </c>
      <c r="W36" s="668">
        <f t="shared" si="14"/>
        <v>100</v>
      </c>
      <c r="X36" s="1265"/>
      <c r="Y36" s="339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0"/>
      <c r="Q37" s="1263" t="str">
        <f t="shared" si="11"/>
        <v>成新度</v>
      </c>
      <c r="R37" s="667" t="s">
        <v>14</v>
      </c>
      <c r="S37" s="668" t="e">
        <f t="shared" si="12"/>
        <v>#N/A</v>
      </c>
      <c r="T37" s="667" t="s">
        <v>14</v>
      </c>
      <c r="U37" s="668" t="e">
        <f t="shared" si="13"/>
        <v>#N/A</v>
      </c>
      <c r="V37" s="667" t="s">
        <v>14</v>
      </c>
      <c r="W37" s="668" t="e">
        <f t="shared" si="14"/>
        <v>#N/A</v>
      </c>
      <c r="X37" s="1265"/>
      <c r="Y37" s="339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0"/>
      <c r="Q38" s="530" t="str">
        <f t="shared" si="11"/>
        <v>写字楼等级</v>
      </c>
      <c r="R38" s="664" t="s">
        <v>14</v>
      </c>
      <c r="S38" s="665">
        <f t="shared" si="12"/>
        <v>100</v>
      </c>
      <c r="T38" s="664" t="s">
        <v>14</v>
      </c>
      <c r="U38" s="665">
        <f t="shared" si="13"/>
        <v>100</v>
      </c>
      <c r="V38" s="664" t="s">
        <v>14</v>
      </c>
      <c r="W38" s="665">
        <f t="shared" si="14"/>
        <v>100</v>
      </c>
      <c r="X38" s="666"/>
      <c r="Y38" s="339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0" t="s">
        <v>1696</v>
      </c>
      <c r="Q39" s="1263" t="str">
        <f t="shared" si="11"/>
        <v>物业管理</v>
      </c>
      <c r="R39" s="667" t="s">
        <v>14</v>
      </c>
      <c r="S39" s="668">
        <f t="shared" si="12"/>
        <v>100</v>
      </c>
      <c r="T39" s="667" t="s">
        <v>14</v>
      </c>
      <c r="U39" s="668">
        <f t="shared" si="13"/>
        <v>100</v>
      </c>
      <c r="V39" s="667" t="s">
        <v>14</v>
      </c>
      <c r="W39" s="668">
        <f t="shared" si="14"/>
        <v>100</v>
      </c>
      <c r="X39" s="1265"/>
      <c r="Y39" s="339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0"/>
      <c r="Q40" s="1263" t="str">
        <f t="shared" si="11"/>
        <v>市政基础设施</v>
      </c>
      <c r="R40" s="667" t="s">
        <v>14</v>
      </c>
      <c r="S40" s="668">
        <f t="shared" si="12"/>
        <v>100</v>
      </c>
      <c r="T40" s="667" t="s">
        <v>14</v>
      </c>
      <c r="U40" s="668">
        <f t="shared" si="13"/>
        <v>100</v>
      </c>
      <c r="V40" s="667" t="s">
        <v>14</v>
      </c>
      <c r="W40" s="668">
        <f t="shared" si="14"/>
        <v>100</v>
      </c>
      <c r="X40" s="1265"/>
      <c r="Y40" s="339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0"/>
      <c r="Q41" s="1263" t="str">
        <f t="shared" si="11"/>
        <v>层高</v>
      </c>
      <c r="R41" s="667" t="s">
        <v>14</v>
      </c>
      <c r="S41" s="668">
        <f t="shared" si="12"/>
        <v>100</v>
      </c>
      <c r="T41" s="667" t="s">
        <v>14</v>
      </c>
      <c r="U41" s="668">
        <f t="shared" si="13"/>
        <v>100</v>
      </c>
      <c r="V41" s="667" t="s">
        <v>14</v>
      </c>
      <c r="W41" s="668">
        <f t="shared" si="14"/>
        <v>100</v>
      </c>
      <c r="X41" s="1265"/>
      <c r="Y41" s="339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0"/>
      <c r="Q42" s="531" t="str">
        <f t="shared" si="11"/>
        <v>单套建筑面积</v>
      </c>
      <c r="R42" s="669" t="s">
        <v>14</v>
      </c>
      <c r="S42" s="670">
        <f t="shared" si="12"/>
        <v>100</v>
      </c>
      <c r="T42" s="669" t="s">
        <v>14</v>
      </c>
      <c r="U42" s="670">
        <f t="shared" si="13"/>
        <v>100</v>
      </c>
      <c r="V42" s="669" t="s">
        <v>14</v>
      </c>
      <c r="W42" s="670">
        <f t="shared" si="14"/>
        <v>100</v>
      </c>
      <c r="X42" s="671"/>
      <c r="Y42" s="339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0"/>
      <c r="Q43" s="1263" t="str">
        <f t="shared" si="11"/>
        <v>内部装修</v>
      </c>
      <c r="R43" s="667" t="s">
        <v>14</v>
      </c>
      <c r="S43" s="668">
        <f t="shared" si="12"/>
        <v>100</v>
      </c>
      <c r="T43" s="667" t="s">
        <v>14</v>
      </c>
      <c r="U43" s="668">
        <f t="shared" si="13"/>
        <v>100</v>
      </c>
      <c r="V43" s="667" t="s">
        <v>14</v>
      </c>
      <c r="W43" s="668">
        <f t="shared" si="14"/>
        <v>100</v>
      </c>
      <c r="X43" s="1265"/>
      <c r="Y43" s="339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90"/>
      <c r="Q44" s="1263" t="str">
        <f t="shared" si="11"/>
        <v>内部装修维护情况</v>
      </c>
      <c r="R44" s="667" t="s">
        <v>14</v>
      </c>
      <c r="S44" s="668">
        <f t="shared" si="12"/>
        <v>100</v>
      </c>
      <c r="T44" s="667" t="s">
        <v>14</v>
      </c>
      <c r="U44" s="668">
        <f t="shared" si="13"/>
        <v>100</v>
      </c>
      <c r="V44" s="667" t="s">
        <v>14</v>
      </c>
      <c r="W44" s="668">
        <f t="shared" si="14"/>
        <v>100</v>
      </c>
      <c r="X44" s="1265"/>
      <c r="Y44" s="339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0"/>
      <c r="Q45" s="530">
        <f t="shared" si="11"/>
        <v>111</v>
      </c>
      <c r="R45" s="664" t="s">
        <v>14</v>
      </c>
      <c r="S45" s="665">
        <f t="shared" si="12"/>
        <v>100</v>
      </c>
      <c r="T45" s="664" t="s">
        <v>14</v>
      </c>
      <c r="U45" s="665">
        <f t="shared" si="13"/>
        <v>100</v>
      </c>
      <c r="V45" s="664" t="s">
        <v>14</v>
      </c>
      <c r="W45" s="665">
        <f t="shared" si="14"/>
        <v>100</v>
      </c>
      <c r="X45" s="666"/>
      <c r="Y45" s="339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1"/>
      <c r="Q47" s="1263">
        <f t="shared" si="11"/>
        <v>111</v>
      </c>
      <c r="R47" s="667" t="s">
        <v>14</v>
      </c>
      <c r="S47" s="668">
        <f t="shared" si="12"/>
        <v>100</v>
      </c>
      <c r="T47" s="667" t="s">
        <v>14</v>
      </c>
      <c r="U47" s="668">
        <f t="shared" si="13"/>
        <v>100</v>
      </c>
      <c r="V47" s="667" t="s">
        <v>14</v>
      </c>
      <c r="W47" s="668">
        <f t="shared" si="14"/>
        <v>100</v>
      </c>
      <c r="X47" s="1265"/>
      <c r="Y47" s="339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96" t="str">
        <f>A48</f>
        <v>成交单价（元/平方米）</v>
      </c>
      <c r="Q48" s="3385"/>
      <c r="R48" s="3386">
        <f>E48</f>
        <v>0</v>
      </c>
      <c r="S48" s="3386"/>
      <c r="T48" s="3386">
        <f>G48</f>
        <v>0</v>
      </c>
      <c r="U48" s="3386"/>
      <c r="V48" s="3386">
        <f>I48</f>
        <v>0</v>
      </c>
      <c r="W48" s="338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6" t="str">
        <f>A49</f>
        <v>比较价值（元/平方米）</v>
      </c>
      <c r="Q49" s="3385"/>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21"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12021.93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860"/>
      <c r="M4" s="861"/>
      <c r="N4" s="861"/>
      <c r="O4" s="861"/>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ht="15">
      <c r="A5" s="348"/>
      <c r="B5" s="349"/>
      <c r="C5" s="3418" t="s">
        <v>1673</v>
      </c>
      <c r="D5" s="3419"/>
      <c r="E5" s="3425" t="s">
        <v>1674</v>
      </c>
      <c r="F5" s="3426"/>
      <c r="G5" s="3418" t="s">
        <v>1675</v>
      </c>
      <c r="H5" s="3419"/>
      <c r="I5" s="3418" t="s">
        <v>1676</v>
      </c>
      <c r="J5" s="3419"/>
      <c r="K5" s="537"/>
      <c r="L5" s="860"/>
      <c r="M5" s="861"/>
      <c r="N5" s="861"/>
      <c r="O5" s="861"/>
      <c r="P5" s="3406"/>
      <c r="Q5" s="3407"/>
      <c r="R5" s="3412"/>
      <c r="S5" s="3413"/>
      <c r="T5" s="3412"/>
      <c r="U5" s="3413"/>
      <c r="V5" s="3386"/>
      <c r="W5" s="3386"/>
      <c r="X5" s="1265"/>
      <c r="Y5" s="3412"/>
      <c r="Z5" s="3413"/>
      <c r="AA5" s="3398"/>
      <c r="AB5" s="3398"/>
      <c r="AC5" s="3398"/>
    </row>
    <row r="6" spans="1:29" ht="15.75" thickBot="1">
      <c r="A6" s="350"/>
      <c r="B6" s="351"/>
      <c r="C6" s="3416" t="s">
        <v>1677</v>
      </c>
      <c r="D6" s="3417"/>
      <c r="E6" s="3423" t="s">
        <v>1677</v>
      </c>
      <c r="F6" s="3424"/>
      <c r="G6" s="3416" t="s">
        <v>1677</v>
      </c>
      <c r="H6" s="3417"/>
      <c r="I6" s="3416" t="s">
        <v>1677</v>
      </c>
      <c r="J6" s="3417"/>
      <c r="K6" s="537" t="s">
        <v>1678</v>
      </c>
      <c r="L6" s="860"/>
      <c r="M6" s="861"/>
      <c r="N6" s="861"/>
      <c r="O6" s="861"/>
      <c r="P6" s="3408"/>
      <c r="Q6" s="3409"/>
      <c r="R6" s="3412"/>
      <c r="S6" s="3413"/>
      <c r="T6" s="3414"/>
      <c r="U6" s="3415"/>
      <c r="V6" s="3386"/>
      <c r="W6" s="3386"/>
      <c r="X6" s="1265"/>
      <c r="Y6" s="3414"/>
      <c r="Z6" s="3415"/>
      <c r="AA6" s="3399"/>
      <c r="AB6" s="3399"/>
      <c r="AC6" s="3399"/>
    </row>
    <row r="7" spans="1:29" s="102" customFormat="1" ht="15.75" thickBot="1">
      <c r="A7" s="352" t="s">
        <v>1679</v>
      </c>
      <c r="B7" s="353"/>
      <c r="C7" s="354">
        <f>'数据-取费表'!B2</f>
        <v>45854</v>
      </c>
      <c r="D7" s="355">
        <v>100</v>
      </c>
      <c r="E7" s="356"/>
      <c r="F7" s="357">
        <f>SUMIF(52:52,YEAR(E7)&amp;"-"&amp;MONTH(E7),53:53)</f>
        <v>0</v>
      </c>
      <c r="G7" s="356"/>
      <c r="H7" s="355">
        <f>SUMIF(52:52,YEAR(G7)&amp;"-"&amp;MONTH(G7),53:53)</f>
        <v>0</v>
      </c>
      <c r="I7" s="356"/>
      <c r="J7" s="355">
        <f>SUMIF(52:52,YEAR(I7)&amp;"-"&amp;MONTH(I7),53:53)</f>
        <v>0</v>
      </c>
      <c r="K7" s="38"/>
      <c r="L7" s="862"/>
      <c r="M7" s="863"/>
      <c r="N7" s="863"/>
      <c r="O7" s="863"/>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0" t="s">
        <v>1683</v>
      </c>
      <c r="Q8" s="3421"/>
      <c r="R8" s="664" t="s">
        <v>14</v>
      </c>
      <c r="S8" s="665">
        <f t="shared" si="0"/>
        <v>100</v>
      </c>
      <c r="T8" s="664" t="s">
        <v>14</v>
      </c>
      <c r="U8" s="665">
        <f t="shared" si="1"/>
        <v>100</v>
      </c>
      <c r="V8" s="664" t="s">
        <v>14</v>
      </c>
      <c r="W8" s="665">
        <f t="shared" si="2"/>
        <v>100</v>
      </c>
      <c r="X8" s="666"/>
      <c r="Y8" s="3420" t="s">
        <v>1683</v>
      </c>
      <c r="Z8" s="342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5"/>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8"/>
      <c r="Q16" s="1263"/>
      <c r="R16" s="667"/>
      <c r="S16" s="668"/>
      <c r="T16" s="667"/>
      <c r="U16" s="668"/>
      <c r="V16" s="667"/>
      <c r="W16" s="668"/>
      <c r="X16" s="1265"/>
      <c r="Y16" s="338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8"/>
      <c r="Q18" s="1263"/>
      <c r="R18" s="667"/>
      <c r="S18" s="668"/>
      <c r="T18" s="667"/>
      <c r="U18" s="668"/>
      <c r="V18" s="667"/>
      <c r="W18" s="668"/>
      <c r="X18" s="1265"/>
      <c r="Y18" s="338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8"/>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8"/>
      <c r="Q20" s="1263"/>
      <c r="R20" s="667"/>
      <c r="S20" s="668"/>
      <c r="T20" s="667"/>
      <c r="U20" s="668"/>
      <c r="V20" s="667"/>
      <c r="W20" s="668"/>
      <c r="X20" s="1265"/>
      <c r="Y20" s="338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8"/>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8"/>
      <c r="Q22" s="1263"/>
      <c r="R22" s="667"/>
      <c r="S22" s="668"/>
      <c r="T22" s="667"/>
      <c r="U22" s="668"/>
      <c r="V22" s="667"/>
      <c r="W22" s="668"/>
      <c r="X22" s="1265"/>
      <c r="Y22" s="338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8"/>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8"/>
      <c r="Q24" s="1263"/>
      <c r="R24" s="667"/>
      <c r="S24" s="668"/>
      <c r="T24" s="667"/>
      <c r="U24" s="668"/>
      <c r="V24" s="667"/>
      <c r="W24" s="668"/>
      <c r="X24" s="1265"/>
      <c r="Y24" s="338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8"/>
      <c r="Q25" s="1263">
        <f>B25</f>
        <v>111</v>
      </c>
      <c r="R25" s="667" t="s">
        <v>14</v>
      </c>
      <c r="S25" s="668">
        <f>F25</f>
        <v>100</v>
      </c>
      <c r="T25" s="667" t="s">
        <v>14</v>
      </c>
      <c r="U25" s="668">
        <f>H25</f>
        <v>100</v>
      </c>
      <c r="V25" s="667" t="s">
        <v>14</v>
      </c>
      <c r="W25" s="668">
        <f>J25</f>
        <v>100</v>
      </c>
      <c r="X25" s="1265"/>
      <c r="Y25" s="338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8"/>
      <c r="Q26" s="1263">
        <f t="shared" ref="Q26:Q40" si="11">B26</f>
        <v>111</v>
      </c>
      <c r="R26" s="667" t="s">
        <v>14</v>
      </c>
      <c r="S26" s="668">
        <f>F26</f>
        <v>100</v>
      </c>
      <c r="T26" s="667" t="s">
        <v>14</v>
      </c>
      <c r="U26" s="668">
        <f>H26</f>
        <v>100</v>
      </c>
      <c r="V26" s="667" t="s">
        <v>14</v>
      </c>
      <c r="W26" s="668">
        <f>J26</f>
        <v>100</v>
      </c>
      <c r="X26" s="1265"/>
      <c r="Y26" s="338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8"/>
      <c r="Q27" s="530">
        <f t="shared" si="11"/>
        <v>111</v>
      </c>
      <c r="R27" s="664" t="s">
        <v>14</v>
      </c>
      <c r="S27" s="665">
        <f>F27</f>
        <v>100</v>
      </c>
      <c r="T27" s="664" t="s">
        <v>14</v>
      </c>
      <c r="U27" s="665">
        <f>H27</f>
        <v>100</v>
      </c>
      <c r="V27" s="664" t="s">
        <v>14</v>
      </c>
      <c r="W27" s="665">
        <f>J27</f>
        <v>100</v>
      </c>
      <c r="X27" s="666"/>
      <c r="Y27" s="338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8"/>
      <c r="Q28" s="1263">
        <f t="shared" si="11"/>
        <v>111</v>
      </c>
      <c r="R28" s="667" t="s">
        <v>14</v>
      </c>
      <c r="S28" s="668">
        <f t="shared" ref="S28:S40" si="12">F28</f>
        <v>100</v>
      </c>
      <c r="T28" s="667" t="s">
        <v>14</v>
      </c>
      <c r="U28" s="668">
        <f t="shared" ref="U28:U40" si="13">H28</f>
        <v>100</v>
      </c>
      <c r="V28" s="667" t="s">
        <v>14</v>
      </c>
      <c r="W28" s="668">
        <f t="shared" ref="W28:W40" si="14">J28</f>
        <v>100</v>
      </c>
      <c r="X28" s="1265"/>
      <c r="Y28" s="338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39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2"/>
      <c r="Q30" s="531" t="str">
        <f t="shared" si="11"/>
        <v>项目建筑规模</v>
      </c>
      <c r="R30" s="669" t="s">
        <v>14</v>
      </c>
      <c r="S30" s="670" t="e">
        <f t="shared" si="12"/>
        <v>#N/A</v>
      </c>
      <c r="T30" s="669" t="s">
        <v>14</v>
      </c>
      <c r="U30" s="670" t="e">
        <f t="shared" si="13"/>
        <v>#N/A</v>
      </c>
      <c r="V30" s="669" t="s">
        <v>14</v>
      </c>
      <c r="W30" s="670" t="e">
        <f t="shared" si="14"/>
        <v>#N/A</v>
      </c>
      <c r="X30" s="671"/>
      <c r="Y30" s="339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2"/>
      <c r="Q31" s="1263" t="str">
        <f t="shared" si="11"/>
        <v>建筑结构</v>
      </c>
      <c r="R31" s="667" t="s">
        <v>14</v>
      </c>
      <c r="S31" s="668">
        <f t="shared" si="12"/>
        <v>100</v>
      </c>
      <c r="T31" s="667" t="s">
        <v>14</v>
      </c>
      <c r="U31" s="668">
        <f t="shared" si="13"/>
        <v>100</v>
      </c>
      <c r="V31" s="667" t="s">
        <v>14</v>
      </c>
      <c r="W31" s="668">
        <f t="shared" si="14"/>
        <v>100</v>
      </c>
      <c r="X31" s="1265"/>
      <c r="Y31" s="339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2"/>
      <c r="Q32" s="1263" t="str">
        <f t="shared" si="11"/>
        <v>公共部分装修</v>
      </c>
      <c r="R32" s="667" t="s">
        <v>14</v>
      </c>
      <c r="S32" s="668">
        <f t="shared" si="12"/>
        <v>100</v>
      </c>
      <c r="T32" s="667" t="s">
        <v>14</v>
      </c>
      <c r="U32" s="668">
        <f t="shared" si="13"/>
        <v>100</v>
      </c>
      <c r="V32" s="667" t="s">
        <v>14</v>
      </c>
      <c r="W32" s="668">
        <f t="shared" si="14"/>
        <v>100</v>
      </c>
      <c r="X32" s="1265"/>
      <c r="Y32" s="339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2"/>
      <c r="Q33" s="1263" t="str">
        <f t="shared" si="11"/>
        <v>成新度</v>
      </c>
      <c r="R33" s="667" t="s">
        <v>14</v>
      </c>
      <c r="S33" s="668" t="e">
        <f t="shared" si="12"/>
        <v>#N/A</v>
      </c>
      <c r="T33" s="667" t="s">
        <v>14</v>
      </c>
      <c r="U33" s="668" t="e">
        <f t="shared" si="13"/>
        <v>#N/A</v>
      </c>
      <c r="V33" s="667" t="s">
        <v>14</v>
      </c>
      <c r="W33" s="668" t="e">
        <f t="shared" si="14"/>
        <v>#N/A</v>
      </c>
      <c r="X33" s="1265"/>
      <c r="Y33" s="339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2"/>
      <c r="Q34" s="530" t="str">
        <f t="shared" si="11"/>
        <v>物业管理</v>
      </c>
      <c r="R34" s="664" t="s">
        <v>14</v>
      </c>
      <c r="S34" s="665">
        <f t="shared" si="12"/>
        <v>100</v>
      </c>
      <c r="T34" s="664" t="s">
        <v>14</v>
      </c>
      <c r="U34" s="665">
        <f t="shared" si="13"/>
        <v>100</v>
      </c>
      <c r="V34" s="664" t="s">
        <v>14</v>
      </c>
      <c r="W34" s="665">
        <f t="shared" si="14"/>
        <v>100</v>
      </c>
      <c r="X34" s="666"/>
      <c r="Y34" s="339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2" t="s">
        <v>1696</v>
      </c>
      <c r="Q35" s="1263" t="str">
        <f t="shared" si="11"/>
        <v>市政基础设施</v>
      </c>
      <c r="R35" s="667" t="s">
        <v>14</v>
      </c>
      <c r="S35" s="668">
        <f t="shared" si="12"/>
        <v>100</v>
      </c>
      <c r="T35" s="667" t="s">
        <v>14</v>
      </c>
      <c r="U35" s="668">
        <f t="shared" si="13"/>
        <v>100</v>
      </c>
      <c r="V35" s="667" t="s">
        <v>14</v>
      </c>
      <c r="W35" s="668">
        <f t="shared" si="14"/>
        <v>100</v>
      </c>
      <c r="X35" s="1265"/>
      <c r="Y35" s="339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2"/>
      <c r="Q36" s="1263" t="str">
        <f t="shared" si="11"/>
        <v>内部装修</v>
      </c>
      <c r="R36" s="667" t="s">
        <v>14</v>
      </c>
      <c r="S36" s="668">
        <f t="shared" si="12"/>
        <v>100</v>
      </c>
      <c r="T36" s="667" t="s">
        <v>14</v>
      </c>
      <c r="U36" s="668">
        <f t="shared" si="13"/>
        <v>100</v>
      </c>
      <c r="V36" s="667" t="s">
        <v>14</v>
      </c>
      <c r="W36" s="668">
        <f t="shared" si="14"/>
        <v>100</v>
      </c>
      <c r="X36" s="1265"/>
      <c r="Y36" s="339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2"/>
      <c r="Q37" s="1263" t="str">
        <f t="shared" si="11"/>
        <v>内部装修状况</v>
      </c>
      <c r="R37" s="667" t="s">
        <v>14</v>
      </c>
      <c r="S37" s="668">
        <f t="shared" si="12"/>
        <v>100</v>
      </c>
      <c r="T37" s="667" t="s">
        <v>14</v>
      </c>
      <c r="U37" s="668">
        <f t="shared" si="13"/>
        <v>100</v>
      </c>
      <c r="V37" s="667" t="s">
        <v>14</v>
      </c>
      <c r="W37" s="668">
        <f t="shared" si="14"/>
        <v>100</v>
      </c>
      <c r="X37" s="1265"/>
      <c r="Y37" s="339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2"/>
      <c r="Q38" s="531">
        <f t="shared" si="11"/>
        <v>111</v>
      </c>
      <c r="R38" s="669" t="s">
        <v>14</v>
      </c>
      <c r="S38" s="670">
        <f t="shared" si="12"/>
        <v>100</v>
      </c>
      <c r="T38" s="669" t="s">
        <v>14</v>
      </c>
      <c r="U38" s="670">
        <f t="shared" si="13"/>
        <v>100</v>
      </c>
      <c r="V38" s="669" t="s">
        <v>14</v>
      </c>
      <c r="W38" s="670">
        <f t="shared" si="14"/>
        <v>100</v>
      </c>
      <c r="X38" s="671"/>
      <c r="Y38" s="339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2"/>
      <c r="Q39" s="1263">
        <f t="shared" si="11"/>
        <v>111</v>
      </c>
      <c r="R39" s="667" t="s">
        <v>14</v>
      </c>
      <c r="S39" s="668">
        <f t="shared" si="12"/>
        <v>100</v>
      </c>
      <c r="T39" s="667" t="s">
        <v>14</v>
      </c>
      <c r="U39" s="668">
        <f t="shared" si="13"/>
        <v>100</v>
      </c>
      <c r="V39" s="667" t="s">
        <v>14</v>
      </c>
      <c r="W39" s="668">
        <f t="shared" si="14"/>
        <v>100</v>
      </c>
      <c r="X39" s="1265"/>
      <c r="Y39" s="339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3"/>
      <c r="Q40" s="1263">
        <f t="shared" si="11"/>
        <v>111</v>
      </c>
      <c r="R40" s="667" t="s">
        <v>14</v>
      </c>
      <c r="S40" s="668">
        <f t="shared" si="12"/>
        <v>100</v>
      </c>
      <c r="T40" s="667" t="s">
        <v>14</v>
      </c>
      <c r="U40" s="668">
        <f t="shared" si="13"/>
        <v>100</v>
      </c>
      <c r="V40" s="667" t="s">
        <v>14</v>
      </c>
      <c r="W40" s="668">
        <f t="shared" si="14"/>
        <v>100</v>
      </c>
      <c r="X40" s="1265"/>
      <c r="Y40" s="339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5" t="str">
        <f>A41</f>
        <v>成交单价（元/平方米）</v>
      </c>
      <c r="Q41" s="3385"/>
      <c r="R41" s="3386">
        <f>E41</f>
        <v>0</v>
      </c>
      <c r="S41" s="3386"/>
      <c r="T41" s="3386">
        <f>G41</f>
        <v>0</v>
      </c>
      <c r="U41" s="3386"/>
      <c r="V41" s="3386">
        <f>I41</f>
        <v>0</v>
      </c>
      <c r="W41" s="338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2" t="str">
        <f>A43</f>
        <v>估价对象XX用房的比较价值（楼面单价，元/平方米）</v>
      </c>
      <c r="Q43" s="3383"/>
      <c r="R43" s="3384" t="e">
        <f>IF(F1="售价",ROUND(IF(D42="简单平均",AVERAGE(R42:V42),R42*F42+T42*H42+V42*J42),0),ROUND(IF(D42="简单平均",AVERAGE(R42:V42),R42*F42+T42*H42+V42*J42),1))</f>
        <v>#DIV/0!</v>
      </c>
      <c r="S43" s="3384"/>
      <c r="T43" s="3384"/>
      <c r="U43" s="3384"/>
      <c r="V43" s="3384"/>
      <c r="W43" s="338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估价对象为北京市房地产，为所有。根据《国有土地使用证》[]，估价对象（分摊）出让国有建设用地使用权面积为0平方米，建筑面积为12021.93平方米。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估价对象为北京市房地产,属开发建设的，该项目尚在开发建设中。根据《国有土地使用证》[]，估价对象（分摊）出让国有建设用地使用权面积为0平方米，规划建筑面积为12021.93平方米。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2025年7月16日（评估专业人员实地查勘之日）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12" sqref="G1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12021.93</v>
      </c>
      <c r="E1" s="1842"/>
      <c r="F1" s="1842"/>
      <c r="G1" s="1842"/>
      <c r="H1" s="1842"/>
      <c r="I1" s="1842"/>
      <c r="J1" s="1842"/>
      <c r="K1" s="1056"/>
      <c r="L1" s="1843" t="s">
        <v>1928</v>
      </c>
      <c r="M1" s="810">
        <f>SUMPRODUCT((区片价!B5:B9=I2)*(区片价!C3:G3=E2)*(区片价!C5:G9))</f>
        <v>32630</v>
      </c>
      <c r="N1" s="813">
        <f>SUMPRODUCT((因素修正幅度!B5:B9=I2)*(因素修正幅度!C3:G3=E2)*(因素修正幅度!C5:G9))</f>
        <v>8.1000000000000003E-2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7466</v>
      </c>
      <c r="C2" s="1846" t="s">
        <v>1935</v>
      </c>
      <c r="D2" s="162" t="s">
        <v>1936</v>
      </c>
      <c r="E2" s="3120"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1.5206</v>
      </c>
      <c r="T2" s="3063">
        <f t="shared" ref="T2:T16" si="0">ROUND($C$5*$C$22*$C$23*$C$24*S2*$C$28,0)</f>
        <v>42531</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6210</v>
      </c>
      <c r="C3" s="1846" t="s">
        <v>1941</v>
      </c>
      <c r="D3" s="162" t="s">
        <v>1942</v>
      </c>
      <c r="E3" s="3118" t="s">
        <v>2430</v>
      </c>
      <c r="F3" s="1848" t="s">
        <v>3430</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33765</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50"/>
      <c r="B4" s="3451"/>
      <c r="C4" s="3451"/>
      <c r="D4" s="3452"/>
      <c r="E4" s="3452"/>
      <c r="F4" s="3452"/>
      <c r="G4" s="3452"/>
      <c r="H4" s="3452"/>
      <c r="I4" s="3452"/>
      <c r="J4" s="345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29175</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32630</v>
      </c>
      <c r="D5" s="1252">
        <f>ROUND(C6*C17+C20,0)</f>
        <v>32630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26401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32630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25162</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一级</v>
      </c>
      <c r="Y7" s="1131" t="s">
        <v>1956</v>
      </c>
      <c r="Z7" s="1132">
        <f>G3</f>
        <v>3.5</v>
      </c>
      <c r="AA7" s="1133"/>
      <c r="AB7" s="1133"/>
      <c r="AC7" s="1134"/>
      <c r="AD7" s="1135"/>
      <c r="AE7" s="1135"/>
      <c r="AF7" s="1135"/>
      <c r="AG7" s="1135"/>
      <c r="AH7" s="1135"/>
      <c r="AI7" s="1135"/>
      <c r="AJ7" s="1136"/>
    </row>
    <row r="8" spans="1:36" ht="25.5">
      <c r="A8" s="3009"/>
      <c r="B8" s="162" t="s">
        <v>1957</v>
      </c>
      <c r="C8" s="1870" t="s">
        <v>3431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49"/>
      <c r="X9" s="3064" t="s">
        <v>3259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3229</v>
      </c>
      <c r="B12" s="3013" t="s">
        <v>3230</v>
      </c>
      <c r="C12" s="3014">
        <v>1</v>
      </c>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3233</v>
      </c>
      <c r="B13" s="1878" t="s">
        <v>1982</v>
      </c>
      <c r="C13" s="711">
        <f>ROUND(C16*D16*E16*F16*G16*H16*I16*J16,4)</f>
        <v>1.155</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3432</v>
      </c>
      <c r="D15" s="1887" t="s">
        <v>3433</v>
      </c>
      <c r="E15" s="1888" t="s">
        <v>3434</v>
      </c>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1.1000000000000001</v>
      </c>
      <c r="D16" s="3024">
        <v>1</v>
      </c>
      <c r="E16" s="3024">
        <v>1.05</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3239</v>
      </c>
      <c r="E18" s="2356"/>
      <c r="F18" s="3030" t="s">
        <v>3242</v>
      </c>
      <c r="G18" s="3034">
        <f>ROUND(1-(1/(POWER(1+G24,E18))),4)</f>
        <v>0</v>
      </c>
      <c r="H18" s="3030" t="s">
        <v>3244</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54" t="s">
        <v>3245</v>
      </c>
      <c r="B20" s="159" t="s">
        <v>1994</v>
      </c>
      <c r="C20" s="3031">
        <f>ROUND(IF(F21="与级别开发程度一致",0,(G21-E21)/C21),0)</f>
        <v>0</v>
      </c>
      <c r="D20" s="3046" t="s">
        <v>1998</v>
      </c>
      <c r="E20" s="3047"/>
      <c r="F20" s="3460" t="s">
        <v>1995</v>
      </c>
      <c r="G20" s="346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55"/>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45854</v>
      </c>
      <c r="H23" s="3048" t="s">
        <v>3247</v>
      </c>
      <c r="I23" s="3049" t="str">
        <f>IF(H23="季度增幅（自定义）",SUMIF(N25:N28,E2,O25:O28),"")</f>
        <v/>
      </c>
      <c r="J23" s="3141" t="s">
        <v>3246</v>
      </c>
      <c r="K23" s="1061"/>
      <c r="L23" s="1897" t="s">
        <v>2004</v>
      </c>
      <c r="M23" s="1241">
        <f>ROUND(SUMIF(地价!B2:G2,E2,地价!B16:G16),0)</f>
        <v>350</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0.80200000000000005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22.98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3326</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1.0402</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7466</v>
      </c>
      <c r="D30" s="1925"/>
      <c r="E30" s="1842"/>
      <c r="F30" s="1926"/>
      <c r="G30" s="1842"/>
      <c r="H30" s="1842"/>
      <c r="I30" s="1842"/>
      <c r="J30" s="1927"/>
      <c r="K30" s="1056"/>
      <c r="L30" s="3055" t="s">
        <v>1936</v>
      </c>
      <c r="M30" s="3056" t="s">
        <v>1990</v>
      </c>
      <c r="N30" s="3056" t="s">
        <v>1991</v>
      </c>
      <c r="O30" s="3056" t="s">
        <v>1992</v>
      </c>
      <c r="P30" s="3056" t="s">
        <v>1993</v>
      </c>
      <c r="Q30" s="3059"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1867</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27970</v>
      </c>
      <c r="D33" s="1940"/>
      <c r="E33" s="727">
        <f>ROUND(C33*D33/10000,0)</f>
        <v>0</v>
      </c>
      <c r="F33" s="3050" t="s">
        <v>3251</v>
      </c>
      <c r="G33" s="1941"/>
      <c r="H33" s="1941"/>
      <c r="I33" s="1941"/>
      <c r="J33" s="1942"/>
      <c r="K33" s="1056"/>
      <c r="L33" s="3053" t="s">
        <v>3254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6993</v>
      </c>
      <c r="D34" s="1945"/>
      <c r="E34" s="727">
        <f>ROUND(IF(B25="楼层修正",SUM(V2:V16)*M40,C34*D34/10000),0)</f>
        <v>0</v>
      </c>
      <c r="F34" s="1946" t="s">
        <v>2032</v>
      </c>
      <c r="G34" s="1947"/>
      <c r="H34" s="1947"/>
      <c r="I34" s="1947"/>
      <c r="J34" s="1948"/>
      <c r="K34" s="1056"/>
      <c r="L34" s="3053" t="s">
        <v>3255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8"/>
      <c r="B37" s="1955" t="s">
        <v>2036</v>
      </c>
      <c r="C37" s="167">
        <f>ROUND(D5*C22*C23*C24*C28*F37,0)</f>
        <v>19579</v>
      </c>
      <c r="D37" s="1940"/>
      <c r="E37" s="163">
        <f>ROUND(C37*D37/10000,0)</f>
        <v>0</v>
      </c>
      <c r="F37" s="163">
        <f>SUMIF(修正!A59:A70,G2,修正!B59:B70)</f>
        <v>0.7</v>
      </c>
      <c r="G37" s="163">
        <f>ROUND(IF(E2="工业",C37*$M$42,C37*$M$41),0)</f>
        <v>4895</v>
      </c>
      <c r="H37" s="163">
        <f>D37</f>
        <v>0</v>
      </c>
      <c r="I37" s="163">
        <f>ROUND(G37*H37/10000,0)</f>
        <v>0</v>
      </c>
      <c r="J37" s="2754"/>
      <c r="K37" s="3061" t="s">
        <v>3257</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9"/>
      <c r="B38" s="1884" t="s">
        <v>2037</v>
      </c>
      <c r="C38" s="167">
        <f>ROUND(D5*C22*C23*C24*C28*F38,0)</f>
        <v>11188</v>
      </c>
      <c r="D38" s="1940"/>
      <c r="E38" s="163">
        <f t="shared" ref="E38:E42" si="4">ROUND(C38*D38/10000,0)</f>
        <v>0</v>
      </c>
      <c r="F38" s="163">
        <f>SUMIF(修正!A59:A70,G2,修正!C59:C70)</f>
        <v>0.4</v>
      </c>
      <c r="G38" s="163">
        <f>ROUND(IF(E2="工业",C38*$M$42,C38*$M$41),0)</f>
        <v>2797</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9"/>
      <c r="B39" s="1884" t="s">
        <v>3250</v>
      </c>
      <c r="C39" s="167">
        <f>ROUND(D5*C22*C23*C24*C28*F39,0)</f>
        <v>8391</v>
      </c>
      <c r="D39" s="1940"/>
      <c r="E39" s="163">
        <f t="shared" si="4"/>
        <v>0</v>
      </c>
      <c r="F39" s="163">
        <f>SUMIF(修正!A59:A70,G2,修正!D59:D70)</f>
        <v>0.3</v>
      </c>
      <c r="G39" s="163">
        <f>ROUND(IF(E2="工业",C39*$M$42,C39*$M$41),0)</f>
        <v>2098</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8391</v>
      </c>
      <c r="D40" s="1940"/>
      <c r="E40" s="163">
        <f t="shared" si="4"/>
        <v>0</v>
      </c>
      <c r="F40" s="167">
        <f>SUMIF(修正!A59:A70,G2,修正!E59:E70)</f>
        <v>0.3</v>
      </c>
      <c r="G40" s="163">
        <f>ROUND(IF(E2="工业",C40*$M$42,C40*$M$41),0)</f>
        <v>2098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9315</v>
      </c>
      <c r="D41" s="1940"/>
      <c r="E41" s="163">
        <f t="shared" si="4"/>
        <v>0</v>
      </c>
      <c r="F41" s="167">
        <f>SUMIF(修正!A59:A70,G2,修正!F59:F70)</f>
        <v>0.3</v>
      </c>
      <c r="G41" s="163">
        <f>ROUND(IF(E2="工业",C41*$M$42,C41*$M$41),0)</f>
        <v>2329</v>
      </c>
      <c r="H41" s="163">
        <f t="shared" si="5"/>
        <v>0</v>
      </c>
      <c r="I41" s="163">
        <f t="shared" si="6"/>
        <v>0</v>
      </c>
      <c r="J41" s="939"/>
      <c r="L41" s="3062"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6210</v>
      </c>
      <c r="D42" s="1945">
        <f>'数据-汇总表'!G19</f>
        <v>12021.93</v>
      </c>
      <c r="E42" s="179">
        <f t="shared" si="4"/>
        <v>7466</v>
      </c>
      <c r="F42" s="723">
        <f>SUMIF(修正!A59:A70,G2,修正!G59:G70)</f>
        <v>0.2</v>
      </c>
      <c r="G42" s="179">
        <f>ROUND(IF(E2="工业",C42*$M$42,C42*$M$41),0)</f>
        <v>1553</v>
      </c>
      <c r="H42" s="179">
        <f t="shared" si="5"/>
        <v>12021.93</v>
      </c>
      <c r="I42" s="179">
        <f t="shared" si="6"/>
        <v>1867</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0.89029999999999998</v>
      </c>
      <c r="D44" s="163" t="s">
        <v>1999</v>
      </c>
      <c r="E44" s="1991">
        <f>G24</f>
        <v>5.5E-2</v>
      </c>
      <c r="F44" s="163" t="s">
        <v>2008</v>
      </c>
      <c r="G44" s="175">
        <f>项目基本情况!F15</f>
        <v>32.99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1.0402</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3436</v>
      </c>
      <c r="D50" s="1002">
        <f t="shared" ref="D50:D58" si="7">SUMIF($J$49:$N$49,C50,J50:N50)</f>
        <v>1.21E-2</v>
      </c>
      <c r="E50" s="702">
        <f>ROUND(SUM(D50:D58),4)</f>
        <v>4.02E-2</v>
      </c>
      <c r="F50" s="1675">
        <f>IF(E2="商业",SUMIF(L1:L12,G2,N1:N12),"——")</f>
        <v>8.1000000000000003E-2</v>
      </c>
      <c r="G50" s="1000">
        <f>H50</f>
        <v>1.21E-2</v>
      </c>
      <c r="H50" s="1003">
        <f t="shared" ref="H50:H58" si="8">IFERROR(ROUNDDOWN($F$50*I50/2,4),"——")</f>
        <v>1.21E-2</v>
      </c>
      <c r="I50" s="3068">
        <v>0.3</v>
      </c>
      <c r="J50" s="1001">
        <f t="shared" ref="J50:J58" si="9">K50+$G50</f>
        <v>2.4199999999999999E-2</v>
      </c>
      <c r="K50" s="1001">
        <f t="shared" ref="K50:K58" si="10">$L50+$G50</f>
        <v>1.21E-2</v>
      </c>
      <c r="L50" s="1001">
        <v>0</v>
      </c>
      <c r="M50" s="1001">
        <f t="shared" ref="M50:N58" si="11">L50-$G50</f>
        <v>-1.21E-2</v>
      </c>
      <c r="N50" s="1001">
        <f t="shared" si="11"/>
        <v>-2.4199999999999999E-2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3436</v>
      </c>
      <c r="D51" s="1002">
        <f t="shared" si="7"/>
        <v>8.8999999999999999E-3</v>
      </c>
      <c r="E51" s="703"/>
      <c r="F51" s="1675"/>
      <c r="G51" s="1000">
        <f t="shared" ref="G51:G58" si="12">H51</f>
        <v>8.8999999999999999E-3</v>
      </c>
      <c r="H51" s="1003">
        <f t="shared" si="8"/>
        <v>8.8999999999999999E-3</v>
      </c>
      <c r="I51" s="3068">
        <v>0.22</v>
      </c>
      <c r="J51" s="1001">
        <f t="shared" si="9"/>
        <v>1.78E-2</v>
      </c>
      <c r="K51" s="1001">
        <f t="shared" si="10"/>
        <v>8.8999999999999999E-3</v>
      </c>
      <c r="L51" s="1001">
        <v>0</v>
      </c>
      <c r="M51" s="1001">
        <f t="shared" si="11"/>
        <v>-8.8999999999999999E-3</v>
      </c>
      <c r="N51" s="1001">
        <f t="shared" si="11"/>
        <v>-1.78E-2</v>
      </c>
      <c r="AA51" s="1057"/>
      <c r="AB51" s="1057"/>
      <c r="AC51" s="1057"/>
      <c r="AD51" s="1057"/>
      <c r="AE51" s="1057"/>
      <c r="AF51" s="1057"/>
      <c r="AG51" s="1057"/>
      <c r="AH51" s="1057"/>
      <c r="AI51" s="1057"/>
      <c r="AJ51" s="1057"/>
      <c r="AK51" s="1057"/>
    </row>
    <row r="52" spans="1:37" s="1056" customFormat="1" ht="36">
      <c r="A52" s="3070" t="s">
        <v>3260</v>
      </c>
      <c r="B52" s="1262">
        <f>估价对象房地状况!C19</f>
        <v>0</v>
      </c>
      <c r="C52" s="1887" t="s">
        <v>3436</v>
      </c>
      <c r="D52" s="1002">
        <f t="shared" si="7"/>
        <v>4.7999999999999996E-3</v>
      </c>
      <c r="E52" s="703"/>
      <c r="F52" s="1675"/>
      <c r="G52" s="1000">
        <f t="shared" si="12"/>
        <v>4.7999999999999996E-3</v>
      </c>
      <c r="H52" s="1003">
        <f t="shared" si="8"/>
        <v>4.7999999999999996E-3</v>
      </c>
      <c r="I52" s="3068">
        <v>0.12</v>
      </c>
      <c r="J52" s="1001">
        <f t="shared" si="9"/>
        <v>9.5999999999999992E-3</v>
      </c>
      <c r="K52" s="1001">
        <f t="shared" si="10"/>
        <v>4.7999999999999996E-3</v>
      </c>
      <c r="L52" s="1001">
        <v>0</v>
      </c>
      <c r="M52" s="1001">
        <f t="shared" si="11"/>
        <v>-4.7999999999999996E-3</v>
      </c>
      <c r="N52" s="1001">
        <f t="shared" si="11"/>
        <v>-9.5999999999999992E-3</v>
      </c>
      <c r="AA52" s="1057"/>
      <c r="AB52" s="1057"/>
      <c r="AC52" s="1057"/>
      <c r="AD52" s="1057"/>
      <c r="AE52" s="1057"/>
      <c r="AF52" s="1057"/>
      <c r="AG52" s="1057"/>
      <c r="AH52" s="1057"/>
      <c r="AI52" s="1057"/>
      <c r="AJ52" s="1057"/>
      <c r="AK52" s="1057"/>
    </row>
    <row r="53" spans="1:37" s="1056" customFormat="1" ht="36.75">
      <c r="A53" s="1970" t="s">
        <v>2054</v>
      </c>
      <c r="B53" s="1974" t="s">
        <v>2055</v>
      </c>
      <c r="C53" s="1887" t="s">
        <v>3436</v>
      </c>
      <c r="D53" s="1002">
        <f t="shared" si="7"/>
        <v>2E-3</v>
      </c>
      <c r="E53" s="703"/>
      <c r="F53" s="1675"/>
      <c r="G53" s="1000">
        <f t="shared" si="12"/>
        <v>2E-3</v>
      </c>
      <c r="H53" s="1003">
        <f t="shared" si="8"/>
        <v>2E-3</v>
      </c>
      <c r="I53" s="3068">
        <v>0.05</v>
      </c>
      <c r="J53" s="1001">
        <f t="shared" si="9"/>
        <v>4.0000000000000001E-3</v>
      </c>
      <c r="K53" s="1001">
        <f t="shared" si="10"/>
        <v>2E-3</v>
      </c>
      <c r="L53" s="1001">
        <v>0</v>
      </c>
      <c r="M53" s="1001">
        <f t="shared" si="11"/>
        <v>-2E-3</v>
      </c>
      <c r="N53" s="1001">
        <f t="shared" si="11"/>
        <v>-4.0000000000000001E-3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3437</v>
      </c>
      <c r="D54" s="1002">
        <f t="shared" si="7"/>
        <v>0</v>
      </c>
      <c r="E54" s="703"/>
      <c r="F54" s="1675"/>
      <c r="G54" s="1000">
        <f t="shared" si="12"/>
        <v>3.2000000000000002E-3</v>
      </c>
      <c r="H54" s="1003">
        <f t="shared" si="8"/>
        <v>3.2000000000000002E-3</v>
      </c>
      <c r="I54" s="3068">
        <v>0.08</v>
      </c>
      <c r="J54" s="1001">
        <f t="shared" si="9"/>
        <v>6.4000000000000003E-3</v>
      </c>
      <c r="K54" s="1001">
        <f t="shared" si="10"/>
        <v>3.2000000000000002E-3</v>
      </c>
      <c r="L54" s="1001">
        <v>0</v>
      </c>
      <c r="M54" s="1001">
        <f t="shared" si="11"/>
        <v>-3.2000000000000002E-3</v>
      </c>
      <c r="N54" s="1001">
        <f t="shared" si="11"/>
        <v>-6.4000000000000003E-3</v>
      </c>
      <c r="AA54" s="1057"/>
      <c r="AB54" s="1057"/>
      <c r="AC54" s="1057"/>
      <c r="AD54" s="1057"/>
      <c r="AE54" s="1057"/>
      <c r="AF54" s="1057"/>
      <c r="AG54" s="1057"/>
      <c r="AH54" s="1057"/>
      <c r="AI54" s="1057"/>
      <c r="AJ54" s="1057"/>
      <c r="AK54" s="1057"/>
    </row>
    <row r="55" spans="1:37" s="1056" customFormat="1" ht="24">
      <c r="A55" s="1970" t="s">
        <v>2057</v>
      </c>
      <c r="B55" s="1975" t="s">
        <v>2058</v>
      </c>
      <c r="C55" s="1887" t="s">
        <v>3436</v>
      </c>
      <c r="D55" s="1002">
        <f t="shared" si="7"/>
        <v>2E-3</v>
      </c>
      <c r="E55" s="703"/>
      <c r="F55" s="1675"/>
      <c r="G55" s="1000">
        <f t="shared" si="12"/>
        <v>2E-3</v>
      </c>
      <c r="H55" s="1003">
        <f t="shared" si="8"/>
        <v>2E-3</v>
      </c>
      <c r="I55" s="3068">
        <v>0.05</v>
      </c>
      <c r="J55" s="1001">
        <f t="shared" si="9"/>
        <v>4.0000000000000001E-3</v>
      </c>
      <c r="K55" s="1001">
        <f t="shared" si="10"/>
        <v>2E-3</v>
      </c>
      <c r="L55" s="1001">
        <v>0</v>
      </c>
      <c r="M55" s="1001">
        <f t="shared" si="11"/>
        <v>-2E-3</v>
      </c>
      <c r="N55" s="1001">
        <f t="shared" si="11"/>
        <v>-4.0000000000000001E-3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3436</v>
      </c>
      <c r="D56" s="1002">
        <f t="shared" si="7"/>
        <v>2E-3</v>
      </c>
      <c r="E56" s="703"/>
      <c r="F56" s="1675"/>
      <c r="G56" s="1000">
        <f t="shared" si="12"/>
        <v>2E-3</v>
      </c>
      <c r="H56" s="1003">
        <f t="shared" si="8"/>
        <v>2E-3</v>
      </c>
      <c r="I56" s="3068">
        <v>0.05</v>
      </c>
      <c r="J56" s="1001">
        <f t="shared" si="9"/>
        <v>4.0000000000000001E-3</v>
      </c>
      <c r="K56" s="1001">
        <f t="shared" si="10"/>
        <v>2E-3</v>
      </c>
      <c r="L56" s="1001">
        <v>0</v>
      </c>
      <c r="M56" s="1001">
        <f t="shared" si="11"/>
        <v>-2E-3</v>
      </c>
      <c r="N56" s="1001">
        <f t="shared" si="11"/>
        <v>-4.0000000000000001E-3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3438</v>
      </c>
      <c r="D57" s="1002">
        <f t="shared" si="7"/>
        <v>6.4000000000000003E-3</v>
      </c>
      <c r="E57" s="703"/>
      <c r="F57" s="1675"/>
      <c r="G57" s="1000">
        <f t="shared" si="12"/>
        <v>3.2000000000000002E-3</v>
      </c>
      <c r="H57" s="1003">
        <f t="shared" si="8"/>
        <v>3.2000000000000002E-3</v>
      </c>
      <c r="I57" s="3068">
        <v>0.08</v>
      </c>
      <c r="J57" s="1001">
        <f t="shared" si="9"/>
        <v>6.4000000000000003E-3</v>
      </c>
      <c r="K57" s="1001">
        <f t="shared" si="10"/>
        <v>3.2000000000000002E-3</v>
      </c>
      <c r="L57" s="1001">
        <v>0</v>
      </c>
      <c r="M57" s="1001">
        <f t="shared" si="11"/>
        <v>-3.2000000000000002E-3</v>
      </c>
      <c r="N57" s="1001">
        <f t="shared" si="11"/>
        <v>-6.4000000000000003E-3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3436</v>
      </c>
      <c r="D58" s="1002">
        <f t="shared" si="7"/>
        <v>2E-3</v>
      </c>
      <c r="E58" s="704"/>
      <c r="F58" s="1675"/>
      <c r="G58" s="1000">
        <f t="shared" si="12"/>
        <v>2E-3</v>
      </c>
      <c r="H58" s="1003">
        <f t="shared" si="8"/>
        <v>2E-3</v>
      </c>
      <c r="I58" s="3069">
        <v>0.05</v>
      </c>
      <c r="J58" s="1001">
        <f t="shared" si="9"/>
        <v>4.0000000000000001E-3</v>
      </c>
      <c r="K58" s="1001">
        <f t="shared" si="10"/>
        <v>2E-3</v>
      </c>
      <c r="L58" s="1001">
        <v>0</v>
      </c>
      <c r="M58" s="1001">
        <f t="shared" si="11"/>
        <v>-2E-3</v>
      </c>
      <c r="N58" s="1001">
        <f t="shared" si="11"/>
        <v>-4.0000000000000001E-3</v>
      </c>
      <c r="AA58" s="1057"/>
      <c r="AB58" s="1057"/>
      <c r="AC58" s="1057"/>
      <c r="AD58" s="1057"/>
      <c r="AE58" s="1057"/>
      <c r="AF58" s="1057"/>
      <c r="AG58" s="1057"/>
      <c r="AH58" s="1057"/>
      <c r="AI58" s="1057"/>
      <c r="AJ58" s="1057"/>
      <c r="AK58" s="1057"/>
    </row>
    <row r="59" spans="1:37" s="1056" customFormat="1" ht="15">
      <c r="A59" s="1967" t="s">
        <v>2062</v>
      </c>
      <c r="B59" s="1968" t="e">
        <f>1+E61</f>
        <v>#VALUE!</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3436</v>
      </c>
      <c r="D61" s="1002" t="e">
        <f t="shared" ref="D61:D69" si="13">SUMIF($J$60:$N$60,C61,J61:N61)</f>
        <v>#VALUE!</v>
      </c>
      <c r="E61" s="702" t="e">
        <f>ROUND(SUM(D61:D69),4)</f>
        <v>#VALUE!</v>
      </c>
      <c r="F61" s="1675" t="str">
        <f>IF(E2="办公",SUMIF(L1:L12,G2,N1:N12),"——")</f>
        <v>——</v>
      </c>
      <c r="G61" s="1000" t="str">
        <f>H61</f>
        <v>——</v>
      </c>
      <c r="H61" s="1003" t="str">
        <f t="shared" ref="H61:H69" si="14">IFERROR(ROUNDDOWN($F$61*I61/2,4),"——")</f>
        <v>——</v>
      </c>
      <c r="I61" s="3068">
        <v>0.25</v>
      </c>
      <c r="J61" s="1001" t="e">
        <f t="shared" ref="J61:J69" si="15">K61+$G61</f>
        <v>#VALUE!</v>
      </c>
      <c r="K61" s="1001" t="e">
        <f t="shared" ref="K61:K69" si="16">$L61+$G61</f>
        <v>#VALUE!</v>
      </c>
      <c r="L61" s="1001">
        <v>0</v>
      </c>
      <c r="M61" s="1001" t="e">
        <f t="shared" ref="M61:N69" si="17">L61-$G61</f>
        <v>#VALUE!</v>
      </c>
      <c r="N61" s="1001" t="e">
        <f t="shared" si="17"/>
        <v>#VALUE!</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3436</v>
      </c>
      <c r="D62" s="1002" t="e">
        <f t="shared" si="13"/>
        <v>#VALUE!</v>
      </c>
      <c r="E62" s="703"/>
      <c r="F62" s="1675"/>
      <c r="G62" s="1000" t="str">
        <f t="shared" ref="G62:G69" si="18">H62</f>
        <v>——</v>
      </c>
      <c r="H62" s="1003" t="str">
        <f t="shared" si="14"/>
        <v>——</v>
      </c>
      <c r="I62" s="3068">
        <v>0.26</v>
      </c>
      <c r="J62" s="1001" t="e">
        <f t="shared" si="15"/>
        <v>#VALUE!</v>
      </c>
      <c r="K62" s="1001" t="e">
        <f t="shared" si="16"/>
        <v>#VALUE!</v>
      </c>
      <c r="L62" s="1001">
        <v>0</v>
      </c>
      <c r="M62" s="1001" t="e">
        <f t="shared" si="17"/>
        <v>#VALUE!</v>
      </c>
      <c r="N62" s="1001" t="e">
        <f t="shared" si="17"/>
        <v>#VALUE!</v>
      </c>
      <c r="AA62" s="1057"/>
      <c r="AB62" s="1057"/>
      <c r="AC62" s="1057"/>
      <c r="AD62" s="1057"/>
      <c r="AE62" s="1057"/>
      <c r="AF62" s="1057"/>
      <c r="AG62" s="1057"/>
      <c r="AH62" s="1057"/>
      <c r="AI62" s="1057"/>
      <c r="AJ62" s="1057"/>
      <c r="AK62" s="1057"/>
    </row>
    <row r="63" spans="1:37" s="1056" customFormat="1" ht="36">
      <c r="A63" s="3070" t="s">
        <v>3260</v>
      </c>
      <c r="B63" s="1262">
        <f>估价对象房地状况!C19</f>
        <v>0</v>
      </c>
      <c r="C63" s="1887" t="s">
        <v>3436</v>
      </c>
      <c r="D63" s="1002" t="e">
        <f t="shared" si="13"/>
        <v>#VALUE!</v>
      </c>
      <c r="E63" s="703"/>
      <c r="F63" s="1675"/>
      <c r="G63" s="1000" t="str">
        <f t="shared" si="18"/>
        <v>——</v>
      </c>
      <c r="H63" s="1003" t="str">
        <f t="shared" si="14"/>
        <v>——</v>
      </c>
      <c r="I63" s="3068">
        <v>0.11</v>
      </c>
      <c r="J63" s="1001" t="e">
        <f t="shared" si="15"/>
        <v>#VALUE!</v>
      </c>
      <c r="K63" s="1001" t="e">
        <f t="shared" si="16"/>
        <v>#VALUE!</v>
      </c>
      <c r="L63" s="1001">
        <v>0</v>
      </c>
      <c r="M63" s="1001" t="e">
        <f t="shared" si="17"/>
        <v>#VALUE!</v>
      </c>
      <c r="N63" s="1001" t="e">
        <f t="shared" si="17"/>
        <v>#VALUE!</v>
      </c>
      <c r="AA63" s="1057"/>
      <c r="AB63" s="1057"/>
      <c r="AC63" s="1057"/>
      <c r="AD63" s="1057"/>
      <c r="AE63" s="1057"/>
      <c r="AF63" s="1057"/>
      <c r="AG63" s="1057"/>
      <c r="AH63" s="1057"/>
      <c r="AI63" s="1057"/>
      <c r="AJ63" s="1057"/>
      <c r="AK63" s="1057"/>
    </row>
    <row r="64" spans="1:37" s="1056" customFormat="1" ht="36.75">
      <c r="A64" s="1970" t="s">
        <v>2054</v>
      </c>
      <c r="B64" s="1974" t="s">
        <v>2055</v>
      </c>
      <c r="C64" s="1887" t="s">
        <v>3436</v>
      </c>
      <c r="D64" s="1002" t="e">
        <f t="shared" si="13"/>
        <v>#VALUE!</v>
      </c>
      <c r="E64" s="703"/>
      <c r="F64" s="1675"/>
      <c r="G64" s="1000" t="str">
        <f t="shared" si="18"/>
        <v>——</v>
      </c>
      <c r="H64" s="1003" t="str">
        <f t="shared" si="14"/>
        <v>——</v>
      </c>
      <c r="I64" s="3068">
        <v>0.05</v>
      </c>
      <c r="J64" s="1001" t="e">
        <f t="shared" si="15"/>
        <v>#VALUE!</v>
      </c>
      <c r="K64" s="1001" t="e">
        <f t="shared" si="16"/>
        <v>#VALUE!</v>
      </c>
      <c r="L64" s="1001">
        <v>0</v>
      </c>
      <c r="M64" s="1001" t="e">
        <f t="shared" si="17"/>
        <v>#VALUE!</v>
      </c>
      <c r="N64" s="1001" t="e">
        <f t="shared" si="17"/>
        <v>#VALUE!</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3437</v>
      </c>
      <c r="D65" s="1002">
        <f t="shared" si="13"/>
        <v>0</v>
      </c>
      <c r="E65" s="703"/>
      <c r="F65" s="1675"/>
      <c r="G65" s="1000" t="str">
        <f t="shared" si="18"/>
        <v>——</v>
      </c>
      <c r="H65" s="1003" t="str">
        <f t="shared" si="14"/>
        <v>——</v>
      </c>
      <c r="I65" s="3068">
        <v>0.05</v>
      </c>
      <c r="J65" s="1001" t="e">
        <f t="shared" si="15"/>
        <v>#VALUE!</v>
      </c>
      <c r="K65" s="1001" t="e">
        <f t="shared" si="16"/>
        <v>#VALUE!</v>
      </c>
      <c r="L65" s="1001">
        <v>0</v>
      </c>
      <c r="M65" s="1001" t="e">
        <f t="shared" si="17"/>
        <v>#VALUE!</v>
      </c>
      <c r="N65" s="1001" t="e">
        <f t="shared" si="17"/>
        <v>#VALUE!</v>
      </c>
      <c r="AA65" s="1057"/>
      <c r="AB65" s="1057"/>
      <c r="AC65" s="1057"/>
      <c r="AD65" s="1057"/>
      <c r="AE65" s="1057"/>
      <c r="AF65" s="1057"/>
      <c r="AG65" s="1057"/>
      <c r="AH65" s="1057"/>
      <c r="AI65" s="1057"/>
      <c r="AJ65" s="1057"/>
      <c r="AK65" s="1057"/>
    </row>
    <row r="66" spans="1:37" s="1056" customFormat="1" ht="24">
      <c r="A66" s="1970" t="s">
        <v>2057</v>
      </c>
      <c r="B66" s="1975" t="s">
        <v>2058</v>
      </c>
      <c r="C66" s="1887" t="s">
        <v>3436</v>
      </c>
      <c r="D66" s="1002" t="e">
        <f t="shared" si="13"/>
        <v>#VALUE!</v>
      </c>
      <c r="E66" s="703"/>
      <c r="F66" s="1675"/>
      <c r="G66" s="1000" t="str">
        <f t="shared" si="18"/>
        <v>——</v>
      </c>
      <c r="H66" s="1003" t="str">
        <f t="shared" si="14"/>
        <v>——</v>
      </c>
      <c r="I66" s="3068">
        <v>0.06</v>
      </c>
      <c r="J66" s="1001" t="e">
        <f t="shared" si="15"/>
        <v>#VALUE!</v>
      </c>
      <c r="K66" s="1001" t="e">
        <f t="shared" si="16"/>
        <v>#VALUE!</v>
      </c>
      <c r="L66" s="1001">
        <v>0</v>
      </c>
      <c r="M66" s="1001" t="e">
        <f t="shared" si="17"/>
        <v>#VALUE!</v>
      </c>
      <c r="N66" s="1001" t="e">
        <f t="shared" si="17"/>
        <v>#VALUE!</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3436</v>
      </c>
      <c r="D67" s="1002" t="e">
        <f t="shared" si="13"/>
        <v>#VALUE!</v>
      </c>
      <c r="E67" s="703"/>
      <c r="F67" s="1675"/>
      <c r="G67" s="1000" t="str">
        <f t="shared" si="18"/>
        <v>——</v>
      </c>
      <c r="H67" s="1003" t="str">
        <f t="shared" si="14"/>
        <v>——</v>
      </c>
      <c r="I67" s="3068">
        <v>0.06</v>
      </c>
      <c r="J67" s="1001" t="e">
        <f t="shared" si="15"/>
        <v>#VALUE!</v>
      </c>
      <c r="K67" s="1001" t="e">
        <f t="shared" si="16"/>
        <v>#VALUE!</v>
      </c>
      <c r="L67" s="1001">
        <v>0</v>
      </c>
      <c r="M67" s="1001" t="e">
        <f t="shared" si="17"/>
        <v>#VALUE!</v>
      </c>
      <c r="N67" s="1001" t="e">
        <f t="shared" si="17"/>
        <v>#VALUE!</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3438</v>
      </c>
      <c r="D68" s="1002" t="e">
        <f t="shared" si="13"/>
        <v>#VALUE!</v>
      </c>
      <c r="E68" s="703"/>
      <c r="F68" s="1675"/>
      <c r="G68" s="1000" t="str">
        <f t="shared" si="18"/>
        <v>——</v>
      </c>
      <c r="H68" s="1003" t="str">
        <f t="shared" si="14"/>
        <v>——</v>
      </c>
      <c r="I68" s="3068">
        <v>0.09</v>
      </c>
      <c r="J68" s="1001" t="e">
        <f t="shared" si="15"/>
        <v>#VALUE!</v>
      </c>
      <c r="K68" s="1001" t="e">
        <f t="shared" si="16"/>
        <v>#VALUE!</v>
      </c>
      <c r="L68" s="1001">
        <v>0</v>
      </c>
      <c r="M68" s="1001" t="e">
        <f t="shared" si="17"/>
        <v>#VALUE!</v>
      </c>
      <c r="N68" s="1001" t="e">
        <f t="shared" si="17"/>
        <v>#VALUE!</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3436</v>
      </c>
      <c r="D69" s="1002" t="e">
        <f t="shared" si="13"/>
        <v>#VALUE!</v>
      </c>
      <c r="E69" s="704"/>
      <c r="F69" s="1675"/>
      <c r="G69" s="1000" t="str">
        <f t="shared" si="18"/>
        <v>——</v>
      </c>
      <c r="H69" s="1003" t="str">
        <f t="shared" si="14"/>
        <v>——</v>
      </c>
      <c r="I69" s="3069">
        <v>7.0000000000000007E-2</v>
      </c>
      <c r="J69" s="1001" t="e">
        <f t="shared" si="15"/>
        <v>#VALUE!</v>
      </c>
      <c r="K69" s="1001" t="e">
        <f t="shared" si="16"/>
        <v>#VALUE!</v>
      </c>
      <c r="L69" s="1001">
        <v>0</v>
      </c>
      <c r="M69" s="1001" t="e">
        <f t="shared" si="17"/>
        <v>#VALUE!</v>
      </c>
      <c r="N69" s="1001" t="e">
        <f t="shared" si="17"/>
        <v>#VALUE!</v>
      </c>
      <c r="AA69" s="1057"/>
      <c r="AB69" s="1057"/>
      <c r="AC69" s="1057"/>
      <c r="AD69" s="1057"/>
      <c r="AE69" s="1057"/>
      <c r="AF69" s="1057"/>
      <c r="AG69" s="1057"/>
      <c r="AH69" s="1057"/>
      <c r="AI69" s="1057"/>
      <c r="AJ69" s="1057"/>
      <c r="AK69" s="1057"/>
    </row>
    <row r="70" spans="1:37" s="1056" customFormat="1" ht="15">
      <c r="A70" s="1967" t="s">
        <v>2065</v>
      </c>
      <c r="B70" s="1968" t="e">
        <f>1+E72</f>
        <v>#VALUE!</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t="s">
        <v>3436</v>
      </c>
      <c r="D72" s="1002" t="e">
        <f t="shared" ref="D72:D80" si="19">SUMIF($J$71:$N$71,C72,J72:N72)</f>
        <v>#VALUE!</v>
      </c>
      <c r="E72" s="702" t="e">
        <f>ROUND(SUM(D72:D80),4)</f>
        <v>#VALUE!</v>
      </c>
      <c r="F72" s="1675" t="str">
        <f>IF(E2="住宅",SUMIF(L1:L12,G2,N1:N12),"——")</f>
        <v>——</v>
      </c>
      <c r="G72" s="1000" t="str">
        <f>H72</f>
        <v>——</v>
      </c>
      <c r="H72" s="1003" t="str">
        <f t="shared" ref="H72:H80" si="20">IFERROR(ROUNDDOWN($F$72*I72/2,4),"——")</f>
        <v>——</v>
      </c>
      <c r="I72" s="3068">
        <v>0.2</v>
      </c>
      <c r="J72" s="1001" t="e">
        <f t="shared" ref="J72:J80" si="21">K72+$G72</f>
        <v>#VALUE!</v>
      </c>
      <c r="K72" s="1001" t="e">
        <f t="shared" ref="K72:K80" si="22">$L72+$G72</f>
        <v>#VALUE!</v>
      </c>
      <c r="L72" s="1001">
        <v>0</v>
      </c>
      <c r="M72" s="1001" t="e">
        <f t="shared" ref="M72:N80" si="23">L72-$G72</f>
        <v>#VALUE!</v>
      </c>
      <c r="N72" s="1001" t="e">
        <f t="shared" si="23"/>
        <v>#VALUE!</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t="s">
        <v>3436</v>
      </c>
      <c r="D73" s="1002" t="e">
        <f t="shared" si="19"/>
        <v>#VALUE!</v>
      </c>
      <c r="E73" s="705"/>
      <c r="F73" s="1675"/>
      <c r="G73" s="1000" t="str">
        <f t="shared" ref="G73:G80" si="24">H73</f>
        <v>——</v>
      </c>
      <c r="H73" s="1003" t="str">
        <f t="shared" si="20"/>
        <v>——</v>
      </c>
      <c r="I73" s="3068">
        <v>0.26</v>
      </c>
      <c r="J73" s="1001" t="e">
        <f t="shared" si="21"/>
        <v>#VALUE!</v>
      </c>
      <c r="K73" s="1001" t="e">
        <f t="shared" si="22"/>
        <v>#VALUE!</v>
      </c>
      <c r="L73" s="1001">
        <v>0</v>
      </c>
      <c r="M73" s="1001" t="e">
        <f t="shared" si="23"/>
        <v>#VALUE!</v>
      </c>
      <c r="N73" s="1001" t="e">
        <f t="shared" si="23"/>
        <v>#VALUE!</v>
      </c>
      <c r="AA73" s="1057"/>
      <c r="AB73" s="1057"/>
      <c r="AC73" s="1057"/>
      <c r="AD73" s="1057"/>
      <c r="AE73" s="1057"/>
      <c r="AF73" s="1057"/>
      <c r="AG73" s="1057"/>
      <c r="AH73" s="1057"/>
      <c r="AI73" s="1057"/>
      <c r="AJ73" s="1057"/>
      <c r="AK73" s="1057"/>
    </row>
    <row r="74" spans="1:37" s="1844" customFormat="1" ht="36">
      <c r="A74" s="3070" t="s">
        <v>3260</v>
      </c>
      <c r="B74" s="1262">
        <f>估价对象房地状况!C19</f>
        <v>0</v>
      </c>
      <c r="C74" s="1887" t="s">
        <v>3436</v>
      </c>
      <c r="D74" s="1002" t="e">
        <f t="shared" si="19"/>
        <v>#VALUE!</v>
      </c>
      <c r="E74" s="705"/>
      <c r="F74" s="1675"/>
      <c r="G74" s="1000" t="str">
        <f t="shared" si="24"/>
        <v>——</v>
      </c>
      <c r="H74" s="1003" t="str">
        <f t="shared" si="20"/>
        <v>——</v>
      </c>
      <c r="I74" s="3068">
        <v>0.1</v>
      </c>
      <c r="J74" s="1001" t="e">
        <f t="shared" si="21"/>
        <v>#VALUE!</v>
      </c>
      <c r="K74" s="1001" t="e">
        <f t="shared" si="22"/>
        <v>#VALUE!</v>
      </c>
      <c r="L74" s="1001">
        <v>0</v>
      </c>
      <c r="M74" s="1001" t="e">
        <f t="shared" si="23"/>
        <v>#VALUE!</v>
      </c>
      <c r="N74" s="1001" t="e">
        <f t="shared" si="23"/>
        <v>#VALUE!</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3437</v>
      </c>
      <c r="D75" s="1002">
        <f t="shared" si="19"/>
        <v>0</v>
      </c>
      <c r="E75" s="705"/>
      <c r="F75" s="1675"/>
      <c r="G75" s="1000" t="str">
        <f t="shared" si="24"/>
        <v>——</v>
      </c>
      <c r="H75" s="1003" t="str">
        <f t="shared" si="20"/>
        <v>——</v>
      </c>
      <c r="I75" s="3068">
        <v>0.05</v>
      </c>
      <c r="J75" s="1001" t="e">
        <f t="shared" si="21"/>
        <v>#VALUE!</v>
      </c>
      <c r="K75" s="1001" t="e">
        <f t="shared" si="22"/>
        <v>#VALUE!</v>
      </c>
      <c r="L75" s="1001">
        <v>0</v>
      </c>
      <c r="M75" s="1001" t="e">
        <f t="shared" si="23"/>
        <v>#VALUE!</v>
      </c>
      <c r="N75" s="1001" t="e">
        <f t="shared" si="23"/>
        <v>#VALUE!</v>
      </c>
      <c r="O75" s="1056"/>
      <c r="P75" s="1056"/>
      <c r="Q75" s="1844"/>
      <c r="Z75" s="1845"/>
      <c r="AA75" s="1895"/>
      <c r="AG75" s="1058"/>
      <c r="AK75" s="1895"/>
    </row>
    <row r="76" spans="1:37" ht="24">
      <c r="A76" s="1970" t="s">
        <v>2059</v>
      </c>
      <c r="B76" s="1240">
        <f>估价对象房地状况!C21</f>
        <v>0</v>
      </c>
      <c r="C76" s="1887" t="s">
        <v>3436</v>
      </c>
      <c r="D76" s="1002" t="e">
        <f t="shared" si="19"/>
        <v>#VALUE!</v>
      </c>
      <c r="E76" s="705"/>
      <c r="F76" s="1675"/>
      <c r="G76" s="1000" t="str">
        <f t="shared" si="24"/>
        <v>——</v>
      </c>
      <c r="H76" s="1003" t="str">
        <f t="shared" si="20"/>
        <v>——</v>
      </c>
      <c r="I76" s="3068">
        <v>0.08</v>
      </c>
      <c r="J76" s="1001" t="e">
        <f t="shared" si="21"/>
        <v>#VALUE!</v>
      </c>
      <c r="K76" s="1001" t="e">
        <f t="shared" si="22"/>
        <v>#VALUE!</v>
      </c>
      <c r="L76" s="1001">
        <v>0</v>
      </c>
      <c r="M76" s="1001" t="e">
        <f t="shared" si="23"/>
        <v>#VALUE!</v>
      </c>
      <c r="N76" s="1001" t="e">
        <f t="shared" si="23"/>
        <v>#VALUE!</v>
      </c>
      <c r="O76" s="1056"/>
      <c r="P76" s="1056"/>
      <c r="Z76" s="1845"/>
      <c r="AA76" s="1895"/>
      <c r="AG76" s="1058"/>
      <c r="AK76" s="1895"/>
    </row>
    <row r="77" spans="1:37" ht="24">
      <c r="A77" s="1970" t="s">
        <v>2060</v>
      </c>
      <c r="B77" s="1240">
        <f>估价对象房地状况!C22</f>
        <v>0</v>
      </c>
      <c r="C77" s="1887" t="s">
        <v>3438</v>
      </c>
      <c r="D77" s="1002" t="e">
        <f t="shared" si="19"/>
        <v>#VALUE!</v>
      </c>
      <c r="E77" s="705"/>
      <c r="F77" s="1675"/>
      <c r="G77" s="1000" t="str">
        <f t="shared" si="24"/>
        <v>——</v>
      </c>
      <c r="H77" s="1003" t="str">
        <f t="shared" si="20"/>
        <v>——</v>
      </c>
      <c r="I77" s="3068">
        <v>0.09</v>
      </c>
      <c r="J77" s="1001" t="e">
        <f t="shared" si="21"/>
        <v>#VALUE!</v>
      </c>
      <c r="K77" s="1001" t="e">
        <f t="shared" si="22"/>
        <v>#VALUE!</v>
      </c>
      <c r="L77" s="1001">
        <v>0</v>
      </c>
      <c r="M77" s="1001" t="e">
        <f t="shared" si="23"/>
        <v>#VALUE!</v>
      </c>
      <c r="N77" s="1001" t="e">
        <f t="shared" si="23"/>
        <v>#VALUE!</v>
      </c>
      <c r="O77" s="1056"/>
      <c r="P77" s="1056"/>
      <c r="Z77" s="1845"/>
      <c r="AA77" s="1895"/>
      <c r="AG77" s="1058"/>
      <c r="AK77" s="1895"/>
    </row>
    <row r="78" spans="1:37" ht="24">
      <c r="A78" s="1970" t="s">
        <v>2057</v>
      </c>
      <c r="B78" s="1975" t="s">
        <v>2058</v>
      </c>
      <c r="C78" s="1887" t="s">
        <v>3436</v>
      </c>
      <c r="D78" s="1002" t="e">
        <f t="shared" si="19"/>
        <v>#VALUE!</v>
      </c>
      <c r="E78" s="705"/>
      <c r="F78" s="1675"/>
      <c r="G78" s="1000" t="str">
        <f t="shared" si="24"/>
        <v>——</v>
      </c>
      <c r="H78" s="1003" t="str">
        <f t="shared" si="20"/>
        <v>——</v>
      </c>
      <c r="I78" s="3068">
        <v>0.05</v>
      </c>
      <c r="J78" s="1001" t="e">
        <f t="shared" si="21"/>
        <v>#VALUE!</v>
      </c>
      <c r="K78" s="1001" t="e">
        <f t="shared" si="22"/>
        <v>#VALUE!</v>
      </c>
      <c r="L78" s="1001">
        <v>0</v>
      </c>
      <c r="M78" s="1001" t="e">
        <f t="shared" si="23"/>
        <v>#VALUE!</v>
      </c>
      <c r="N78" s="1001" t="e">
        <f t="shared" si="23"/>
        <v>#VALUE!</v>
      </c>
      <c r="O78" s="1844"/>
      <c r="P78" s="1844"/>
      <c r="Z78" s="1845"/>
      <c r="AA78" s="1895"/>
      <c r="AG78" s="1058"/>
      <c r="AK78" s="1895"/>
    </row>
    <row r="79" spans="1:37" ht="24">
      <c r="A79" s="1970" t="s">
        <v>2061</v>
      </c>
      <c r="B79" s="1973">
        <f>估价对象房地状况!C20</f>
        <v>0</v>
      </c>
      <c r="C79" s="1887" t="s">
        <v>3436</v>
      </c>
      <c r="D79" s="1002" t="e">
        <f t="shared" si="19"/>
        <v>#VALUE!</v>
      </c>
      <c r="E79" s="705"/>
      <c r="F79" s="1675"/>
      <c r="G79" s="1000" t="str">
        <f t="shared" si="24"/>
        <v>——</v>
      </c>
      <c r="H79" s="1003" t="str">
        <f t="shared" si="20"/>
        <v>——</v>
      </c>
      <c r="I79" s="3068">
        <v>0.12</v>
      </c>
      <c r="J79" s="1001" t="e">
        <f t="shared" si="21"/>
        <v>#VALUE!</v>
      </c>
      <c r="K79" s="1001" t="e">
        <f t="shared" si="22"/>
        <v>#VALUE!</v>
      </c>
      <c r="L79" s="1001">
        <v>0</v>
      </c>
      <c r="M79" s="1001" t="e">
        <f t="shared" si="23"/>
        <v>#VALUE!</v>
      </c>
      <c r="N79" s="1001" t="e">
        <f t="shared" si="23"/>
        <v>#VALUE!</v>
      </c>
      <c r="Z79" s="1845"/>
      <c r="AA79" s="1895"/>
      <c r="AG79" s="1058"/>
      <c r="AK79" s="1895"/>
    </row>
    <row r="80" spans="1:37" ht="24.75" thickBot="1">
      <c r="A80" s="1977" t="s">
        <v>2068</v>
      </c>
      <c r="B80" s="1981"/>
      <c r="C80" s="1887" t="s">
        <v>3436</v>
      </c>
      <c r="D80" s="1002" t="e">
        <f t="shared" si="19"/>
        <v>#VALUE!</v>
      </c>
      <c r="E80" s="706"/>
      <c r="F80" s="1675"/>
      <c r="G80" s="1000" t="str">
        <f t="shared" si="24"/>
        <v>——</v>
      </c>
      <c r="H80" s="1003" t="str">
        <f t="shared" si="20"/>
        <v>——</v>
      </c>
      <c r="I80" s="3069">
        <v>0.05</v>
      </c>
      <c r="J80" s="1001" t="e">
        <f t="shared" si="21"/>
        <v>#VALUE!</v>
      </c>
      <c r="K80" s="1001" t="e">
        <f t="shared" si="22"/>
        <v>#VALUE!</v>
      </c>
      <c r="L80" s="1001">
        <v>0</v>
      </c>
      <c r="M80" s="1001" t="e">
        <f t="shared" si="23"/>
        <v>#VALUE!</v>
      </c>
      <c r="N80" s="1001" t="e">
        <f t="shared" si="23"/>
        <v>#VALUE!</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5">SUMIF($J$82:$N$82,C83,J83:N83)</f>
        <v>0</v>
      </c>
      <c r="E83" s="702">
        <f>ROUND(SUM(D83:D90),4)</f>
        <v>0</v>
      </c>
      <c r="F83" s="1675" t="str">
        <f>IF(E2="工业",SUMIF(L1:L12,G2,N1:N12),"——")</f>
        <v>——</v>
      </c>
      <c r="G83" s="1000"/>
      <c r="H83" s="1003" t="str">
        <f t="shared" ref="H83:H90" si="26">IFERROR(ROUNDDOWN($F$83*I83/2,4),"——")</f>
        <v>——</v>
      </c>
      <c r="I83" s="3068">
        <v>0.26</v>
      </c>
      <c r="J83" s="1001">
        <f t="shared" ref="J83:J90" si="27">K83+$G83</f>
        <v>0</v>
      </c>
      <c r="K83" s="1001">
        <f t="shared" ref="K83:K90" si="28">$L83+$G83</f>
        <v>0</v>
      </c>
      <c r="L83" s="1001">
        <v>0</v>
      </c>
      <c r="M83" s="1001">
        <f t="shared" ref="M83:N90" si="29">L83-$G83</f>
        <v>0</v>
      </c>
      <c r="N83" s="1001">
        <f t="shared" si="29"/>
        <v>0</v>
      </c>
      <c r="Z83" s="1845"/>
      <c r="AA83" s="1895"/>
      <c r="AG83" s="1058"/>
      <c r="AK83" s="1895"/>
    </row>
    <row r="84" spans="1:37" ht="14.25">
      <c r="A84" s="1970" t="s">
        <v>2053</v>
      </c>
      <c r="B84" s="1262">
        <f>估价对象房地状况!G16</f>
        <v>0</v>
      </c>
      <c r="C84" s="1887"/>
      <c r="D84" s="1002">
        <f t="shared" si="25"/>
        <v>0</v>
      </c>
      <c r="E84" s="705"/>
      <c r="F84" s="1675"/>
      <c r="G84" s="1000"/>
      <c r="H84" s="1003" t="str">
        <f t="shared" si="26"/>
        <v>——</v>
      </c>
      <c r="I84" s="3068">
        <v>0.3</v>
      </c>
      <c r="J84" s="1001">
        <f t="shared" si="27"/>
        <v>0</v>
      </c>
      <c r="K84" s="1001">
        <f t="shared" si="28"/>
        <v>0</v>
      </c>
      <c r="L84" s="1001">
        <v>0</v>
      </c>
      <c r="M84" s="1001">
        <f t="shared" si="29"/>
        <v>0</v>
      </c>
      <c r="N84" s="1001">
        <f t="shared" si="29"/>
        <v>0</v>
      </c>
      <c r="Z84" s="1845"/>
      <c r="AA84" s="1895"/>
      <c r="AG84" s="1058"/>
      <c r="AK84" s="1895"/>
    </row>
    <row r="85" spans="1:37" ht="36">
      <c r="A85" s="3070" t="s">
        <v>3261</v>
      </c>
      <c r="B85" s="1262">
        <f>估价对象房地状况!G17</f>
        <v>0</v>
      </c>
      <c r="C85" s="1887"/>
      <c r="D85" s="1002">
        <f t="shared" si="25"/>
        <v>0</v>
      </c>
      <c r="E85" s="705"/>
      <c r="F85" s="1675"/>
      <c r="G85" s="1000"/>
      <c r="H85" s="1003" t="str">
        <f t="shared" si="26"/>
        <v>——</v>
      </c>
      <c r="I85" s="3068">
        <v>0.1</v>
      </c>
      <c r="J85" s="1001">
        <f t="shared" si="27"/>
        <v>0</v>
      </c>
      <c r="K85" s="1001">
        <f t="shared" si="28"/>
        <v>0</v>
      </c>
      <c r="L85" s="1001">
        <v>0</v>
      </c>
      <c r="M85" s="1001">
        <f t="shared" si="29"/>
        <v>0</v>
      </c>
      <c r="N85" s="1001">
        <f t="shared" si="29"/>
        <v>0</v>
      </c>
      <c r="Z85" s="1845"/>
      <c r="AA85" s="1895"/>
      <c r="AG85" s="1058"/>
      <c r="AK85" s="1895"/>
    </row>
    <row r="86" spans="1:37" ht="14.25">
      <c r="A86" s="1970" t="s">
        <v>2067</v>
      </c>
      <c r="B86" s="1262">
        <f>估价对象房地状况!G22</f>
        <v>0</v>
      </c>
      <c r="C86" s="1887"/>
      <c r="D86" s="1002">
        <f t="shared" si="25"/>
        <v>0</v>
      </c>
      <c r="E86" s="705"/>
      <c r="F86" s="1675"/>
      <c r="G86" s="1000"/>
      <c r="H86" s="1003" t="str">
        <f t="shared" si="26"/>
        <v>——</v>
      </c>
      <c r="I86" s="3068">
        <v>0.05</v>
      </c>
      <c r="J86" s="1001">
        <f t="shared" si="27"/>
        <v>0</v>
      </c>
      <c r="K86" s="1001">
        <f t="shared" si="28"/>
        <v>0</v>
      </c>
      <c r="L86" s="1001">
        <v>0</v>
      </c>
      <c r="M86" s="1001">
        <f t="shared" si="29"/>
        <v>0</v>
      </c>
      <c r="N86" s="1001">
        <f t="shared" si="29"/>
        <v>0</v>
      </c>
      <c r="Z86" s="1845"/>
      <c r="AA86" s="1895"/>
      <c r="AG86" s="1058"/>
      <c r="AK86" s="1895"/>
    </row>
    <row r="87" spans="1:37" ht="24">
      <c r="A87" s="1970" t="s">
        <v>2059</v>
      </c>
      <c r="B87" s="1240">
        <f>估价对象房地状况!G19</f>
        <v>0</v>
      </c>
      <c r="C87" s="1887"/>
      <c r="D87" s="1002">
        <f t="shared" si="25"/>
        <v>0</v>
      </c>
      <c r="E87" s="705"/>
      <c r="F87" s="1675"/>
      <c r="G87" s="1000"/>
      <c r="H87" s="1003" t="str">
        <f t="shared" si="26"/>
        <v>——</v>
      </c>
      <c r="I87" s="3068">
        <v>0.06</v>
      </c>
      <c r="J87" s="1001">
        <f t="shared" si="27"/>
        <v>0</v>
      </c>
      <c r="K87" s="1001">
        <f t="shared" si="28"/>
        <v>0</v>
      </c>
      <c r="L87" s="1001">
        <v>0</v>
      </c>
      <c r="M87" s="1001">
        <f t="shared" si="29"/>
        <v>0</v>
      </c>
      <c r="N87" s="1001">
        <f t="shared" si="29"/>
        <v>0</v>
      </c>
    </row>
    <row r="88" spans="1:37" ht="24">
      <c r="A88" s="1970" t="s">
        <v>2060</v>
      </c>
      <c r="B88" s="1240">
        <f>估价对象房地状况!G20</f>
        <v>0</v>
      </c>
      <c r="C88" s="1887"/>
      <c r="D88" s="1002">
        <f t="shared" si="25"/>
        <v>0</v>
      </c>
      <c r="E88" s="705"/>
      <c r="F88" s="1675"/>
      <c r="G88" s="1000"/>
      <c r="H88" s="1003" t="str">
        <f t="shared" si="26"/>
        <v>——</v>
      </c>
      <c r="I88" s="3068">
        <v>0.12</v>
      </c>
      <c r="J88" s="1001">
        <f t="shared" si="27"/>
        <v>0</v>
      </c>
      <c r="K88" s="1001">
        <f t="shared" si="28"/>
        <v>0</v>
      </c>
      <c r="L88" s="1001">
        <v>0</v>
      </c>
      <c r="M88" s="1001">
        <f t="shared" si="29"/>
        <v>0</v>
      </c>
      <c r="N88" s="1001">
        <f t="shared" si="29"/>
        <v>0</v>
      </c>
    </row>
    <row r="89" spans="1:37" ht="24">
      <c r="A89" s="1970" t="s">
        <v>2057</v>
      </c>
      <c r="B89" s="1975" t="s">
        <v>2071</v>
      </c>
      <c r="C89" s="1887"/>
      <c r="D89" s="1002">
        <f t="shared" si="25"/>
        <v>0</v>
      </c>
      <c r="E89" s="705"/>
      <c r="F89" s="1675"/>
      <c r="G89" s="1000"/>
      <c r="H89" s="1003" t="str">
        <f t="shared" si="26"/>
        <v>——</v>
      </c>
      <c r="I89" s="3068">
        <v>0.06</v>
      </c>
      <c r="J89" s="1001">
        <f t="shared" si="27"/>
        <v>0</v>
      </c>
      <c r="K89" s="1001">
        <f t="shared" si="28"/>
        <v>0</v>
      </c>
      <c r="L89" s="1001">
        <v>0</v>
      </c>
      <c r="M89" s="1001">
        <f t="shared" si="29"/>
        <v>0</v>
      </c>
      <c r="N89" s="1001">
        <f t="shared" si="29"/>
        <v>0</v>
      </c>
    </row>
    <row r="90" spans="1:37" ht="15" thickBot="1">
      <c r="A90" s="1977" t="s">
        <v>2072</v>
      </c>
      <c r="B90" s="1982">
        <f>估价对象房地状况!G18</f>
        <v>0</v>
      </c>
      <c r="C90" s="1887"/>
      <c r="D90" s="1002">
        <f t="shared" si="25"/>
        <v>0</v>
      </c>
      <c r="E90" s="706"/>
      <c r="F90" s="1675"/>
      <c r="G90" s="1000"/>
      <c r="H90" s="1003" t="str">
        <f t="shared" si="26"/>
        <v>——</v>
      </c>
      <c r="I90" s="3069">
        <v>0.05</v>
      </c>
      <c r="J90" s="1001">
        <f t="shared" si="27"/>
        <v>0</v>
      </c>
      <c r="K90" s="1001">
        <f t="shared" si="28"/>
        <v>0</v>
      </c>
      <c r="L90" s="1001">
        <v>0</v>
      </c>
      <c r="M90" s="1001">
        <f t="shared" si="29"/>
        <v>0</v>
      </c>
      <c r="N90" s="1001">
        <f t="shared" si="29"/>
        <v>0</v>
      </c>
    </row>
    <row r="91" spans="1:37" ht="15">
      <c r="A91" s="3078" t="s">
        <v>2603</v>
      </c>
      <c r="B91" s="3079">
        <f>1+E93</f>
        <v>1</v>
      </c>
      <c r="C91" s="3072"/>
      <c r="D91" s="3073"/>
      <c r="E91" s="1675"/>
      <c r="F91" s="1675"/>
      <c r="G91" s="3074"/>
      <c r="H91" s="3075"/>
      <c r="I91" s="3076"/>
      <c r="J91" s="3077"/>
      <c r="K91" s="3077"/>
      <c r="L91" s="3077"/>
      <c r="M91" s="3077"/>
      <c r="N91" s="3077"/>
    </row>
    <row r="92" spans="1:37" ht="24.75">
      <c r="A92" s="3080" t="s">
        <v>3262</v>
      </c>
      <c r="B92" s="2310"/>
      <c r="C92" s="2310" t="s">
        <v>3271</v>
      </c>
      <c r="D92" s="2310" t="s">
        <v>3272</v>
      </c>
      <c r="E92" s="3052" t="s">
        <v>3273</v>
      </c>
      <c r="F92" s="3082" t="s">
        <v>3274</v>
      </c>
      <c r="G92" s="2310" t="s">
        <v>3275</v>
      </c>
      <c r="H92" s="3089" t="s">
        <v>3278</v>
      </c>
      <c r="I92" s="2310" t="s">
        <v>3279</v>
      </c>
      <c r="J92" s="2150" t="s">
        <v>3280</v>
      </c>
      <c r="K92" s="2150" t="s">
        <v>3281</v>
      </c>
      <c r="L92" s="2150" t="s">
        <v>3282</v>
      </c>
      <c r="M92" s="2150" t="s">
        <v>3283</v>
      </c>
      <c r="N92" s="2150" t="s">
        <v>3284</v>
      </c>
    </row>
    <row r="93" spans="1:37" ht="24">
      <c r="A93" s="3070" t="s">
        <v>3263</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30">K93+$G93</f>
        <v>0</v>
      </c>
      <c r="K93" s="1912">
        <f t="shared" ref="K93:K101" si="31">$L93+$G93</f>
        <v>0</v>
      </c>
      <c r="L93" s="1912">
        <v>0</v>
      </c>
      <c r="M93" s="1912">
        <f t="shared" ref="M93:N101" si="32">L93-$G93</f>
        <v>0</v>
      </c>
      <c r="N93" s="1912">
        <f t="shared" si="32"/>
        <v>0</v>
      </c>
    </row>
    <row r="94" spans="1:37" ht="14.25">
      <c r="A94" s="3080" t="s">
        <v>3264</v>
      </c>
      <c r="B94" s="3071">
        <f>估价对象房地状况!C18</f>
        <v>0</v>
      </c>
      <c r="C94" s="1887"/>
      <c r="D94" s="2310">
        <f t="shared" ref="D94:D101" si="33">SUMIF($J$60:$N$60,C94,J94:N94)</f>
        <v>0</v>
      </c>
      <c r="E94" s="3084"/>
      <c r="F94" s="1675"/>
      <c r="G94" s="3074"/>
      <c r="H94" s="3119" t="str">
        <f>IFERROR(ROUNDDOWN($F$93*I94/2,4),"——")</f>
        <v>——</v>
      </c>
      <c r="I94" s="3068">
        <v>0.26</v>
      </c>
      <c r="J94" s="1912">
        <f t="shared" si="30"/>
        <v>0</v>
      </c>
      <c r="K94" s="1912">
        <f t="shared" si="31"/>
        <v>0</v>
      </c>
      <c r="L94" s="1912">
        <v>0</v>
      </c>
      <c r="M94" s="1912">
        <f t="shared" si="32"/>
        <v>0</v>
      </c>
      <c r="N94" s="1912">
        <f t="shared" si="32"/>
        <v>0</v>
      </c>
    </row>
    <row r="95" spans="1:37" ht="36">
      <c r="A95" s="3070" t="s">
        <v>3260</v>
      </c>
      <c r="B95" s="3071">
        <f>估价对象房地状况!C19</f>
        <v>0</v>
      </c>
      <c r="C95" s="1887"/>
      <c r="D95" s="2310">
        <f t="shared" si="33"/>
        <v>0</v>
      </c>
      <c r="E95" s="3084"/>
      <c r="F95" s="1675"/>
      <c r="G95" s="3074"/>
      <c r="H95" s="3119" t="str">
        <f t="shared" ref="H95:H101" si="34">IFERROR(ROUNDDOWN($F$93*I95/2,4),"——")</f>
        <v>——</v>
      </c>
      <c r="I95" s="3068">
        <v>0.11</v>
      </c>
      <c r="J95" s="1912">
        <f t="shared" si="30"/>
        <v>0</v>
      </c>
      <c r="K95" s="1912">
        <f t="shared" si="31"/>
        <v>0</v>
      </c>
      <c r="L95" s="1912">
        <v>0</v>
      </c>
      <c r="M95" s="1912">
        <f t="shared" si="32"/>
        <v>0</v>
      </c>
      <c r="N95" s="1912">
        <f t="shared" si="32"/>
        <v>0</v>
      </c>
    </row>
    <row r="96" spans="1:37" ht="36.75">
      <c r="A96" s="3080" t="s">
        <v>3265</v>
      </c>
      <c r="B96" s="3086" t="s">
        <v>3276</v>
      </c>
      <c r="C96" s="1887"/>
      <c r="D96" s="2310">
        <f t="shared" si="33"/>
        <v>0</v>
      </c>
      <c r="E96" s="3084"/>
      <c r="F96" s="1675"/>
      <c r="G96" s="3074"/>
      <c r="H96" s="3119" t="str">
        <f t="shared" si="34"/>
        <v>——</v>
      </c>
      <c r="I96" s="3068">
        <v>0.05</v>
      </c>
      <c r="J96" s="1912">
        <f t="shared" si="30"/>
        <v>0</v>
      </c>
      <c r="K96" s="1912">
        <f t="shared" si="31"/>
        <v>0</v>
      </c>
      <c r="L96" s="1912">
        <v>0</v>
      </c>
      <c r="M96" s="1912">
        <f t="shared" si="32"/>
        <v>0</v>
      </c>
      <c r="N96" s="1912">
        <f t="shared" si="32"/>
        <v>0</v>
      </c>
    </row>
    <row r="97" spans="1:14" ht="24">
      <c r="A97" s="3080" t="s">
        <v>3266</v>
      </c>
      <c r="B97" s="3071">
        <f>估价对象房地状况!C24</f>
        <v>0</v>
      </c>
      <c r="C97" s="1887"/>
      <c r="D97" s="2310">
        <f t="shared" si="33"/>
        <v>0</v>
      </c>
      <c r="E97" s="3084"/>
      <c r="F97" s="1675"/>
      <c r="G97" s="3074"/>
      <c r="H97" s="3119" t="str">
        <f t="shared" si="34"/>
        <v>——</v>
      </c>
      <c r="I97" s="3068">
        <v>0.05</v>
      </c>
      <c r="J97" s="1912">
        <f t="shared" si="30"/>
        <v>0</v>
      </c>
      <c r="K97" s="1912">
        <f t="shared" si="31"/>
        <v>0</v>
      </c>
      <c r="L97" s="1912">
        <v>0</v>
      </c>
      <c r="M97" s="1912">
        <f t="shared" si="32"/>
        <v>0</v>
      </c>
      <c r="N97" s="1912">
        <f t="shared" si="32"/>
        <v>0</v>
      </c>
    </row>
    <row r="98" spans="1:14" ht="24">
      <c r="A98" s="3080" t="s">
        <v>3267</v>
      </c>
      <c r="B98" s="3087" t="s">
        <v>3277</v>
      </c>
      <c r="C98" s="1887"/>
      <c r="D98" s="2310">
        <f t="shared" si="33"/>
        <v>0</v>
      </c>
      <c r="E98" s="3084"/>
      <c r="F98" s="1675"/>
      <c r="G98" s="3074"/>
      <c r="H98" s="3119" t="str">
        <f t="shared" si="34"/>
        <v>——</v>
      </c>
      <c r="I98" s="3068">
        <v>0.06</v>
      </c>
      <c r="J98" s="1912">
        <f t="shared" si="30"/>
        <v>0</v>
      </c>
      <c r="K98" s="1912">
        <f t="shared" si="31"/>
        <v>0</v>
      </c>
      <c r="L98" s="1912">
        <v>0</v>
      </c>
      <c r="M98" s="1912">
        <f t="shared" si="32"/>
        <v>0</v>
      </c>
      <c r="N98" s="1912">
        <f t="shared" si="32"/>
        <v>0</v>
      </c>
    </row>
    <row r="99" spans="1:14" ht="24">
      <c r="A99" s="3080" t="s">
        <v>3268</v>
      </c>
      <c r="B99" s="3071">
        <f>估价对象房地状况!C21</f>
        <v>0</v>
      </c>
      <c r="C99" s="1887"/>
      <c r="D99" s="2310">
        <f t="shared" si="33"/>
        <v>0</v>
      </c>
      <c r="E99" s="3084"/>
      <c r="F99" s="1675"/>
      <c r="G99" s="3074"/>
      <c r="H99" s="3119" t="str">
        <f t="shared" si="34"/>
        <v>——</v>
      </c>
      <c r="I99" s="3068">
        <v>0.06</v>
      </c>
      <c r="J99" s="1912">
        <f t="shared" si="30"/>
        <v>0</v>
      </c>
      <c r="K99" s="1912">
        <f t="shared" si="31"/>
        <v>0</v>
      </c>
      <c r="L99" s="1912">
        <v>0</v>
      </c>
      <c r="M99" s="1912">
        <f t="shared" si="32"/>
        <v>0</v>
      </c>
      <c r="N99" s="1912">
        <f t="shared" si="32"/>
        <v>0</v>
      </c>
    </row>
    <row r="100" spans="1:14" ht="24">
      <c r="A100" s="3080" t="s">
        <v>3269</v>
      </c>
      <c r="B100" s="3071">
        <f>估价对象房地状况!C22</f>
        <v>0</v>
      </c>
      <c r="C100" s="1887"/>
      <c r="D100" s="2310">
        <f t="shared" si="33"/>
        <v>0</v>
      </c>
      <c r="E100" s="3084"/>
      <c r="F100" s="1675"/>
      <c r="G100" s="3074"/>
      <c r="H100" s="3119" t="str">
        <f t="shared" si="34"/>
        <v>——</v>
      </c>
      <c r="I100" s="3068">
        <v>0.09</v>
      </c>
      <c r="J100" s="1912">
        <f t="shared" si="30"/>
        <v>0</v>
      </c>
      <c r="K100" s="1912">
        <f t="shared" si="31"/>
        <v>0</v>
      </c>
      <c r="L100" s="1912">
        <v>0</v>
      </c>
      <c r="M100" s="1912">
        <f t="shared" si="32"/>
        <v>0</v>
      </c>
      <c r="N100" s="1912">
        <f t="shared" si="32"/>
        <v>0</v>
      </c>
    </row>
    <row r="101" spans="1:14" ht="24.75" thickBot="1">
      <c r="A101" s="3081" t="s">
        <v>3270</v>
      </c>
      <c r="B101" s="3088">
        <f>估价对象房地状况!C20</f>
        <v>0</v>
      </c>
      <c r="C101" s="1887"/>
      <c r="D101" s="2310">
        <f t="shared" si="33"/>
        <v>0</v>
      </c>
      <c r="E101" s="3085"/>
      <c r="F101" s="1675"/>
      <c r="G101" s="3074"/>
      <c r="H101" s="3119" t="str">
        <f t="shared" si="34"/>
        <v>——</v>
      </c>
      <c r="I101" s="3069">
        <v>7.0000000000000007E-2</v>
      </c>
      <c r="J101" s="1912">
        <f t="shared" si="30"/>
        <v>0</v>
      </c>
      <c r="K101" s="1912">
        <f t="shared" si="31"/>
        <v>0</v>
      </c>
      <c r="L101" s="1912">
        <v>0</v>
      </c>
      <c r="M101" s="1912">
        <f t="shared" si="32"/>
        <v>0</v>
      </c>
      <c r="N101" s="1912">
        <f t="shared" si="32"/>
        <v>0</v>
      </c>
    </row>
    <row r="103" spans="1:14">
      <c r="A103" s="3456" t="s">
        <v>3285</v>
      </c>
      <c r="B103" s="3456"/>
      <c r="C103" s="3456"/>
      <c r="D103" s="3456"/>
      <c r="E103" s="3456"/>
      <c r="F103" s="3456"/>
      <c r="G103" s="3456"/>
      <c r="H103" s="3456"/>
      <c r="I103" s="3456"/>
      <c r="J103" s="3456"/>
      <c r="K103" s="1667"/>
      <c r="L103" s="1667"/>
      <c r="M103" s="1667"/>
      <c r="N103" s="1667"/>
    </row>
    <row r="104" spans="1:14">
      <c r="A104" s="3457" t="s">
        <v>3286</v>
      </c>
      <c r="B104" s="3457" t="s">
        <v>3287</v>
      </c>
      <c r="C104" s="3090" t="s">
        <v>3288</v>
      </c>
      <c r="D104" s="3091"/>
      <c r="E104" s="3091"/>
      <c r="F104" s="3091"/>
      <c r="G104" s="3091"/>
      <c r="H104" s="3091"/>
      <c r="I104" s="3091"/>
      <c r="J104" s="3092"/>
      <c r="K104" s="3093"/>
      <c r="L104" s="3093"/>
      <c r="M104" s="3093"/>
      <c r="N104" s="3093"/>
    </row>
    <row r="105" spans="1:14">
      <c r="A105" s="3457"/>
      <c r="B105" s="3457"/>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443"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4"/>
      <c r="B111" s="3094" t="s">
        <v>3259</v>
      </c>
      <c r="C111" s="3095">
        <f>$I$3</f>
        <v>0</v>
      </c>
      <c r="D111" s="3095">
        <f t="shared" ref="D111:M111" si="35">$I$3</f>
        <v>0</v>
      </c>
      <c r="E111" s="3095">
        <f t="shared" si="35"/>
        <v>0</v>
      </c>
      <c r="F111" s="3095">
        <f t="shared" si="35"/>
        <v>0</v>
      </c>
      <c r="G111" s="3095">
        <f t="shared" si="35"/>
        <v>0</v>
      </c>
      <c r="H111" s="3095">
        <f t="shared" si="35"/>
        <v>0</v>
      </c>
      <c r="I111" s="3095">
        <f t="shared" si="35"/>
        <v>0</v>
      </c>
      <c r="J111" s="3095">
        <f t="shared" si="35"/>
        <v>0</v>
      </c>
      <c r="K111" s="3095">
        <f t="shared" si="35"/>
        <v>0</v>
      </c>
      <c r="L111" s="3095">
        <f t="shared" si="35"/>
        <v>0</v>
      </c>
      <c r="M111" s="3095">
        <f t="shared" si="35"/>
        <v>0</v>
      </c>
      <c r="N111" s="3095">
        <f>$I$3</f>
        <v>0</v>
      </c>
    </row>
    <row r="112" spans="1:14">
      <c r="A112" s="3445"/>
      <c r="B112" s="3094">
        <v>6</v>
      </c>
      <c r="C112" s="3089">
        <f>(-0.5556*(C111^2)-0.2719*C111+8944)*(10^(-4))</f>
        <v>0.89440000000000008</v>
      </c>
      <c r="D112" s="3089">
        <f>(-0.5556*(D111^2)-0.2719*D111+8944)*(10^(-4))</f>
        <v>0.89440000000000008</v>
      </c>
      <c r="E112" s="3089">
        <f>(-0.7912*(E111^2)-11.3794*E111+8482)*(10^(-4))</f>
        <v>0.84820000000000007</v>
      </c>
      <c r="F112" s="3089">
        <f t="shared" ref="F112:I112" si="36">(-0.7912*(F111^2)-11.3794*F111+8482)*(10^(-4))</f>
        <v>0.84820000000000007</v>
      </c>
      <c r="G112" s="3089">
        <f t="shared" si="36"/>
        <v>0.84820000000000007</v>
      </c>
      <c r="H112" s="3089">
        <f t="shared" si="36"/>
        <v>0.84820000000000007</v>
      </c>
      <c r="I112" s="3089">
        <f t="shared" si="36"/>
        <v>0.84820000000000007</v>
      </c>
      <c r="J112" s="3089">
        <f>(-0.989*(J111^2)-63.78*J111+7771)*(10^(-4))</f>
        <v>0.77710000000000001</v>
      </c>
      <c r="K112" s="3089">
        <f t="shared" ref="K112:N112" si="37">(-0.989*(K111^2)-63.78*K111+7771)*(10^(-4))</f>
        <v>0.77710000000000001</v>
      </c>
      <c r="L112" s="3089">
        <f t="shared" si="37"/>
        <v>0.77710000000000001</v>
      </c>
      <c r="M112" s="3089">
        <f t="shared" si="37"/>
        <v>0.77710000000000001</v>
      </c>
      <c r="N112" s="3089">
        <f t="shared" si="37"/>
        <v>0.77710000000000001</v>
      </c>
    </row>
    <row r="113" spans="1:14">
      <c r="A113" s="3446" t="s">
        <v>3302</v>
      </c>
      <c r="B113" s="3446"/>
      <c r="C113" s="3446"/>
      <c r="D113" s="3446"/>
      <c r="E113" s="3446"/>
      <c r="F113" s="3446"/>
      <c r="G113" s="3446"/>
      <c r="H113" s="3446"/>
      <c r="I113" s="3446"/>
      <c r="J113" s="344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3303</v>
      </c>
      <c r="B116" s="3114">
        <f>G3</f>
        <v>3.5</v>
      </c>
      <c r="C116" s="3099" t="s">
        <v>3304</v>
      </c>
      <c r="D116" s="3100">
        <f>SUMPRODUCT((A118:A122=F116)*(B117:M117=H116)*B118:M122)</f>
        <v>0.95830000000000004</v>
      </c>
      <c r="E116" s="162" t="s">
        <v>3305</v>
      </c>
      <c r="F116" s="3101" t="str">
        <f>E2</f>
        <v>商业</v>
      </c>
      <c r="G116" s="162" t="s">
        <v>3306</v>
      </c>
      <c r="H116" s="3101" t="str">
        <f>G2</f>
        <v>一级</v>
      </c>
      <c r="I116" s="162"/>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0.95830000000000004</v>
      </c>
      <c r="C118" s="3089">
        <f>B118</f>
        <v>0.95830000000000004</v>
      </c>
      <c r="D118" s="3089">
        <f>ROUND(0.949-0.014*B116,4)</f>
        <v>0.9</v>
      </c>
      <c r="E118" s="3089">
        <f>D118</f>
        <v>0.9</v>
      </c>
      <c r="F118" s="3089">
        <f>E118</f>
        <v>0.9</v>
      </c>
      <c r="G118" s="3089">
        <f>F118</f>
        <v>0.9</v>
      </c>
      <c r="H118" s="3089">
        <f>G118</f>
        <v>0.9</v>
      </c>
      <c r="I118" s="3089">
        <f>ROUND(0.8486-0.018*B116,4)</f>
        <v>0.78559999999999997</v>
      </c>
      <c r="J118" s="3089">
        <f t="shared" ref="J118:M122" si="38">I118</f>
        <v>0.78559999999999997</v>
      </c>
      <c r="K118" s="3089">
        <f t="shared" si="38"/>
        <v>0.78559999999999997</v>
      </c>
      <c r="L118" s="3089">
        <f t="shared" si="38"/>
        <v>0.78559999999999997</v>
      </c>
      <c r="M118" s="3109">
        <f t="shared" si="38"/>
        <v>0.78559999999999997</v>
      </c>
      <c r="N118" s="3097"/>
    </row>
    <row r="119" spans="1:14">
      <c r="A119" s="3057" t="s">
        <v>3320</v>
      </c>
      <c r="B119" s="3089">
        <f>ROUND(0.993-0.0112*B116,4)</f>
        <v>0.95379999999999998</v>
      </c>
      <c r="C119" s="3089">
        <f>B119</f>
        <v>0.95379999999999998</v>
      </c>
      <c r="D119" s="3089">
        <f>ROUND(0.9415-0.0142*B116,4)</f>
        <v>0.89180000000000004</v>
      </c>
      <c r="E119" s="3089">
        <f t="shared" ref="E119:H120" si="39">D119</f>
        <v>0.89180000000000004</v>
      </c>
      <c r="F119" s="3089">
        <f t="shared" si="39"/>
        <v>0.89180000000000004</v>
      </c>
      <c r="G119" s="3089">
        <f t="shared" si="39"/>
        <v>0.89180000000000004</v>
      </c>
      <c r="H119" s="3089">
        <f t="shared" si="39"/>
        <v>0.89180000000000004</v>
      </c>
      <c r="I119" s="3089">
        <f>ROUND(0.838-0.0182*B116,4)</f>
        <v>0.77429999999999999</v>
      </c>
      <c r="J119" s="3089">
        <f t="shared" si="38"/>
        <v>0.77429999999999999</v>
      </c>
      <c r="K119" s="3089">
        <f t="shared" si="38"/>
        <v>0.77429999999999999</v>
      </c>
      <c r="L119" s="3089">
        <f t="shared" si="38"/>
        <v>0.77429999999999999</v>
      </c>
      <c r="M119" s="3109">
        <f t="shared" si="38"/>
        <v>0.77429999999999999</v>
      </c>
      <c r="N119" s="3097"/>
    </row>
    <row r="120" spans="1:14">
      <c r="A120" s="3057" t="s">
        <v>3321</v>
      </c>
      <c r="B120" s="3089">
        <f>ROUND(0.9448-0.0115*B116,4)</f>
        <v>0.90459999999999996</v>
      </c>
      <c r="C120" s="3089">
        <f>B120</f>
        <v>0.90459999999999996</v>
      </c>
      <c r="D120" s="3089">
        <f>ROUND(0.937-0.0145*B116,4)</f>
        <v>0.88629999999999998</v>
      </c>
      <c r="E120" s="3089">
        <f t="shared" si="39"/>
        <v>0.88629999999999998</v>
      </c>
      <c r="F120" s="3089">
        <f t="shared" si="39"/>
        <v>0.88629999999999998</v>
      </c>
      <c r="G120" s="3089">
        <f t="shared" si="39"/>
        <v>0.88629999999999998</v>
      </c>
      <c r="H120" s="3089">
        <f t="shared" si="39"/>
        <v>0.88629999999999998</v>
      </c>
      <c r="I120" s="3089">
        <f>ROUND(0.7965-0.0185*B116,4)</f>
        <v>0.73180000000000001</v>
      </c>
      <c r="J120" s="3089">
        <f t="shared" si="38"/>
        <v>0.73180000000000001</v>
      </c>
      <c r="K120" s="3089">
        <f t="shared" si="38"/>
        <v>0.73180000000000001</v>
      </c>
      <c r="L120" s="3089">
        <f t="shared" si="38"/>
        <v>0.73180000000000001</v>
      </c>
      <c r="M120" s="3109">
        <f t="shared" si="38"/>
        <v>0.73180000000000001</v>
      </c>
      <c r="N120" s="3097"/>
    </row>
    <row r="121" spans="1:14" ht="13.5" thickBot="1">
      <c r="A121" s="3110" t="s">
        <v>3322</v>
      </c>
      <c r="B121" s="3111">
        <f>ROUND(0.7836-0.012*B116,4)</f>
        <v>0.74160000000000004</v>
      </c>
      <c r="C121" s="3111">
        <f>B121</f>
        <v>0.74160000000000004</v>
      </c>
      <c r="D121" s="3111">
        <f>ROUND(0.753-0.015*B116,4)</f>
        <v>0.70050000000000001</v>
      </c>
      <c r="E121" s="3111">
        <f>D121</f>
        <v>0.70050000000000001</v>
      </c>
      <c r="F121" s="3111">
        <f>E121</f>
        <v>0.70050000000000001</v>
      </c>
      <c r="G121" s="3111">
        <f>ROUND(0.6612-0.018*B116,4)</f>
        <v>0.59819999999999995</v>
      </c>
      <c r="H121" s="3111">
        <f>G121</f>
        <v>0.59819999999999995</v>
      </c>
      <c r="I121" s="3111">
        <f>ROUND(0.5905-0.019*B116,4)</f>
        <v>0.52400000000000002</v>
      </c>
      <c r="J121" s="3111">
        <f t="shared" si="38"/>
        <v>0.52400000000000002</v>
      </c>
      <c r="K121" s="3111">
        <f t="shared" si="38"/>
        <v>0.52400000000000002</v>
      </c>
      <c r="L121" s="3111">
        <f t="shared" si="38"/>
        <v>0.52400000000000002</v>
      </c>
      <c r="M121" s="3112">
        <f t="shared" si="38"/>
        <v>0.52400000000000002</v>
      </c>
      <c r="N121" s="3097"/>
    </row>
    <row r="122" spans="1:14">
      <c r="A122" s="3113" t="s">
        <v>2603</v>
      </c>
      <c r="B122" s="3089">
        <f>ROUND(0.9404-0.0106*B116,4)</f>
        <v>0.90329999999999999</v>
      </c>
      <c r="C122" s="3089">
        <f>B122</f>
        <v>0.90329999999999999</v>
      </c>
      <c r="D122" s="3089">
        <f>ROUND(0.8955-0.0135*B116,4)</f>
        <v>0.84830000000000005</v>
      </c>
      <c r="E122" s="3089">
        <f t="shared" ref="E122:H122" si="40">D122</f>
        <v>0.84830000000000005</v>
      </c>
      <c r="F122" s="3089">
        <f t="shared" si="40"/>
        <v>0.84830000000000005</v>
      </c>
      <c r="G122" s="3089">
        <f t="shared" si="40"/>
        <v>0.84830000000000005</v>
      </c>
      <c r="H122" s="3089">
        <f t="shared" si="40"/>
        <v>0.84830000000000005</v>
      </c>
      <c r="I122" s="3089">
        <f>ROUND(0.7632-0.0166*B116,4)</f>
        <v>0.70509999999999995</v>
      </c>
      <c r="J122" s="3089">
        <f t="shared" si="38"/>
        <v>0.70509999999999995</v>
      </c>
      <c r="K122" s="3089">
        <f t="shared" si="38"/>
        <v>0.70509999999999995</v>
      </c>
      <c r="L122" s="3089">
        <f t="shared" si="38"/>
        <v>0.70509999999999995</v>
      </c>
      <c r="M122" s="3109">
        <f t="shared" si="38"/>
        <v>0.70509999999999995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7" priority="6" stopIfTrue="1" operator="notEqual">
      <formula>"——"</formula>
    </cfRule>
  </conditionalFormatting>
  <conditionalFormatting sqref="F61">
    <cfRule type="cellIs" dxfId="66" priority="5" stopIfTrue="1" operator="notEqual">
      <formula>"——"</formula>
    </cfRule>
  </conditionalFormatting>
  <conditionalFormatting sqref="F72">
    <cfRule type="cellIs" dxfId="65" priority="4" stopIfTrue="1" operator="notEqual">
      <formula>"——"</formula>
    </cfRule>
  </conditionalFormatting>
  <conditionalFormatting sqref="F83">
    <cfRule type="cellIs" dxfId="64" priority="3" stopIfTrue="1" operator="notEqual">
      <formula>"——"</formula>
    </cfRule>
  </conditionalFormatting>
  <conditionalFormatting sqref="H50:H58 H61:H69 H72:H80 H83:H91">
    <cfRule type="cellIs" dxfId="63" priority="2" operator="notEqual">
      <formula>"——"</formula>
    </cfRule>
  </conditionalFormatting>
  <conditionalFormatting sqref="H93:H101">
    <cfRule type="cellIs" dxfId="62"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E15" sqref="E1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3413</v>
      </c>
      <c r="D1" s="1271" t="s">
        <v>43</v>
      </c>
      <c r="E1" s="1272" t="s">
        <v>678</v>
      </c>
      <c r="F1" s="999">
        <f ca="1">J53</f>
        <v>32.99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5966</v>
      </c>
      <c r="C2" s="1289" t="s">
        <v>805</v>
      </c>
      <c r="D2" s="1289"/>
      <c r="E2" s="1295"/>
      <c r="F2" s="1296"/>
      <c r="G2" s="2478"/>
      <c r="H2" s="2468"/>
      <c r="I2" s="2468"/>
      <c r="J2" s="2468"/>
      <c r="K2" s="2469"/>
      <c r="L2" s="2468"/>
      <c r="M2" s="2468"/>
    </row>
    <row r="3" spans="1:37" ht="18" customHeight="1" thickBot="1">
      <c r="A3" s="1297" t="s">
        <v>806</v>
      </c>
      <c r="B3" s="1298">
        <f ca="1">IF(ISERROR(B2*10000/F43),0,ROUND(B2*10000/F43,0))</f>
        <v>4963</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385</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385</v>
      </c>
      <c r="D6" s="147" t="s">
        <v>2109</v>
      </c>
      <c r="E6" s="294" t="s">
        <v>696</v>
      </c>
      <c r="F6" s="295">
        <f ca="1">INDIRECT("'数据-取费表'!u"&amp;$G$1)</f>
        <v>1600</v>
      </c>
      <c r="G6" s="1292"/>
      <c r="H6" s="1006" t="s">
        <v>398</v>
      </c>
      <c r="I6" s="3356" t="s">
        <v>694</v>
      </c>
      <c r="J6" s="293">
        <f ca="1">ROUND(M6*M8*M7*(1-M9)/10000,0)</f>
        <v>0</v>
      </c>
      <c r="K6" s="147" t="s">
        <v>2108</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223</v>
      </c>
      <c r="G7" s="1292"/>
      <c r="H7" s="296"/>
      <c r="I7" s="3357"/>
      <c r="J7" s="298"/>
      <c r="K7" s="299"/>
      <c r="L7" s="294" t="s">
        <v>697</v>
      </c>
      <c r="M7" s="295">
        <f ca="1">F7</f>
        <v>223</v>
      </c>
    </row>
    <row r="8" spans="1:37" ht="18" customHeight="1">
      <c r="A8" s="296"/>
      <c r="B8" s="3357"/>
      <c r="C8" s="298"/>
      <c r="D8" s="299"/>
      <c r="E8" s="294" t="s">
        <v>698</v>
      </c>
      <c r="F8" s="295">
        <f ca="1">INDIRECT("'数据-取费表'!ai"&amp;$G$1)</f>
        <v>12</v>
      </c>
      <c r="G8" s="1292"/>
      <c r="H8" s="296"/>
      <c r="I8" s="3357"/>
      <c r="J8" s="298"/>
      <c r="K8" s="299"/>
      <c r="L8" s="294" t="s">
        <v>698</v>
      </c>
      <c r="M8" s="295">
        <f ca="1">INDIRECT("'数据-取费表'!ai"&amp;$G$1)</f>
        <v>12</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5958</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6011</v>
      </c>
      <c r="D14" s="1257" t="s">
        <v>708</v>
      </c>
      <c r="E14" s="1255"/>
      <c r="F14" s="311"/>
      <c r="G14" s="1292"/>
      <c r="H14" s="928" t="s">
        <v>398</v>
      </c>
      <c r="I14" s="294" t="s">
        <v>709</v>
      </c>
      <c r="J14" s="21">
        <f ca="1">C29</f>
        <v>7944</v>
      </c>
      <c r="K14" s="12"/>
      <c r="L14" s="759"/>
      <c r="M14" s="760"/>
    </row>
    <row r="15" spans="1:37" s="1304" customFormat="1" ht="18" customHeight="1" thickBot="1">
      <c r="A15" s="928" t="s">
        <v>399</v>
      </c>
      <c r="B15" s="294" t="s">
        <v>710</v>
      </c>
      <c r="C15" s="21">
        <f ca="1">ROUND(C14*F15,0)</f>
        <v>301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16</v>
      </c>
      <c r="K16" s="1024" t="s">
        <v>715</v>
      </c>
      <c r="L16" s="1025"/>
      <c r="M16" s="1009"/>
    </row>
    <row r="17" spans="1:37" s="1304" customFormat="1" ht="18" customHeight="1">
      <c r="A17" s="928" t="s">
        <v>681</v>
      </c>
      <c r="B17" s="294" t="s">
        <v>716</v>
      </c>
      <c r="C17" s="21">
        <f ca="1">ROUND(F17*(F43+INDIRECT("'数据-取费表'!S"&amp;$G$1))/10000,0)</f>
        <v>240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6672</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133</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15.89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204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-16</v>
      </c>
      <c r="K25" s="1032" t="s">
        <v>753</v>
      </c>
      <c r="L25" s="1033"/>
      <c r="M25" s="1034"/>
    </row>
    <row r="26" spans="1:37">
      <c r="A26" s="928" t="s">
        <v>397</v>
      </c>
      <c r="B26" s="294" t="s">
        <v>754</v>
      </c>
      <c r="C26" s="21">
        <f ca="1">ROUND((C19+C20)*F26,0)</f>
        <v>340</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7944</v>
      </c>
      <c r="D29" s="1029"/>
      <c r="E29" s="1027"/>
      <c r="F29" s="1030"/>
      <c r="G29" s="1303"/>
      <c r="H29" s="325" t="s">
        <v>396</v>
      </c>
      <c r="I29" s="326" t="s">
        <v>768</v>
      </c>
      <c r="J29" s="327">
        <f ca="1">ROUND(J26/(1+F40)^F41,0)</f>
        <v>0</v>
      </c>
      <c r="K29" s="328" t="s">
        <v>769</v>
      </c>
      <c r="L29" s="329"/>
      <c r="M29" s="330">
        <f ca="1">INDIRECT("'数据-取费表'!k"&amp;$G$1)</f>
        <v>12021.93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64.53</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IF(项目基本情况!B11="自然人","——",ROUND(C6*F32/(1+'数据-取费表'!C42),2))</f>
        <v>20.53</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44</v>
      </c>
      <c r="D33" s="1278" t="s">
        <v>3327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15.89</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ROUND(C13*F37,2)</f>
        <v>5.96</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3.85</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295</v>
      </c>
      <c r="D39" s="1032" t="s">
        <v>773</v>
      </c>
      <c r="E39" s="1033"/>
      <c r="F39" s="1034"/>
      <c r="G39" s="1292"/>
      <c r="H39" s="2473"/>
      <c r="I39" s="1305"/>
      <c r="J39" s="1306"/>
      <c r="K39" s="2471"/>
      <c r="L39" s="2473"/>
      <c r="M39" s="2473"/>
    </row>
    <row r="40" spans="1:18" ht="18" customHeight="1">
      <c r="A40" s="291" t="s">
        <v>395</v>
      </c>
      <c r="B40" s="292" t="s">
        <v>774</v>
      </c>
      <c r="C40" s="293">
        <f ca="1">ROUND(C39*(1-((1+F42)/(1+F40))^F41)/(F40-F42),0)</f>
        <v>5674</v>
      </c>
      <c r="D40" s="316" t="s">
        <v>758</v>
      </c>
      <c r="E40" s="294" t="s">
        <v>759</v>
      </c>
      <c r="F40" s="304">
        <f ca="1">INDIRECT("'数据-取费表'!I"&amp;$G$1)</f>
        <v>0.05</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32.99</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4720</v>
      </c>
      <c r="D43" s="328" t="s">
        <v>777</v>
      </c>
      <c r="E43" s="329" t="s">
        <v>778</v>
      </c>
      <c r="F43" s="330">
        <f ca="1">INDIRECT("'数据-取费表'!k"&amp;$G$1)</f>
        <v>12021.93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-6026</v>
      </c>
      <c r="D46" s="1313" t="str">
        <f>C2</f>
        <v>万元</v>
      </c>
      <c r="E46" s="1307"/>
      <c r="F46" s="1307"/>
      <c r="I46" s="1314" t="s">
        <v>810</v>
      </c>
      <c r="J46" s="1315"/>
      <c r="K46" s="1316"/>
      <c r="L46" s="1317">
        <f ca="1">IF(M47="住宅",0,IF(L48&gt;J51,L60,J60))</f>
        <v>292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5674</v>
      </c>
      <c r="R47" s="1327" t="s">
        <v>818</v>
      </c>
    </row>
    <row r="48" spans="1:18" s="1292" customFormat="1" ht="28.5" thickBot="1">
      <c r="A48" s="1047" t="s">
        <v>438</v>
      </c>
      <c r="B48" s="292" t="s">
        <v>692</v>
      </c>
      <c r="C48" s="1268">
        <f ca="1">C49+C53+C55</f>
        <v>0</v>
      </c>
      <c r="D48" s="1049"/>
      <c r="E48" s="1050"/>
      <c r="F48" s="908"/>
      <c r="G48" s="681"/>
      <c r="H48" s="682"/>
      <c r="I48" s="1328" t="s">
        <v>819</v>
      </c>
      <c r="J48" s="1329" t="s">
        <v>3422</v>
      </c>
      <c r="K48" s="1330" t="s">
        <v>820</v>
      </c>
      <c r="L48" s="1331">
        <f ca="1">INDIRECT("'数据-取费表'!f"&amp;$G$1)</f>
        <v>32.99</v>
      </c>
      <c r="O48" s="1325" t="s">
        <v>404</v>
      </c>
      <c r="P48" s="1326" t="s">
        <v>821</v>
      </c>
      <c r="Q48" s="1327">
        <f ca="1">J60</f>
        <v>292</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2010</v>
      </c>
      <c r="K49" s="1330" t="s">
        <v>824</v>
      </c>
      <c r="L49" s="1333"/>
      <c r="O49" s="1334" t="s">
        <v>405</v>
      </c>
      <c r="P49" s="1326" t="s">
        <v>825</v>
      </c>
      <c r="Q49" s="1327">
        <f ca="1">C29</f>
        <v>7944</v>
      </c>
      <c r="R49" s="1327" t="s">
        <v>818</v>
      </c>
    </row>
    <row r="50" spans="1:18" s="1292" customFormat="1" ht="13.5" thickBot="1">
      <c r="A50" s="922"/>
      <c r="B50" s="925"/>
      <c r="C50" s="1055"/>
      <c r="D50" s="899"/>
      <c r="E50" s="993" t="s">
        <v>697</v>
      </c>
      <c r="F50" s="994">
        <f ca="1">F7</f>
        <v>223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45</v>
      </c>
      <c r="K51" s="1339" t="s">
        <v>830</v>
      </c>
      <c r="L51" s="1340">
        <f ca="1">ROUND(-PV(INDIRECT("'数据-取费表'!h"&amp;$G$1),J51,(C39-C13*C76),0),0)</f>
        <v>-2338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32.99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32.99</v>
      </c>
      <c r="K53" s="3359" t="s">
        <v>837</v>
      </c>
      <c r="L53" s="3360"/>
      <c r="O53" s="1325" t="s">
        <v>409</v>
      </c>
      <c r="P53" s="1326" t="s">
        <v>838</v>
      </c>
      <c r="Q53" s="1327">
        <f ca="1">Q47+Q48</f>
        <v>5966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25.5" thickTop="1" thickBot="1">
      <c r="A56" s="903">
        <v>2</v>
      </c>
      <c r="B56" s="904" t="s">
        <v>704</v>
      </c>
      <c r="C56" s="224">
        <f ca="1">C13</f>
        <v>5958</v>
      </c>
      <c r="D56" s="1352"/>
      <c r="E56" s="1353"/>
      <c r="F56" s="1345"/>
      <c r="I56" s="1354" t="s">
        <v>842</v>
      </c>
      <c r="J56" s="1355" t="s">
        <v>3423</v>
      </c>
      <c r="K56" s="1328" t="s">
        <v>843</v>
      </c>
      <c r="L56" s="1331" t="str">
        <f ca="1">IF(L48&lt;J51,"——",L48-J53)</f>
        <v>——</v>
      </c>
      <c r="O56" s="1325" t="s">
        <v>403</v>
      </c>
      <c r="P56" s="1326" t="s">
        <v>817</v>
      </c>
      <c r="Q56" s="1327">
        <f ca="1">C40+J29</f>
        <v>5674</v>
      </c>
      <c r="R56" s="1327" t="s">
        <v>818</v>
      </c>
    </row>
    <row r="57" spans="1:18" s="1292" customFormat="1" ht="24.75" thickBot="1">
      <c r="A57" s="1356"/>
      <c r="B57" s="896" t="s">
        <v>767</v>
      </c>
      <c r="C57" s="230">
        <f ca="1">C29</f>
        <v>7944</v>
      </c>
      <c r="D57" s="1357"/>
      <c r="E57" s="1358"/>
      <c r="F57" s="1359"/>
      <c r="I57" s="1360" t="s">
        <v>844</v>
      </c>
      <c r="J57" s="1361">
        <f ca="1">IF(OR(M47="住宅",J51&lt;L48,J56="是"),"——",J51-L48)</f>
        <v>12.009999999999998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3178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292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5674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15.89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5.96</v>
      </c>
      <c r="D65" s="910" t="s">
        <v>743</v>
      </c>
      <c r="E65" s="896" t="s">
        <v>744</v>
      </c>
      <c r="F65" s="321">
        <f t="shared" ca="1" si="0"/>
        <v>1E-3</v>
      </c>
      <c r="I65" s="1367" t="s">
        <v>867</v>
      </c>
      <c r="J65" s="610">
        <v>40</v>
      </c>
      <c r="K65" s="610">
        <v>30</v>
      </c>
      <c r="L65" s="610">
        <v>50</v>
      </c>
      <c r="M65" s="1369">
        <v>0.02</v>
      </c>
      <c r="O65" s="1325" t="s">
        <v>403</v>
      </c>
      <c r="P65" s="1326" t="s">
        <v>868</v>
      </c>
      <c r="Q65" s="1327">
        <f ca="1">C40+J29</f>
        <v>5674</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-22</v>
      </c>
      <c r="D67" s="909" t="s">
        <v>753</v>
      </c>
      <c r="E67" s="914"/>
      <c r="F67" s="915"/>
      <c r="O67" s="1334" t="s">
        <v>405</v>
      </c>
      <c r="P67" s="1326" t="s">
        <v>850</v>
      </c>
      <c r="Q67" s="1370">
        <f ca="1">L51</f>
        <v>-2338</v>
      </c>
      <c r="R67" s="1327" t="s">
        <v>870</v>
      </c>
    </row>
    <row r="68" spans="1:18" s="1292" customFormat="1" ht="16.5" thickBot="1">
      <c r="A68" s="893" t="s">
        <v>395</v>
      </c>
      <c r="B68" s="894" t="s">
        <v>774</v>
      </c>
      <c r="C68" s="293">
        <f ca="1">ROUND(C67*(1-((1+F70)/(1+F68))^F69)/(F68-F70),0)</f>
        <v>-352</v>
      </c>
      <c r="D68" s="911" t="s">
        <v>758</v>
      </c>
      <c r="E68" s="896" t="s">
        <v>759</v>
      </c>
      <c r="F68" s="304">
        <f ca="1">F40</f>
        <v>0.05</v>
      </c>
      <c r="O68" s="1334" t="s">
        <v>406</v>
      </c>
      <c r="P68" s="1371" t="s">
        <v>871</v>
      </c>
      <c r="Q68" s="1327">
        <f ca="1">ROUND(Q69-Q70*Q71,0)</f>
        <v>-122</v>
      </c>
      <c r="R68" s="1327" t="s">
        <v>414</v>
      </c>
    </row>
    <row r="69" spans="1:18" s="1292" customFormat="1" ht="13.5" thickBot="1">
      <c r="A69" s="897"/>
      <c r="B69" s="898"/>
      <c r="C69" s="298"/>
      <c r="D69" s="916" t="s">
        <v>762</v>
      </c>
      <c r="E69" s="896" t="s">
        <v>763</v>
      </c>
      <c r="F69" s="324">
        <f ca="1">F41</f>
        <v>32.99</v>
      </c>
      <c r="O69" s="1334" t="s">
        <v>411</v>
      </c>
      <c r="P69" s="1371" t="s">
        <v>872</v>
      </c>
      <c r="Q69" s="1327">
        <f ca="1">C39</f>
        <v>295</v>
      </c>
      <c r="R69" s="1327" t="s">
        <v>818</v>
      </c>
    </row>
    <row r="70" spans="1:18" s="1292" customFormat="1" ht="13.5" thickBot="1">
      <c r="A70" s="900"/>
      <c r="B70" s="901"/>
      <c r="C70" s="302"/>
      <c r="D70" s="912"/>
      <c r="E70" s="896" t="s">
        <v>766</v>
      </c>
      <c r="F70" s="991"/>
      <c r="O70" s="1334" t="s">
        <v>412</v>
      </c>
      <c r="P70" s="1371" t="s">
        <v>873</v>
      </c>
      <c r="Q70" s="1327">
        <f ca="1">C13</f>
        <v>5958</v>
      </c>
      <c r="R70" s="1327" t="s">
        <v>818</v>
      </c>
    </row>
    <row r="71" spans="1:18" s="1292" customFormat="1" ht="13.5" thickBot="1">
      <c r="A71" s="917" t="s">
        <v>396</v>
      </c>
      <c r="B71" s="918" t="s">
        <v>776</v>
      </c>
      <c r="C71" s="327">
        <f ca="1">ROUND(C68*10000/F71,0)</f>
        <v>-293</v>
      </c>
      <c r="D71" s="919" t="s">
        <v>777</v>
      </c>
      <c r="E71" s="920" t="s">
        <v>778</v>
      </c>
      <c r="F71" s="330">
        <f ca="1">F43</f>
        <v>12021.93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417</v>
      </c>
      <c r="D75" s="1292"/>
      <c r="E75" s="1292"/>
      <c r="F75" s="1292"/>
      <c r="K75" s="1309"/>
      <c r="L75" s="1292"/>
      <c r="O75" s="1325" t="s">
        <v>409</v>
      </c>
      <c r="P75" s="1326" t="s">
        <v>838</v>
      </c>
      <c r="Q75" s="1327">
        <f ca="1">Q65+Q66</f>
        <v>5674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-0.41399999999999992</v>
      </c>
    </row>
    <row r="80" spans="1:18">
      <c r="B80" s="331" t="s">
        <v>800</v>
      </c>
      <c r="C80" s="266">
        <f ca="1">ROUND(C75/C39,3)</f>
        <v>1.4139999999999999</v>
      </c>
    </row>
    <row r="81" spans="2:3">
      <c r="B81" s="262" t="s">
        <v>801</v>
      </c>
      <c r="C81" s="230"/>
    </row>
    <row r="82" spans="2:3">
      <c r="B82" s="265" t="s">
        <v>802</v>
      </c>
      <c r="C82" s="267">
        <f ca="1">1-C83</f>
        <v>-5.0000000000000044E-2</v>
      </c>
    </row>
    <row r="83" spans="2:3">
      <c r="B83" s="265" t="s">
        <v>803</v>
      </c>
      <c r="C83" s="266">
        <f ca="1">ROUND(C13/C40,3)</f>
        <v>1.05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7" priority="3">
      <formula>$F$10="自定义"</formula>
    </cfRule>
  </conditionalFormatting>
  <conditionalFormatting sqref="C54">
    <cfRule type="expression" dxfId="46" priority="1">
      <formula>$F$53="自定义"</formula>
    </cfRule>
  </conditionalFormatting>
  <conditionalFormatting sqref="I55 I60">
    <cfRule type="expression" dxfId="45" priority="57">
      <formula>$J$51&gt;$L$48</formula>
    </cfRule>
  </conditionalFormatting>
  <conditionalFormatting sqref="J11">
    <cfRule type="expression" dxfId="44" priority="2">
      <formula>$M$10="自定义"</formula>
    </cfRule>
  </conditionalFormatting>
  <conditionalFormatting sqref="K55 K60">
    <cfRule type="expression" dxfId="4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85" zoomScaleNormal="60" zoomScaleSheetLayoutView="85" workbookViewId="0">
      <selection activeCell="H2" sqref="H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3396</v>
      </c>
      <c r="C1" s="1141" t="s">
        <v>1662</v>
      </c>
      <c r="D1" s="1142" t="s">
        <v>3413</v>
      </c>
      <c r="E1" s="3131" t="s">
        <v>3426</v>
      </c>
      <c r="F1" s="1735" t="s">
        <v>3424</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IF(B37="元/平方米",ROUND(C39*D3/10000,0),ROUND(F3*C39/10000,0)),IF(B37="元/平方米",ROUND(C39*D3/10000,0),ROUND(F3*C39/10000,0))-D2),IF(E1="单套模式",IF(C2="——",IF(B37="元/平方米",ROUND(C39*D3/10000,0),ROUND(F3*C39/10000,0)),IF(B37="元/平方米",ROUND(C39*D3/10000,0),ROUND(F3*C39/10000,0))-D2)))</f>
        <v>10057</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f>IF(AND(C2="——",B37="元/平方米"),C39,ROUND(B2*10000/D3,0))</f>
        <v>8366</v>
      </c>
      <c r="C3" s="344" t="s">
        <v>1768</v>
      </c>
      <c r="D3" s="343">
        <f>SUMIF('数据-汇总表'!$C19:$C33,D1,'数据-汇总表'!$E19:$E33)</f>
        <v>12021.93</v>
      </c>
      <c r="E3" s="344" t="s">
        <v>1832</v>
      </c>
      <c r="F3" s="343">
        <f>SUMIF('数据-取费表'!A5:A15,D1,'数据-取费表'!AH5:AH15)</f>
        <v>223</v>
      </c>
      <c r="G3" s="855"/>
      <c r="H3" s="855"/>
      <c r="I3" s="855"/>
      <c r="J3" s="855"/>
      <c r="K3" s="857"/>
      <c r="L3" s="2503"/>
      <c r="M3" s="2504">
        <f>IF(C2="——",IF(B37="元/平方米",ROUND(C39*D3/10000,0),ROUND(F3*C39/10000,0)),IF(B37="元/平方米",ROUND(C39*D3/10000,0),ROUND(F3*C39/10000,0))-D2)</f>
        <v>10057</v>
      </c>
      <c r="N3" s="2504"/>
      <c r="O3" s="2504"/>
      <c r="P3" s="1086"/>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6"/>
      <c r="M4" s="2487"/>
      <c r="N4" s="2487"/>
      <c r="O4" s="2487"/>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ht="15">
      <c r="A5" s="348"/>
      <c r="B5" s="349"/>
      <c r="C5" s="3418" t="s">
        <v>1673</v>
      </c>
      <c r="D5" s="3419"/>
      <c r="E5" s="3425" t="s">
        <v>1674</v>
      </c>
      <c r="F5" s="3426"/>
      <c r="G5" s="3418" t="s">
        <v>1675</v>
      </c>
      <c r="H5" s="3419"/>
      <c r="I5" s="3418" t="s">
        <v>1676</v>
      </c>
      <c r="J5" s="3419"/>
      <c r="K5" s="537"/>
      <c r="L5" s="2486"/>
      <c r="M5" s="2487"/>
      <c r="N5" s="2487"/>
      <c r="O5" s="2487"/>
      <c r="P5" s="3406"/>
      <c r="Q5" s="3407"/>
      <c r="R5" s="3412"/>
      <c r="S5" s="3413"/>
      <c r="T5" s="3412"/>
      <c r="U5" s="3413"/>
      <c r="V5" s="3386"/>
      <c r="W5" s="3386"/>
      <c r="X5" s="1265"/>
      <c r="Y5" s="3412"/>
      <c r="Z5" s="3413"/>
      <c r="AA5" s="3398"/>
      <c r="AB5" s="3398"/>
      <c r="AC5" s="3398"/>
    </row>
    <row r="6" spans="1:29" ht="15.75" thickBot="1">
      <c r="A6" s="350"/>
      <c r="B6" s="351"/>
      <c r="C6" s="3416" t="s">
        <v>1677</v>
      </c>
      <c r="D6" s="3417"/>
      <c r="E6" s="3423" t="s">
        <v>1677</v>
      </c>
      <c r="F6" s="3424"/>
      <c r="G6" s="3416" t="s">
        <v>1677</v>
      </c>
      <c r="H6" s="3417"/>
      <c r="I6" s="3416" t="s">
        <v>1677</v>
      </c>
      <c r="J6" s="3417"/>
      <c r="K6" s="537" t="s">
        <v>1678</v>
      </c>
      <c r="L6" s="2486"/>
      <c r="M6" s="2487"/>
      <c r="N6" s="2487"/>
      <c r="O6" s="2487"/>
      <c r="P6" s="3408"/>
      <c r="Q6" s="3409"/>
      <c r="R6" s="3412"/>
      <c r="S6" s="3413"/>
      <c r="T6" s="3414"/>
      <c r="U6" s="3415"/>
      <c r="V6" s="3386"/>
      <c r="W6" s="3386"/>
      <c r="X6" s="1265"/>
      <c r="Y6" s="3414"/>
      <c r="Z6" s="3415"/>
      <c r="AA6" s="3399"/>
      <c r="AB6" s="3399"/>
      <c r="AC6" s="3399"/>
    </row>
    <row r="7" spans="1:29" s="102" customFormat="1" ht="15.75" thickBot="1">
      <c r="A7" s="352" t="s">
        <v>1679</v>
      </c>
      <c r="B7" s="353"/>
      <c r="C7" s="354">
        <f>'数据-取费表'!B2</f>
        <v>45854</v>
      </c>
      <c r="D7" s="355">
        <v>100</v>
      </c>
      <c r="E7" s="356">
        <f>C7</f>
        <v>45854</v>
      </c>
      <c r="F7" s="357">
        <f>SUMIF(48:48,YEAR(E7)&amp;"-"&amp;MONTH(E7),49:49)</f>
        <v>100</v>
      </c>
      <c r="G7" s="356">
        <f>E7</f>
        <v>45854</v>
      </c>
      <c r="H7" s="355">
        <f>SUMIF(48:48,YEAR(G7)&amp;"-"&amp;MONTH(G7),49:49)</f>
        <v>100</v>
      </c>
      <c r="I7" s="356">
        <f>G7</f>
        <v>45854</v>
      </c>
      <c r="J7" s="355">
        <f>SUMIF(48:48,YEAR(I7)&amp;"-"&amp;MONTH(I7),49:49)</f>
        <v>100</v>
      </c>
      <c r="K7" s="38"/>
      <c r="L7" s="2488"/>
      <c r="M7" s="2439"/>
      <c r="N7" s="2439"/>
      <c r="O7" s="2439"/>
      <c r="P7" s="3420" t="s">
        <v>1680</v>
      </c>
      <c r="Q7" s="3422"/>
      <c r="R7" s="664" t="s">
        <v>14</v>
      </c>
      <c r="S7" s="665">
        <f t="shared" ref="S7:S14" si="0">F7</f>
        <v>100</v>
      </c>
      <c r="T7" s="664" t="s">
        <v>14</v>
      </c>
      <c r="U7" s="665">
        <f t="shared" ref="U7:U14" si="1">H7</f>
        <v>100</v>
      </c>
      <c r="V7" s="664" t="s">
        <v>14</v>
      </c>
      <c r="W7" s="665">
        <f t="shared" ref="W7:W14" si="2">J7</f>
        <v>100</v>
      </c>
      <c r="X7" s="666"/>
      <c r="Y7" s="3420" t="s">
        <v>1680</v>
      </c>
      <c r="Z7" s="3421"/>
      <c r="AA7" s="50">
        <f>D7/F7</f>
        <v>1</v>
      </c>
      <c r="AB7" s="50">
        <f>D7/H7</f>
        <v>1</v>
      </c>
      <c r="AC7" s="50">
        <f>D7/J7</f>
        <v>1</v>
      </c>
    </row>
    <row r="8" spans="1:29" s="102" customFormat="1" ht="15.75" thickBot="1">
      <c r="A8" s="352" t="s">
        <v>1681</v>
      </c>
      <c r="B8" s="353"/>
      <c r="C8" s="358" t="s">
        <v>3427</v>
      </c>
      <c r="D8" s="355">
        <v>100</v>
      </c>
      <c r="E8" s="358" t="s">
        <v>3427</v>
      </c>
      <c r="F8" s="357">
        <f>SUMIF(51:51,E8,52:52)-SUMIF(51:51,C8,52:52)+100</f>
        <v>100</v>
      </c>
      <c r="G8" s="358" t="s">
        <v>3427</v>
      </c>
      <c r="H8" s="355">
        <f>SUMIF(51:51,G8,52:52)-SUMIF(51:51,C8,52:52)+100</f>
        <v>100</v>
      </c>
      <c r="I8" s="358" t="s">
        <v>3427</v>
      </c>
      <c r="J8" s="355">
        <f>SUMIF(51:51,I8,52:52)-SUMIF(51:51,C8,52:52)+100</f>
        <v>100</v>
      </c>
      <c r="K8" s="38"/>
      <c r="L8" s="2488"/>
      <c r="M8" s="2439"/>
      <c r="N8" s="2439"/>
      <c r="O8" s="2439"/>
      <c r="P8" s="3420" t="s">
        <v>1683</v>
      </c>
      <c r="Q8" s="3421"/>
      <c r="R8" s="664" t="s">
        <v>14</v>
      </c>
      <c r="S8" s="665">
        <f t="shared" si="0"/>
        <v>100</v>
      </c>
      <c r="T8" s="664" t="s">
        <v>14</v>
      </c>
      <c r="U8" s="665">
        <f t="shared" si="1"/>
        <v>100</v>
      </c>
      <c r="V8" s="664" t="s">
        <v>14</v>
      </c>
      <c r="W8" s="665">
        <f t="shared" si="2"/>
        <v>100</v>
      </c>
      <c r="X8" s="666"/>
      <c r="Y8" s="3420" t="s">
        <v>1683</v>
      </c>
      <c r="Z8" s="3421"/>
      <c r="AA8" s="50">
        <f t="shared" ref="AA8:AA36" si="3">D8/F8</f>
        <v>1</v>
      </c>
      <c r="AB8" s="50">
        <f t="shared" ref="AB8:AB36" si="4">D8/H8</f>
        <v>1</v>
      </c>
      <c r="AC8" s="50">
        <f t="shared" ref="AC8:AC36" si="5">D8/J8</f>
        <v>1</v>
      </c>
    </row>
    <row r="9" spans="1:29" s="102" customFormat="1">
      <c r="A9" s="57" t="s">
        <v>1684</v>
      </c>
      <c r="B9" s="564" t="s">
        <v>1685</v>
      </c>
      <c r="C9" s="3170" t="s">
        <v>3429</v>
      </c>
      <c r="D9" s="59">
        <v>100</v>
      </c>
      <c r="E9" s="362" t="s">
        <v>3428</v>
      </c>
      <c r="F9" s="59">
        <f>SUMIF(53:53,E9,54:54)-SUMIF(53:53,C9,54:54)+100</f>
        <v>100</v>
      </c>
      <c r="G9" s="362" t="s">
        <v>3428</v>
      </c>
      <c r="H9" s="59">
        <f>SUMIF(53:53,G9,54:54)-SUMIF(53:53,C9,54:54)+100</f>
        <v>100</v>
      </c>
      <c r="I9" s="362" t="s">
        <v>3428</v>
      </c>
      <c r="J9" s="59">
        <f>SUMIF(53:53,I9,54:54)-SUMIF(53:53,C9,54:54)+100</f>
        <v>100</v>
      </c>
      <c r="K9" s="38"/>
      <c r="L9" s="2488"/>
      <c r="M9" s="2439"/>
      <c r="N9" s="2439"/>
      <c r="O9" s="2439"/>
      <c r="P9" s="3385"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5"/>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8"/>
      <c r="Q15" s="1263"/>
      <c r="R15" s="667"/>
      <c r="S15" s="668"/>
      <c r="T15" s="667"/>
      <c r="U15" s="668"/>
      <c r="V15" s="667"/>
      <c r="W15" s="668"/>
      <c r="X15" s="1265"/>
      <c r="Y15" s="338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8"/>
      <c r="Q17" s="1263"/>
      <c r="R17" s="667"/>
      <c r="S17" s="668"/>
      <c r="T17" s="667"/>
      <c r="U17" s="668"/>
      <c r="V17" s="667"/>
      <c r="W17" s="668"/>
      <c r="X17" s="1265"/>
      <c r="Y17" s="338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8"/>
      <c r="Q19" s="1263"/>
      <c r="R19" s="667"/>
      <c r="S19" s="668"/>
      <c r="T19" s="667"/>
      <c r="U19" s="668"/>
      <c r="V19" s="667"/>
      <c r="W19" s="668"/>
      <c r="X19" s="1265"/>
      <c r="Y19" s="338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8"/>
      <c r="Q21" s="1263"/>
      <c r="R21" s="667"/>
      <c r="S21" s="668"/>
      <c r="T21" s="667"/>
      <c r="U21" s="668"/>
      <c r="V21" s="667"/>
      <c r="W21" s="668"/>
      <c r="X21" s="1265"/>
      <c r="Y21" s="338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8"/>
      <c r="Q24" s="1263">
        <f t="shared" ref="Q24:Q36"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8.5">
      <c r="A26" s="574" t="s">
        <v>1694</v>
      </c>
      <c r="B26" s="59" t="s">
        <v>1836</v>
      </c>
      <c r="C26" s="1820" t="str">
        <f>B1</f>
        <v>住宅</v>
      </c>
      <c r="D26" s="387">
        <v>100</v>
      </c>
      <c r="E26" s="386" t="s">
        <v>3396</v>
      </c>
      <c r="F26" s="388">
        <f>SUMIF(79:79,E26,80:80)-SUMIF(79:79,C26,80:80)+100</f>
        <v>100</v>
      </c>
      <c r="G26" s="386" t="s">
        <v>3396</v>
      </c>
      <c r="H26" s="387">
        <f>SUMIF(79:79,G26,80:80)-SUMIF(79:79,C26,80:80)+100</f>
        <v>100</v>
      </c>
      <c r="I26" s="386" t="s">
        <v>3396</v>
      </c>
      <c r="J26" s="387">
        <f>SUMIF(79:79,I26,80:80)-SUMIF(79:79,C26,80:80)+100</f>
        <v>100</v>
      </c>
      <c r="K26" s="538"/>
      <c r="L26" s="2492"/>
      <c r="M26" s="2487"/>
      <c r="N26" s="2487"/>
      <c r="O26" s="2487"/>
      <c r="P26" s="3442"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392"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2"/>
      <c r="Q27" s="531" t="str">
        <f t="shared" si="11"/>
        <v>项目停车位配比</v>
      </c>
      <c r="R27" s="669" t="s">
        <v>14</v>
      </c>
      <c r="S27" s="670">
        <f t="shared" si="12"/>
        <v>100</v>
      </c>
      <c r="T27" s="669" t="s">
        <v>14</v>
      </c>
      <c r="U27" s="670">
        <f t="shared" si="13"/>
        <v>100</v>
      </c>
      <c r="V27" s="669" t="s">
        <v>14</v>
      </c>
      <c r="W27" s="670">
        <f t="shared" si="14"/>
        <v>100</v>
      </c>
      <c r="X27" s="671"/>
      <c r="Y27" s="339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2"/>
      <c r="Q28" s="1263" t="str">
        <f t="shared" si="11"/>
        <v>公共部分装修</v>
      </c>
      <c r="R28" s="667" t="s">
        <v>14</v>
      </c>
      <c r="S28" s="668">
        <f t="shared" si="12"/>
        <v>100</v>
      </c>
      <c r="T28" s="667" t="s">
        <v>14</v>
      </c>
      <c r="U28" s="668">
        <f t="shared" si="13"/>
        <v>100</v>
      </c>
      <c r="V28" s="667" t="s">
        <v>14</v>
      </c>
      <c r="W28" s="668">
        <f t="shared" si="14"/>
        <v>100</v>
      </c>
      <c r="X28" s="1265"/>
      <c r="Y28" s="3392"/>
      <c r="Z28" s="1264" t="str">
        <f t="shared" si="15"/>
        <v>公共部分装修</v>
      </c>
      <c r="AA28" s="1264">
        <f t="shared" si="3"/>
        <v>1</v>
      </c>
      <c r="AB28" s="1264">
        <f t="shared" si="4"/>
        <v>1</v>
      </c>
      <c r="AC28" s="1264">
        <f t="shared" si="5"/>
        <v>1</v>
      </c>
    </row>
    <row r="29" spans="1:29" ht="15">
      <c r="A29" s="577"/>
      <c r="B29" s="119" t="s">
        <v>1839</v>
      </c>
      <c r="C29" s="411">
        <v>0.7</v>
      </c>
      <c r="D29" s="374">
        <v>100</v>
      </c>
      <c r="E29" s="411">
        <v>0.7</v>
      </c>
      <c r="F29" s="400">
        <f>LOOKUP(E29,86:86,87:87)-LOOKUP(C29,86:86,87:87)+100</f>
        <v>100</v>
      </c>
      <c r="G29" s="411">
        <v>0.7</v>
      </c>
      <c r="H29" s="400">
        <f>LOOKUP(G29,86:86,87:87)-LOOKUP(C29,86:86,87:87)+100</f>
        <v>100</v>
      </c>
      <c r="I29" s="411">
        <v>0.7</v>
      </c>
      <c r="J29" s="374">
        <f>LOOKUP(I29,86:86,87:87)-LOOKUP(C29,86:86,87:87)+100</f>
        <v>100</v>
      </c>
      <c r="K29" s="538"/>
      <c r="L29" s="2492"/>
      <c r="M29" s="2487"/>
      <c r="N29" s="2487"/>
      <c r="O29" s="2487"/>
      <c r="P29" s="3392"/>
      <c r="Q29" s="1263" t="str">
        <f t="shared" si="11"/>
        <v>成新率</v>
      </c>
      <c r="R29" s="667" t="s">
        <v>14</v>
      </c>
      <c r="S29" s="668">
        <f t="shared" si="12"/>
        <v>100</v>
      </c>
      <c r="T29" s="667" t="s">
        <v>14</v>
      </c>
      <c r="U29" s="668">
        <f t="shared" si="13"/>
        <v>100</v>
      </c>
      <c r="V29" s="667" t="s">
        <v>14</v>
      </c>
      <c r="W29" s="668">
        <f t="shared" si="14"/>
        <v>100</v>
      </c>
      <c r="X29" s="1265"/>
      <c r="Y29" s="3392"/>
      <c r="Z29" s="1264" t="str">
        <f t="shared" si="15"/>
        <v>成新率</v>
      </c>
      <c r="AA29" s="1264">
        <f t="shared" si="3"/>
        <v>1</v>
      </c>
      <c r="AB29" s="1264">
        <f t="shared" si="4"/>
        <v>1</v>
      </c>
      <c r="AC29" s="1264">
        <f t="shared" si="5"/>
        <v>1</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2"/>
      <c r="Q30" s="1263" t="str">
        <f t="shared" si="11"/>
        <v>物业等级</v>
      </c>
      <c r="R30" s="667" t="s">
        <v>14</v>
      </c>
      <c r="S30" s="668">
        <f t="shared" si="12"/>
        <v>100</v>
      </c>
      <c r="T30" s="667" t="s">
        <v>14</v>
      </c>
      <c r="U30" s="668">
        <f t="shared" si="13"/>
        <v>100</v>
      </c>
      <c r="V30" s="667" t="s">
        <v>14</v>
      </c>
      <c r="W30" s="668">
        <f t="shared" si="14"/>
        <v>100</v>
      </c>
      <c r="X30" s="1265"/>
      <c r="Y30" s="339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392"/>
      <c r="Q31" s="530" t="str">
        <f t="shared" si="11"/>
        <v>停车位面积</v>
      </c>
      <c r="R31" s="664" t="s">
        <v>14</v>
      </c>
      <c r="S31" s="665">
        <f t="shared" si="12"/>
        <v>100</v>
      </c>
      <c r="T31" s="664" t="s">
        <v>14</v>
      </c>
      <c r="U31" s="665">
        <f t="shared" si="13"/>
        <v>100</v>
      </c>
      <c r="V31" s="664" t="s">
        <v>14</v>
      </c>
      <c r="W31" s="665">
        <f t="shared" si="14"/>
        <v>100</v>
      </c>
      <c r="X31" s="666"/>
      <c r="Y31" s="3392"/>
      <c r="Z31" s="50" t="str">
        <f t="shared" si="15"/>
        <v>停车位面积</v>
      </c>
      <c r="AA31" s="50">
        <f t="shared" si="3"/>
        <v>1</v>
      </c>
      <c r="AB31" s="50">
        <f t="shared" si="4"/>
        <v>1</v>
      </c>
      <c r="AC31" s="50">
        <f t="shared" si="5"/>
        <v>1</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2" t="s">
        <v>1696</v>
      </c>
      <c r="Q32" s="1263" t="str">
        <f t="shared" si="11"/>
        <v>车位类型</v>
      </c>
      <c r="R32" s="667" t="s">
        <v>14</v>
      </c>
      <c r="S32" s="668">
        <f t="shared" si="12"/>
        <v>100</v>
      </c>
      <c r="T32" s="667" t="s">
        <v>14</v>
      </c>
      <c r="U32" s="668">
        <f t="shared" si="13"/>
        <v>100</v>
      </c>
      <c r="V32" s="667" t="s">
        <v>14</v>
      </c>
      <c r="W32" s="668">
        <f t="shared" si="14"/>
        <v>100</v>
      </c>
      <c r="X32" s="1265"/>
      <c r="Y32" s="339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2"/>
      <c r="Q33" s="1263" t="str">
        <f t="shared" si="11"/>
        <v>是否直接入户</v>
      </c>
      <c r="R33" s="667" t="s">
        <v>14</v>
      </c>
      <c r="S33" s="668">
        <f t="shared" si="12"/>
        <v>100</v>
      </c>
      <c r="T33" s="667" t="s">
        <v>14</v>
      </c>
      <c r="U33" s="668">
        <f t="shared" si="13"/>
        <v>100</v>
      </c>
      <c r="V33" s="667" t="s">
        <v>14</v>
      </c>
      <c r="W33" s="668">
        <f t="shared" si="14"/>
        <v>100</v>
      </c>
      <c r="X33" s="1265"/>
      <c r="Y33" s="339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2"/>
      <c r="Q35" s="531">
        <f t="shared" si="11"/>
        <v>111</v>
      </c>
      <c r="R35" s="669" t="s">
        <v>14</v>
      </c>
      <c r="S35" s="670">
        <f t="shared" si="12"/>
        <v>100</v>
      </c>
      <c r="T35" s="669" t="s">
        <v>14</v>
      </c>
      <c r="U35" s="670">
        <f t="shared" si="13"/>
        <v>100</v>
      </c>
      <c r="V35" s="669" t="s">
        <v>14</v>
      </c>
      <c r="W35" s="670">
        <f t="shared" si="14"/>
        <v>100</v>
      </c>
      <c r="X35" s="671"/>
      <c r="Y35" s="339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2"/>
      <c r="Q36" s="1263">
        <f t="shared" si="11"/>
        <v>111</v>
      </c>
      <c r="R36" s="667" t="s">
        <v>14</v>
      </c>
      <c r="S36" s="668">
        <f t="shared" si="12"/>
        <v>100</v>
      </c>
      <c r="T36" s="667" t="s">
        <v>14</v>
      </c>
      <c r="U36" s="668">
        <f t="shared" si="13"/>
        <v>100</v>
      </c>
      <c r="V36" s="667" t="s">
        <v>14</v>
      </c>
      <c r="W36" s="668">
        <f t="shared" si="14"/>
        <v>100</v>
      </c>
      <c r="X36" s="1265"/>
      <c r="Y36" s="3392"/>
      <c r="Z36" s="1264">
        <f t="shared" si="15"/>
        <v>111</v>
      </c>
      <c r="AA36" s="1264">
        <f t="shared" si="3"/>
        <v>1</v>
      </c>
      <c r="AB36" s="1264">
        <f t="shared" si="4"/>
        <v>1</v>
      </c>
      <c r="AC36" s="1264">
        <f t="shared" si="5"/>
        <v>1</v>
      </c>
    </row>
    <row r="37" spans="1:29" ht="15">
      <c r="A37" s="416" t="s">
        <v>1844</v>
      </c>
      <c r="B37" s="1821" t="s">
        <v>3425</v>
      </c>
      <c r="C37" s="1081" t="s">
        <v>0</v>
      </c>
      <c r="D37" s="418"/>
      <c r="E37" s="419">
        <v>450000</v>
      </c>
      <c r="F37" s="420"/>
      <c r="G37" s="421">
        <v>480000</v>
      </c>
      <c r="H37" s="422"/>
      <c r="I37" s="419">
        <v>422900</v>
      </c>
      <c r="J37" s="422"/>
      <c r="K37" s="545"/>
      <c r="L37" s="2494"/>
      <c r="M37" s="2487"/>
      <c r="N37" s="2487"/>
      <c r="O37" s="2487"/>
      <c r="P37" s="3385" t="str">
        <f>A37</f>
        <v>成交单价</v>
      </c>
      <c r="Q37" s="3385"/>
      <c r="R37" s="3386">
        <f>E37</f>
        <v>450000</v>
      </c>
      <c r="S37" s="3386"/>
      <c r="T37" s="3386">
        <f>G37</f>
        <v>480000</v>
      </c>
      <c r="U37" s="3386"/>
      <c r="V37" s="3386">
        <f>I37</f>
        <v>422900</v>
      </c>
      <c r="W37" s="3386"/>
      <c r="X37" s="385"/>
      <c r="Y37" s="673"/>
      <c r="Z37" s="385"/>
      <c r="AA37" s="385"/>
      <c r="AB37" s="385"/>
      <c r="AC37" s="385"/>
    </row>
    <row r="38" spans="1:29" ht="15.75" thickBot="1">
      <c r="A38" s="423" t="s">
        <v>1845</v>
      </c>
      <c r="B38" s="424" t="str">
        <f>B37</f>
        <v>元/车位</v>
      </c>
      <c r="C38" s="1082">
        <f>R39</f>
        <v>450967</v>
      </c>
      <c r="D38" s="2141" t="s">
        <v>2138</v>
      </c>
      <c r="E38" s="1083">
        <f>R38</f>
        <v>450000</v>
      </c>
      <c r="F38" s="2142"/>
      <c r="G38" s="1082">
        <f>T38</f>
        <v>480000</v>
      </c>
      <c r="H38" s="2142"/>
      <c r="I38" s="1083">
        <f>V38</f>
        <v>422900</v>
      </c>
      <c r="J38" s="2142"/>
      <c r="K38" s="2144">
        <f>F38+H38+J38</f>
        <v>0</v>
      </c>
      <c r="L38" s="2494"/>
      <c r="M38" s="2487"/>
      <c r="N38" s="2487"/>
      <c r="O38" s="2487"/>
      <c r="P38" s="3385" t="str">
        <f>A38</f>
        <v>比较价值（元/平方米）</v>
      </c>
      <c r="Q38" s="3385"/>
      <c r="R38" s="3386">
        <f>IF(F1="售价",ROUND(PRODUCT(R37,AA7:AA36),0),ROUND(PRODUCT(R37,AA7:AA36),1))</f>
        <v>450000</v>
      </c>
      <c r="S38" s="3386"/>
      <c r="T38" s="3386">
        <f>IF(F1="售价",ROUND(PRODUCT(T37,AB7:AB36),0),ROUND(PRODUCT(T37,AB7:AB36),1))</f>
        <v>480000</v>
      </c>
      <c r="U38" s="3386"/>
      <c r="V38" s="3386">
        <f>IF(F1="售价",ROUND(PRODUCT(V37,AC7:AC36),0),ROUND(PRODUCT(V37,AC7:AC36),1))</f>
        <v>422900</v>
      </c>
      <c r="W38" s="3386"/>
      <c r="X38" s="385"/>
      <c r="Y38" s="385"/>
      <c r="Z38" s="385"/>
      <c r="AA38" s="385"/>
      <c r="AB38" s="385"/>
      <c r="AC38" s="385"/>
    </row>
    <row r="39" spans="1:29" ht="15.75" thickBot="1">
      <c r="A39" s="427" t="s">
        <v>1846</v>
      </c>
      <c r="B39" s="428"/>
      <c r="C39" s="351">
        <f>R39</f>
        <v>450967</v>
      </c>
      <c r="D39" s="351"/>
      <c r="E39" s="351"/>
      <c r="F39" s="351"/>
      <c r="G39" s="351"/>
      <c r="H39" s="351"/>
      <c r="I39" s="351"/>
      <c r="J39" s="351"/>
      <c r="K39" s="546"/>
      <c r="L39" s="2494"/>
      <c r="M39" s="2487"/>
      <c r="N39" s="2487"/>
      <c r="O39" s="2487"/>
      <c r="P39" s="3382" t="str">
        <f>A39</f>
        <v>估价对象XX用房的比较价值（楼面单价，元/平方米）</v>
      </c>
      <c r="Q39" s="3383"/>
      <c r="R39" s="3462">
        <f>IF(F1="售价",ROUND(IF(D38="简单平均",AVERAGE(R38:W38),R38*F38+T38*H38+V38*J38),0),ROUND(IF(D38="简单平均",AVERAGE(R38:V38),R38*F38+T38*H38+V38*J38),1))</f>
        <v>450967</v>
      </c>
      <c r="S39" s="3462"/>
      <c r="T39" s="3462"/>
      <c r="U39" s="3462"/>
      <c r="V39" s="3462"/>
      <c r="W39" s="346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6.6666666666666652E-2</v>
      </c>
      <c r="F43" s="435" t="str">
        <f>IF(OR(E43&gt;=0.2,E43&lt;=-0.2),"超过20%","")</f>
        <v/>
      </c>
      <c r="G43" s="434">
        <f>IF(G38&lt;I38,I38/G38-1,G38/I38-1)</f>
        <v>0.13502009931425873</v>
      </c>
      <c r="H43" s="435" t="str">
        <f>IF(OR(G43&gt;=0.2,G43&lt;=-0.2),"超过20%","")</f>
        <v/>
      </c>
      <c r="I43" s="434">
        <f>IF(I38&lt;E38,E38/I38-1,I38/E38-1)</f>
        <v>6.4081343107117439E-2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6.6666666666666652E-2</v>
      </c>
      <c r="F44" s="435" t="str">
        <f>IF(OR(E44&gt;=0.3,E44&lt;=-0.3),"超过30%","")</f>
        <v/>
      </c>
      <c r="G44" s="434">
        <f>IF(G37&lt;I37,I37/G37-1,G37/I37-1)</f>
        <v>0.13502009931425873</v>
      </c>
      <c r="H44" s="435" t="str">
        <f>IF(OR(G44&gt;=0.3,G44&lt;=-0.3),"超过30%","")</f>
        <v/>
      </c>
      <c r="I44" s="434">
        <f>IF(I37&lt;E37,E37/I37-1,I37/E37-1)</f>
        <v>6.4081343107117439E-2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住宅</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6"/>
      <c r="M4" s="2487"/>
      <c r="N4" s="2487"/>
      <c r="O4" s="2487"/>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ht="15">
      <c r="A5" s="348"/>
      <c r="B5" s="349"/>
      <c r="C5" s="3418" t="s">
        <v>1673</v>
      </c>
      <c r="D5" s="3419"/>
      <c r="E5" s="3425" t="s">
        <v>1674</v>
      </c>
      <c r="F5" s="3426"/>
      <c r="G5" s="3418" t="s">
        <v>1675</v>
      </c>
      <c r="H5" s="3419"/>
      <c r="I5" s="3418" t="s">
        <v>1676</v>
      </c>
      <c r="J5" s="3419"/>
      <c r="K5" s="537"/>
      <c r="L5" s="2486"/>
      <c r="M5" s="2487"/>
      <c r="N5" s="2487"/>
      <c r="O5" s="2487"/>
      <c r="P5" s="3406"/>
      <c r="Q5" s="3407"/>
      <c r="R5" s="3412"/>
      <c r="S5" s="3413"/>
      <c r="T5" s="3412"/>
      <c r="U5" s="3413"/>
      <c r="V5" s="3386"/>
      <c r="W5" s="3386"/>
      <c r="X5" s="1265"/>
      <c r="Y5" s="3412"/>
      <c r="Z5" s="3413"/>
      <c r="AA5" s="3398"/>
      <c r="AB5" s="3398"/>
      <c r="AC5" s="3398"/>
    </row>
    <row r="6" spans="1:29" ht="15.75" thickBot="1">
      <c r="A6" s="350"/>
      <c r="B6" s="351"/>
      <c r="C6" s="3416" t="s">
        <v>1677</v>
      </c>
      <c r="D6" s="3417"/>
      <c r="E6" s="3423" t="s">
        <v>1677</v>
      </c>
      <c r="F6" s="3424"/>
      <c r="G6" s="3416" t="s">
        <v>1677</v>
      </c>
      <c r="H6" s="3417"/>
      <c r="I6" s="3416" t="s">
        <v>1677</v>
      </c>
      <c r="J6" s="3417"/>
      <c r="K6" s="537" t="s">
        <v>1678</v>
      </c>
      <c r="L6" s="2486"/>
      <c r="M6" s="2487"/>
      <c r="N6" s="2487"/>
      <c r="O6" s="2487"/>
      <c r="P6" s="3408"/>
      <c r="Q6" s="3409"/>
      <c r="R6" s="3412"/>
      <c r="S6" s="3413"/>
      <c r="T6" s="3414"/>
      <c r="U6" s="3415"/>
      <c r="V6" s="3386"/>
      <c r="W6" s="3386"/>
      <c r="X6" s="1265"/>
      <c r="Y6" s="3414"/>
      <c r="Z6" s="3415"/>
      <c r="AA6" s="3399"/>
      <c r="AB6" s="3399"/>
      <c r="AC6" s="3399"/>
    </row>
    <row r="7" spans="1:29" s="102" customFormat="1" ht="15.75" thickBot="1">
      <c r="A7" s="352" t="s">
        <v>1679</v>
      </c>
      <c r="B7" s="353"/>
      <c r="C7" s="354">
        <f>'数据-取费表'!B2</f>
        <v>45854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20" t="s">
        <v>1680</v>
      </c>
      <c r="Q7" s="3422"/>
      <c r="R7" s="664" t="s">
        <v>14</v>
      </c>
      <c r="S7" s="665">
        <f t="shared" ref="S7:S14" si="0">F7</f>
        <v>0</v>
      </c>
      <c r="T7" s="664" t="s">
        <v>14</v>
      </c>
      <c r="U7" s="665">
        <f t="shared" ref="U7:U14" si="1">H7</f>
        <v>0</v>
      </c>
      <c r="V7" s="664" t="s">
        <v>14</v>
      </c>
      <c r="W7" s="665">
        <f t="shared" ref="W7:W14" si="2">J7</f>
        <v>0</v>
      </c>
      <c r="X7" s="666"/>
      <c r="Y7" s="3420" t="s">
        <v>1680</v>
      </c>
      <c r="Z7" s="342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0" t="s">
        <v>1683</v>
      </c>
      <c r="Q8" s="3421"/>
      <c r="R8" s="664" t="s">
        <v>14</v>
      </c>
      <c r="S8" s="665">
        <f t="shared" si="0"/>
        <v>100</v>
      </c>
      <c r="T8" s="664" t="s">
        <v>14</v>
      </c>
      <c r="U8" s="665">
        <f t="shared" si="1"/>
        <v>100</v>
      </c>
      <c r="V8" s="664" t="s">
        <v>14</v>
      </c>
      <c r="W8" s="665">
        <f t="shared" si="2"/>
        <v>100</v>
      </c>
      <c r="X8" s="666"/>
      <c r="Y8" s="3420" t="s">
        <v>1683</v>
      </c>
      <c r="Z8" s="342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5"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5"/>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8"/>
      <c r="Q15" s="1263"/>
      <c r="R15" s="667"/>
      <c r="S15" s="668"/>
      <c r="T15" s="667"/>
      <c r="U15" s="668"/>
      <c r="V15" s="667"/>
      <c r="W15" s="668"/>
      <c r="X15" s="1265"/>
      <c r="Y15" s="338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8"/>
      <c r="Q17" s="1263"/>
      <c r="R17" s="667"/>
      <c r="S17" s="668"/>
      <c r="T17" s="667"/>
      <c r="U17" s="668"/>
      <c r="V17" s="667"/>
      <c r="W17" s="668"/>
      <c r="X17" s="1265"/>
      <c r="Y17" s="338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8"/>
      <c r="Q19" s="1263"/>
      <c r="R19" s="667"/>
      <c r="S19" s="668"/>
      <c r="T19" s="667"/>
      <c r="U19" s="668"/>
      <c r="V19" s="667"/>
      <c r="W19" s="668"/>
      <c r="X19" s="1265"/>
      <c r="Y19" s="338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8"/>
      <c r="Q21" s="1263"/>
      <c r="R21" s="667"/>
      <c r="S21" s="668"/>
      <c r="T21" s="667"/>
      <c r="U21" s="668"/>
      <c r="V21" s="667"/>
      <c r="W21" s="668"/>
      <c r="X21" s="1265"/>
      <c r="Y21" s="338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8"/>
      <c r="Q24" s="1263">
        <f t="shared" ref="Q24:Q34"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2"/>
      <c r="Q27" s="531" t="str">
        <f t="shared" si="11"/>
        <v>成新率</v>
      </c>
      <c r="R27" s="669" t="s">
        <v>14</v>
      </c>
      <c r="S27" s="670" t="e">
        <f t="shared" si="12"/>
        <v>#N/A</v>
      </c>
      <c r="T27" s="669" t="s">
        <v>14</v>
      </c>
      <c r="U27" s="670" t="e">
        <f t="shared" si="13"/>
        <v>#N/A</v>
      </c>
      <c r="V27" s="669" t="s">
        <v>14</v>
      </c>
      <c r="W27" s="670" t="e">
        <f t="shared" si="14"/>
        <v>#N/A</v>
      </c>
      <c r="X27" s="671"/>
      <c r="Y27" s="339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2"/>
      <c r="Q28" s="1263" t="str">
        <f t="shared" si="11"/>
        <v>物业等级</v>
      </c>
      <c r="R28" s="667" t="s">
        <v>14</v>
      </c>
      <c r="S28" s="668">
        <f t="shared" si="12"/>
        <v>100</v>
      </c>
      <c r="T28" s="667" t="s">
        <v>14</v>
      </c>
      <c r="U28" s="668">
        <f t="shared" si="13"/>
        <v>100</v>
      </c>
      <c r="V28" s="667" t="s">
        <v>14</v>
      </c>
      <c r="W28" s="668">
        <f t="shared" si="14"/>
        <v>100</v>
      </c>
      <c r="X28" s="1265"/>
      <c r="Y28" s="339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2"/>
      <c r="Q29" s="1263" t="str">
        <f t="shared" si="11"/>
        <v>有无电梯</v>
      </c>
      <c r="R29" s="667" t="s">
        <v>14</v>
      </c>
      <c r="S29" s="668">
        <f t="shared" si="12"/>
        <v>100</v>
      </c>
      <c r="T29" s="667" t="s">
        <v>14</v>
      </c>
      <c r="U29" s="668">
        <f t="shared" si="13"/>
        <v>100</v>
      </c>
      <c r="V29" s="667" t="s">
        <v>14</v>
      </c>
      <c r="W29" s="668">
        <f t="shared" si="14"/>
        <v>100</v>
      </c>
      <c r="X29" s="1265"/>
      <c r="Y29" s="339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2"/>
      <c r="Q30" s="1263" t="str">
        <f t="shared" si="11"/>
        <v>建筑面积</v>
      </c>
      <c r="R30" s="667" t="s">
        <v>14</v>
      </c>
      <c r="S30" s="668" t="e">
        <f t="shared" si="12"/>
        <v>#N/A</v>
      </c>
      <c r="T30" s="667" t="s">
        <v>14</v>
      </c>
      <c r="U30" s="668" t="e">
        <f t="shared" si="13"/>
        <v>#N/A</v>
      </c>
      <c r="V30" s="667" t="s">
        <v>14</v>
      </c>
      <c r="W30" s="668" t="e">
        <f t="shared" si="14"/>
        <v>#N/A</v>
      </c>
      <c r="X30" s="1265"/>
      <c r="Y30" s="339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2"/>
      <c r="Q31" s="530" t="str">
        <f t="shared" si="11"/>
        <v>是否封闭</v>
      </c>
      <c r="R31" s="664" t="s">
        <v>14</v>
      </c>
      <c r="S31" s="665">
        <f t="shared" si="12"/>
        <v>100</v>
      </c>
      <c r="T31" s="664" t="s">
        <v>14</v>
      </c>
      <c r="U31" s="665">
        <f t="shared" si="13"/>
        <v>100</v>
      </c>
      <c r="V31" s="664" t="s">
        <v>14</v>
      </c>
      <c r="W31" s="665">
        <f t="shared" si="14"/>
        <v>100</v>
      </c>
      <c r="X31" s="666"/>
      <c r="Y31" s="339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2" t="s">
        <v>1696</v>
      </c>
      <c r="Q32" s="1263">
        <f t="shared" si="11"/>
        <v>111</v>
      </c>
      <c r="R32" s="667" t="s">
        <v>14</v>
      </c>
      <c r="S32" s="668">
        <f t="shared" si="12"/>
        <v>100</v>
      </c>
      <c r="T32" s="667" t="s">
        <v>14</v>
      </c>
      <c r="U32" s="668">
        <f t="shared" si="13"/>
        <v>100</v>
      </c>
      <c r="V32" s="667" t="s">
        <v>14</v>
      </c>
      <c r="W32" s="668">
        <f t="shared" si="14"/>
        <v>100</v>
      </c>
      <c r="X32" s="1265"/>
      <c r="Y32" s="339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2"/>
      <c r="Q33" s="1263">
        <f t="shared" si="11"/>
        <v>111</v>
      </c>
      <c r="R33" s="667" t="s">
        <v>14</v>
      </c>
      <c r="S33" s="668">
        <f t="shared" si="12"/>
        <v>100</v>
      </c>
      <c r="T33" s="667" t="s">
        <v>14</v>
      </c>
      <c r="U33" s="668">
        <f t="shared" si="13"/>
        <v>100</v>
      </c>
      <c r="V33" s="667" t="s">
        <v>14</v>
      </c>
      <c r="W33" s="668">
        <f t="shared" si="14"/>
        <v>100</v>
      </c>
      <c r="X33" s="1265"/>
      <c r="Y33" s="339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85" t="str">
        <f>A35</f>
        <v>成交单价（元/平方米）</v>
      </c>
      <c r="Q35" s="3385"/>
      <c r="R35" s="3386">
        <f>E35</f>
        <v>0</v>
      </c>
      <c r="S35" s="3386"/>
      <c r="T35" s="3386">
        <f>G35</f>
        <v>0</v>
      </c>
      <c r="U35" s="3386"/>
      <c r="V35" s="3386">
        <f>I35</f>
        <v>0</v>
      </c>
      <c r="W35" s="338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82" t="str">
        <f>A37</f>
        <v>估价对象XX用房的比较价值（楼面单价，元/平方米）</v>
      </c>
      <c r="Q37" s="3383"/>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6"/>
      <c r="M4" s="2487"/>
      <c r="N4" s="2487"/>
      <c r="O4" s="2487"/>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ht="15">
      <c r="A5" s="348"/>
      <c r="B5" s="349"/>
      <c r="C5" s="3418" t="s">
        <v>1673</v>
      </c>
      <c r="D5" s="3419"/>
      <c r="E5" s="3425" t="s">
        <v>1674</v>
      </c>
      <c r="F5" s="3426"/>
      <c r="G5" s="3418" t="s">
        <v>1675</v>
      </c>
      <c r="H5" s="3419"/>
      <c r="I5" s="3418" t="s">
        <v>1676</v>
      </c>
      <c r="J5" s="3419"/>
      <c r="K5" s="537"/>
      <c r="L5" s="2486"/>
      <c r="M5" s="2487"/>
      <c r="N5" s="2487"/>
      <c r="O5" s="2487"/>
      <c r="P5" s="3406"/>
      <c r="Q5" s="3407"/>
      <c r="R5" s="3412"/>
      <c r="S5" s="3413"/>
      <c r="T5" s="3412"/>
      <c r="U5" s="3413"/>
      <c r="V5" s="3386"/>
      <c r="W5" s="3386"/>
      <c r="X5" s="1265"/>
      <c r="Y5" s="3412"/>
      <c r="Z5" s="3413"/>
      <c r="AA5" s="3398"/>
      <c r="AB5" s="3398"/>
      <c r="AC5" s="3398"/>
    </row>
    <row r="6" spans="1:29" ht="15.75" thickBot="1">
      <c r="A6" s="350"/>
      <c r="B6" s="351"/>
      <c r="C6" s="3416" t="s">
        <v>1677</v>
      </c>
      <c r="D6" s="3417"/>
      <c r="E6" s="3423" t="s">
        <v>1677</v>
      </c>
      <c r="F6" s="3424"/>
      <c r="G6" s="3416" t="s">
        <v>1677</v>
      </c>
      <c r="H6" s="3417"/>
      <c r="I6" s="3416" t="s">
        <v>1677</v>
      </c>
      <c r="J6" s="3417"/>
      <c r="K6" s="537" t="s">
        <v>1678</v>
      </c>
      <c r="L6" s="2486"/>
      <c r="M6" s="2487"/>
      <c r="N6" s="2487"/>
      <c r="O6" s="2487"/>
      <c r="P6" s="3408"/>
      <c r="Q6" s="3409"/>
      <c r="R6" s="3412"/>
      <c r="S6" s="3413"/>
      <c r="T6" s="3414"/>
      <c r="U6" s="3415"/>
      <c r="V6" s="3386"/>
      <c r="W6" s="3386"/>
      <c r="X6" s="1265"/>
      <c r="Y6" s="3414"/>
      <c r="Z6" s="3415"/>
      <c r="AA6" s="3399"/>
      <c r="AB6" s="3399"/>
      <c r="AC6" s="3399"/>
    </row>
    <row r="7" spans="1:29" s="102" customFormat="1" ht="15.75" thickBot="1">
      <c r="A7" s="352" t="s">
        <v>1679</v>
      </c>
      <c r="B7" s="353"/>
      <c r="C7" s="354">
        <f>'数据-取费表'!B2</f>
        <v>45854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0" t="s">
        <v>1683</v>
      </c>
      <c r="Q8" s="3421"/>
      <c r="R8" s="664" t="s">
        <v>14</v>
      </c>
      <c r="S8" s="665">
        <f t="shared" si="0"/>
        <v>0</v>
      </c>
      <c r="T8" s="664" t="s">
        <v>14</v>
      </c>
      <c r="U8" s="665">
        <f t="shared" si="1"/>
        <v>0</v>
      </c>
      <c r="V8" s="664" t="s">
        <v>14</v>
      </c>
      <c r="W8" s="665">
        <f t="shared" si="2"/>
        <v>0</v>
      </c>
      <c r="X8" s="666"/>
      <c r="Y8" s="3420" t="s">
        <v>1683</v>
      </c>
      <c r="Z8" s="342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89"/>
      <c r="M10" s="2490"/>
      <c r="N10" s="2490"/>
      <c r="O10" s="2541"/>
      <c r="P10" s="3385"/>
      <c r="Q10" s="530" t="str">
        <f t="shared" si="6"/>
        <v>土地使用年限（年）</v>
      </c>
      <c r="R10" s="664" t="s">
        <v>14</v>
      </c>
      <c r="S10" s="665">
        <f t="shared" si="0"/>
        <v>116</v>
      </c>
      <c r="T10" s="664" t="s">
        <v>14</v>
      </c>
      <c r="U10" s="665">
        <f t="shared" si="1"/>
        <v>116</v>
      </c>
      <c r="V10" s="664" t="s">
        <v>14</v>
      </c>
      <c r="W10" s="665">
        <f t="shared" si="2"/>
        <v>116</v>
      </c>
      <c r="X10" s="666"/>
      <c r="Y10" s="3260"/>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5"/>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5"/>
      <c r="Q12" s="530" t="str">
        <f t="shared" si="6"/>
        <v>配建</v>
      </c>
      <c r="R12" s="664" t="s">
        <v>14</v>
      </c>
      <c r="S12" s="665">
        <f t="shared" si="0"/>
        <v>100</v>
      </c>
      <c r="T12" s="664" t="s">
        <v>14</v>
      </c>
      <c r="U12" s="665">
        <f t="shared" si="1"/>
        <v>100</v>
      </c>
      <c r="V12" s="664" t="s">
        <v>14</v>
      </c>
      <c r="W12" s="665">
        <f t="shared" si="2"/>
        <v>100</v>
      </c>
      <c r="X12" s="666"/>
      <c r="Y12" s="32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7" t="s">
        <v>1691</v>
      </c>
      <c r="Q15" s="1263" t="str">
        <f t="shared" si="6"/>
        <v>居住社区成熟度</v>
      </c>
      <c r="R15" s="667" t="s">
        <v>14</v>
      </c>
      <c r="S15" s="668">
        <f t="shared" si="0"/>
        <v>100</v>
      </c>
      <c r="T15" s="667" t="s">
        <v>14</v>
      </c>
      <c r="U15" s="668">
        <f t="shared" si="1"/>
        <v>100</v>
      </c>
      <c r="V15" s="667" t="s">
        <v>14</v>
      </c>
      <c r="W15" s="668">
        <f t="shared" si="2"/>
        <v>100</v>
      </c>
      <c r="X15" s="1265"/>
      <c r="Y15" s="338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8"/>
      <c r="Q16" s="1263"/>
      <c r="R16" s="667"/>
      <c r="S16" s="668"/>
      <c r="T16" s="667"/>
      <c r="U16" s="668"/>
      <c r="V16" s="667"/>
      <c r="W16" s="668"/>
      <c r="X16" s="1265"/>
      <c r="Y16" s="338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8"/>
      <c r="Q17" s="1263" t="str">
        <f>B17</f>
        <v>商业繁华度</v>
      </c>
      <c r="R17" s="667" t="s">
        <v>14</v>
      </c>
      <c r="S17" s="668">
        <f>F17</f>
        <v>100</v>
      </c>
      <c r="T17" s="667" t="s">
        <v>14</v>
      </c>
      <c r="U17" s="668">
        <f>H17</f>
        <v>100</v>
      </c>
      <c r="V17" s="667" t="s">
        <v>14</v>
      </c>
      <c r="W17" s="668">
        <f>J17</f>
        <v>100</v>
      </c>
      <c r="X17" s="1265"/>
      <c r="Y17" s="338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8"/>
      <c r="Q18" s="1263"/>
      <c r="R18" s="667"/>
      <c r="S18" s="668"/>
      <c r="T18" s="667"/>
      <c r="U18" s="668"/>
      <c r="V18" s="667"/>
      <c r="W18" s="668"/>
      <c r="X18" s="1265"/>
      <c r="Y18" s="338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8"/>
      <c r="Q19" s="1263" t="str">
        <f>B19</f>
        <v>办公集聚程度</v>
      </c>
      <c r="R19" s="667" t="s">
        <v>14</v>
      </c>
      <c r="S19" s="668">
        <f>F19</f>
        <v>100</v>
      </c>
      <c r="T19" s="667" t="s">
        <v>14</v>
      </c>
      <c r="U19" s="668">
        <f>H19</f>
        <v>100</v>
      </c>
      <c r="V19" s="667" t="s">
        <v>14</v>
      </c>
      <c r="W19" s="668">
        <f>J19</f>
        <v>100</v>
      </c>
      <c r="X19" s="1265"/>
      <c r="Y19" s="338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8"/>
      <c r="Q20" s="1263"/>
      <c r="R20" s="667"/>
      <c r="S20" s="668"/>
      <c r="T20" s="667"/>
      <c r="U20" s="668"/>
      <c r="V20" s="667"/>
      <c r="W20" s="668"/>
      <c r="X20" s="1265"/>
      <c r="Y20" s="338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8"/>
      <c r="Q21" s="1263" t="str">
        <f>B21</f>
        <v>交通便捷度</v>
      </c>
      <c r="R21" s="667" t="s">
        <v>14</v>
      </c>
      <c r="S21" s="668">
        <f>F21</f>
        <v>100</v>
      </c>
      <c r="T21" s="667" t="s">
        <v>14</v>
      </c>
      <c r="U21" s="668">
        <f>H21</f>
        <v>100</v>
      </c>
      <c r="V21" s="667" t="s">
        <v>14</v>
      </c>
      <c r="W21" s="668">
        <f>J21</f>
        <v>100</v>
      </c>
      <c r="X21" s="1265"/>
      <c r="Y21" s="338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8"/>
      <c r="Q22" s="1263"/>
      <c r="R22" s="667"/>
      <c r="S22" s="668"/>
      <c r="T22" s="667"/>
      <c r="U22" s="668"/>
      <c r="V22" s="667"/>
      <c r="W22" s="668"/>
      <c r="X22" s="1265"/>
      <c r="Y22" s="338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8"/>
      <c r="Q23" s="1263" t="str">
        <f t="shared" ref="Q23:Q37" si="8">B23</f>
        <v>区域土地利用方向</v>
      </c>
      <c r="R23" s="667" t="s">
        <v>14</v>
      </c>
      <c r="S23" s="668">
        <f>F23</f>
        <v>100</v>
      </c>
      <c r="T23" s="667" t="s">
        <v>14</v>
      </c>
      <c r="U23" s="668">
        <f>H23</f>
        <v>100</v>
      </c>
      <c r="V23" s="667" t="s">
        <v>14</v>
      </c>
      <c r="W23" s="668">
        <f>J23</f>
        <v>100</v>
      </c>
      <c r="X23" s="1265"/>
      <c r="Y23" s="338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8"/>
      <c r="Q24" s="1263"/>
      <c r="R24" s="667"/>
      <c r="S24" s="668"/>
      <c r="T24" s="667"/>
      <c r="U24" s="668"/>
      <c r="V24" s="667"/>
      <c r="W24" s="668"/>
      <c r="X24" s="1265"/>
      <c r="Y24" s="338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8"/>
      <c r="Q25" s="1263" t="str">
        <f t="shared" si="8"/>
        <v>自然及人文环境状况</v>
      </c>
      <c r="R25" s="667" t="s">
        <v>14</v>
      </c>
      <c r="S25" s="668">
        <f>F25</f>
        <v>100</v>
      </c>
      <c r="T25" s="667" t="s">
        <v>14</v>
      </c>
      <c r="U25" s="668">
        <f>H25</f>
        <v>100</v>
      </c>
      <c r="V25" s="667" t="s">
        <v>14</v>
      </c>
      <c r="W25" s="668">
        <f>J25</f>
        <v>100</v>
      </c>
      <c r="X25" s="1265"/>
      <c r="Y25" s="338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8"/>
      <c r="Q26" s="1263"/>
      <c r="R26" s="667"/>
      <c r="S26" s="668"/>
      <c r="T26" s="667"/>
      <c r="U26" s="668"/>
      <c r="V26" s="667"/>
      <c r="W26" s="668"/>
      <c r="X26" s="1265"/>
      <c r="Y26" s="338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8"/>
      <c r="Q27" s="530" t="str">
        <f t="shared" si="8"/>
        <v>公共配套设施</v>
      </c>
      <c r="R27" s="664" t="s">
        <v>14</v>
      </c>
      <c r="S27" s="665">
        <f>F27</f>
        <v>100</v>
      </c>
      <c r="T27" s="664" t="s">
        <v>14</v>
      </c>
      <c r="U27" s="665">
        <f>H27</f>
        <v>100</v>
      </c>
      <c r="V27" s="664" t="s">
        <v>14</v>
      </c>
      <c r="W27" s="665">
        <f>J27</f>
        <v>100</v>
      </c>
      <c r="X27" s="666"/>
      <c r="Y27" s="338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8"/>
      <c r="Q28" s="530"/>
      <c r="R28" s="664"/>
      <c r="S28" s="665"/>
      <c r="T28" s="664"/>
      <c r="U28" s="665"/>
      <c r="V28" s="664"/>
      <c r="W28" s="665"/>
      <c r="X28" s="666"/>
      <c r="Y28" s="338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8"/>
      <c r="Q29" s="530" t="str">
        <f t="shared" ref="Q29" si="9">B29</f>
        <v>基础设施水平</v>
      </c>
      <c r="R29" s="664" t="s">
        <v>14</v>
      </c>
      <c r="S29" s="665">
        <f>F29</f>
        <v>100</v>
      </c>
      <c r="T29" s="664" t="s">
        <v>14</v>
      </c>
      <c r="U29" s="665">
        <f>H29</f>
        <v>100</v>
      </c>
      <c r="V29" s="664" t="s">
        <v>14</v>
      </c>
      <c r="W29" s="665">
        <f>J29</f>
        <v>100</v>
      </c>
      <c r="X29" s="666"/>
      <c r="Y29" s="338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8"/>
      <c r="Q30" s="530"/>
      <c r="R30" s="664"/>
      <c r="S30" s="665"/>
      <c r="T30" s="664"/>
      <c r="U30" s="665"/>
      <c r="V30" s="664"/>
      <c r="W30" s="665"/>
      <c r="X30" s="666"/>
      <c r="Y30" s="338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8"/>
      <c r="Q32" s="1263" t="str">
        <f t="shared" si="8"/>
        <v>毗邻道路的类型与等级</v>
      </c>
      <c r="R32" s="667" t="s">
        <v>14</v>
      </c>
      <c r="S32" s="668">
        <f t="shared" si="10"/>
        <v>100</v>
      </c>
      <c r="T32" s="667" t="s">
        <v>14</v>
      </c>
      <c r="U32" s="668">
        <f t="shared" si="11"/>
        <v>100</v>
      </c>
      <c r="V32" s="667" t="s">
        <v>14</v>
      </c>
      <c r="W32" s="668">
        <f t="shared" si="12"/>
        <v>100</v>
      </c>
      <c r="X32" s="1265"/>
      <c r="Y32" s="338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8"/>
      <c r="Q33" s="1263"/>
      <c r="R33" s="667"/>
      <c r="S33" s="668"/>
      <c r="T33" s="667"/>
      <c r="U33" s="668"/>
      <c r="V33" s="667"/>
      <c r="W33" s="668"/>
      <c r="X33" s="1265"/>
      <c r="Y33" s="338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8"/>
      <c r="Q34" s="1263" t="str">
        <f t="shared" si="8"/>
        <v>土地级别</v>
      </c>
      <c r="R34" s="667" t="s">
        <v>14</v>
      </c>
      <c r="S34" s="668">
        <f t="shared" si="10"/>
        <v>100</v>
      </c>
      <c r="T34" s="667" t="s">
        <v>14</v>
      </c>
      <c r="U34" s="668">
        <f t="shared" si="11"/>
        <v>100</v>
      </c>
      <c r="V34" s="667" t="s">
        <v>14</v>
      </c>
      <c r="W34" s="668">
        <f t="shared" si="12"/>
        <v>100</v>
      </c>
      <c r="X34" s="1265"/>
      <c r="Y34" s="338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8"/>
      <c r="Q35" s="1263">
        <f t="shared" si="8"/>
        <v>111</v>
      </c>
      <c r="R35" s="667" t="s">
        <v>14</v>
      </c>
      <c r="S35" s="668">
        <f t="shared" si="10"/>
        <v>100</v>
      </c>
      <c r="T35" s="667" t="s">
        <v>14</v>
      </c>
      <c r="U35" s="668">
        <f t="shared" si="11"/>
        <v>100</v>
      </c>
      <c r="V35" s="667" t="s">
        <v>14</v>
      </c>
      <c r="W35" s="668">
        <f t="shared" si="12"/>
        <v>100</v>
      </c>
      <c r="X35" s="1265"/>
      <c r="Y35" s="338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2" t="s">
        <v>1696</v>
      </c>
      <c r="Q36" s="1263">
        <f t="shared" si="8"/>
        <v>111</v>
      </c>
      <c r="R36" s="667" t="s">
        <v>14</v>
      </c>
      <c r="S36" s="668">
        <f t="shared" si="10"/>
        <v>100</v>
      </c>
      <c r="T36" s="667" t="s">
        <v>14</v>
      </c>
      <c r="U36" s="668">
        <f t="shared" si="11"/>
        <v>100</v>
      </c>
      <c r="V36" s="667" t="s">
        <v>14</v>
      </c>
      <c r="W36" s="668">
        <f t="shared" si="12"/>
        <v>100</v>
      </c>
      <c r="X36" s="1265"/>
      <c r="Y36" s="339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2"/>
      <c r="Q37" s="1263">
        <f t="shared" si="8"/>
        <v>111</v>
      </c>
      <c r="R37" s="669" t="s">
        <v>14</v>
      </c>
      <c r="S37" s="670">
        <f t="shared" si="10"/>
        <v>100</v>
      </c>
      <c r="T37" s="669" t="s">
        <v>14</v>
      </c>
      <c r="U37" s="670">
        <f t="shared" si="11"/>
        <v>100</v>
      </c>
      <c r="V37" s="669" t="s">
        <v>14</v>
      </c>
      <c r="W37" s="670">
        <f t="shared" si="12"/>
        <v>100</v>
      </c>
      <c r="X37" s="671"/>
      <c r="Y37" s="339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2"/>
      <c r="Q38" s="1263" t="str">
        <f>B38</f>
        <v>宗地面积</v>
      </c>
      <c r="R38" s="667" t="s">
        <v>14</v>
      </c>
      <c r="S38" s="668" t="e">
        <f t="shared" si="10"/>
        <v>#N/A</v>
      </c>
      <c r="T38" s="667" t="s">
        <v>14</v>
      </c>
      <c r="U38" s="668" t="e">
        <f t="shared" si="11"/>
        <v>#N/A</v>
      </c>
      <c r="V38" s="667" t="s">
        <v>14</v>
      </c>
      <c r="W38" s="668" t="e">
        <f t="shared" si="12"/>
        <v>#N/A</v>
      </c>
      <c r="X38" s="1265"/>
      <c r="Y38" s="339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92"/>
      <c r="Q39" s="1263" t="str">
        <f t="shared" ref="Q39:Q45" si="14">B39</f>
        <v>宗地形状</v>
      </c>
      <c r="R39" s="667" t="s">
        <v>14</v>
      </c>
      <c r="S39" s="668">
        <f t="shared" si="10"/>
        <v>100</v>
      </c>
      <c r="T39" s="667" t="s">
        <v>14</v>
      </c>
      <c r="U39" s="668">
        <f t="shared" si="11"/>
        <v>100</v>
      </c>
      <c r="V39" s="667" t="s">
        <v>14</v>
      </c>
      <c r="W39" s="668">
        <f t="shared" si="12"/>
        <v>100</v>
      </c>
      <c r="X39" s="1265"/>
      <c r="Y39" s="339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92"/>
      <c r="Q40" s="1263" t="str">
        <f t="shared" si="14"/>
        <v>临街宽度及深度</v>
      </c>
      <c r="R40" s="667" t="s">
        <v>14</v>
      </c>
      <c r="S40" s="668">
        <f t="shared" si="10"/>
        <v>100</v>
      </c>
      <c r="T40" s="667" t="s">
        <v>14</v>
      </c>
      <c r="U40" s="668">
        <f t="shared" si="11"/>
        <v>100</v>
      </c>
      <c r="V40" s="667" t="s">
        <v>14</v>
      </c>
      <c r="W40" s="668">
        <f t="shared" si="12"/>
        <v>100</v>
      </c>
      <c r="X40" s="1265"/>
      <c r="Y40" s="339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92"/>
      <c r="Q41" s="1263" t="str">
        <f t="shared" si="14"/>
        <v>宗地开发程度</v>
      </c>
      <c r="R41" s="664" t="s">
        <v>14</v>
      </c>
      <c r="S41" s="665">
        <f t="shared" si="10"/>
        <v>100</v>
      </c>
      <c r="T41" s="664" t="s">
        <v>14</v>
      </c>
      <c r="U41" s="665">
        <f t="shared" si="11"/>
        <v>100</v>
      </c>
      <c r="V41" s="664" t="s">
        <v>14</v>
      </c>
      <c r="W41" s="665">
        <f t="shared" si="12"/>
        <v>100</v>
      </c>
      <c r="X41" s="666"/>
      <c r="Y41" s="339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92" t="s">
        <v>1696</v>
      </c>
      <c r="Q42" s="1263" t="str">
        <f t="shared" si="14"/>
        <v>工程地质条件</v>
      </c>
      <c r="R42" s="667" t="s">
        <v>14</v>
      </c>
      <c r="S42" s="668">
        <f t="shared" si="10"/>
        <v>100</v>
      </c>
      <c r="T42" s="667" t="s">
        <v>14</v>
      </c>
      <c r="U42" s="668">
        <f t="shared" si="11"/>
        <v>100</v>
      </c>
      <c r="V42" s="667" t="s">
        <v>14</v>
      </c>
      <c r="W42" s="668">
        <f t="shared" si="12"/>
        <v>100</v>
      </c>
      <c r="X42" s="1265"/>
      <c r="Y42" s="339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2"/>
      <c r="Q43" s="1263">
        <f t="shared" si="14"/>
        <v>111</v>
      </c>
      <c r="R43" s="667" t="s">
        <v>14</v>
      </c>
      <c r="S43" s="668">
        <f t="shared" si="10"/>
        <v>100</v>
      </c>
      <c r="T43" s="667" t="s">
        <v>14</v>
      </c>
      <c r="U43" s="668">
        <f t="shared" si="11"/>
        <v>100</v>
      </c>
      <c r="V43" s="667" t="s">
        <v>14</v>
      </c>
      <c r="W43" s="668">
        <f t="shared" si="12"/>
        <v>100</v>
      </c>
      <c r="X43" s="1265"/>
      <c r="Y43" s="339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2"/>
      <c r="Q44" s="1263">
        <f t="shared" si="14"/>
        <v>111</v>
      </c>
      <c r="R44" s="667" t="s">
        <v>14</v>
      </c>
      <c r="S44" s="668">
        <f t="shared" si="10"/>
        <v>100</v>
      </c>
      <c r="T44" s="667" t="s">
        <v>14</v>
      </c>
      <c r="U44" s="668">
        <f t="shared" si="11"/>
        <v>100</v>
      </c>
      <c r="V44" s="667" t="s">
        <v>14</v>
      </c>
      <c r="W44" s="668">
        <f t="shared" si="12"/>
        <v>100</v>
      </c>
      <c r="X44" s="1265"/>
      <c r="Y44" s="339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2"/>
      <c r="Q45" s="1263">
        <f t="shared" si="14"/>
        <v>111</v>
      </c>
      <c r="R45" s="669" t="s">
        <v>14</v>
      </c>
      <c r="S45" s="670">
        <f t="shared" si="10"/>
        <v>100</v>
      </c>
      <c r="T45" s="669" t="s">
        <v>14</v>
      </c>
      <c r="U45" s="670">
        <f t="shared" si="11"/>
        <v>100</v>
      </c>
      <c r="V45" s="669" t="s">
        <v>14</v>
      </c>
      <c r="W45" s="670">
        <f t="shared" si="12"/>
        <v>100</v>
      </c>
      <c r="X45" s="671"/>
      <c r="Y45" s="339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85" t="str">
        <f>A46</f>
        <v>成交单价</v>
      </c>
      <c r="Q46" s="3385"/>
      <c r="R46" s="3386">
        <f>E46</f>
        <v>0</v>
      </c>
      <c r="S46" s="3386"/>
      <c r="T46" s="3386">
        <f>G46</f>
        <v>0</v>
      </c>
      <c r="U46" s="3386"/>
      <c r="V46" s="3386">
        <f>I46</f>
        <v>0</v>
      </c>
      <c r="W46" s="338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5" t="str">
        <f>A47</f>
        <v>比较价值（元/平方米）</v>
      </c>
      <c r="Q47" s="3385"/>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82" t="str">
        <f>A48</f>
        <v>估价对象XX用房的比较价值（楼面单价，元/平方米）</v>
      </c>
      <c r="Q48" s="3383"/>
      <c r="R48" s="3464" t="e">
        <f>ROUND(IF(D47="简单平均",AVERAGE(R47:W47),R47*F47+T47*H47+V47*J47),0)</f>
        <v>#DIV/0!</v>
      </c>
      <c r="S48" s="3464"/>
      <c r="T48" s="3464"/>
      <c r="U48" s="3464"/>
      <c r="V48" s="3464"/>
      <c r="W48" s="346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00" t="s">
        <v>1887</v>
      </c>
      <c r="H55" s="3465"/>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0</v>
      </c>
      <c r="F56" s="833" t="e">
        <f t="shared" ref="F56:F64" si="15">ROUND(B56*E56/10000,0)</f>
        <v>#DIV/0!</v>
      </c>
      <c r="G56" s="3396"/>
      <c r="H56" s="338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一级</v>
      </c>
      <c r="I57" s="838">
        <f>SUMIF(修正!A59:A70,H57,修正!B59:B70)</f>
        <v>0.7</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一级</v>
      </c>
      <c r="I58" s="838">
        <f>SUMIF(修正!A59:A70,H58,修正!C59:C70)</f>
        <v>0.4</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一级</v>
      </c>
      <c r="I59" s="838">
        <f>SUMIF(修正!A59:A70,H59,修正!D59:D70)</f>
        <v>0.3</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SUMIF(修正!A59:A70,H60,修正!E59:E70)</f>
        <v>0.3</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SUMIF(修正!A59:A70,H61,修正!F59:F70)</f>
        <v>0.3</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0.2</v>
      </c>
      <c r="D62" s="891">
        <v>0.25</v>
      </c>
      <c r="E62" s="209">
        <f>'数据-汇总表'!E13</f>
        <v>12021.93</v>
      </c>
      <c r="F62" s="833" t="e">
        <f t="shared" si="15"/>
        <v>#DIV/0!</v>
      </c>
      <c r="G62" s="839" t="s">
        <v>1900</v>
      </c>
      <c r="H62" s="834" t="str">
        <f>IF(G62="商业",项目基本情况!B37,IF(G62="办公",项目基本情况!C37,IF(G62="住宅",项目基本情况!D37,项目基本情况!E37)))</f>
        <v>一级</v>
      </c>
      <c r="I62" s="838">
        <f>SUMIF(修正!A59:A70,H62,修正!G59:G70)</f>
        <v>0.2</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SUMIF(修正!A59:A70,H63,修正!G59:G70)</f>
        <v>0.2</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SUMIF(修正!A59:A70,H64,修正!G59:G70)</f>
        <v>0.2</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12021.93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6"/>
      <c r="M4" s="2487"/>
      <c r="N4" s="2487"/>
      <c r="O4" s="2487"/>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ht="15">
      <c r="A5" s="348"/>
      <c r="B5" s="349"/>
      <c r="C5" s="3418" t="s">
        <v>1673</v>
      </c>
      <c r="D5" s="3419"/>
      <c r="E5" s="3425" t="s">
        <v>1674</v>
      </c>
      <c r="F5" s="3426"/>
      <c r="G5" s="3418" t="s">
        <v>1675</v>
      </c>
      <c r="H5" s="3419"/>
      <c r="I5" s="3418" t="s">
        <v>1676</v>
      </c>
      <c r="J5" s="3419"/>
      <c r="K5" s="537"/>
      <c r="L5" s="2486"/>
      <c r="M5" s="2487"/>
      <c r="N5" s="2487"/>
      <c r="O5" s="2487"/>
      <c r="P5" s="3406"/>
      <c r="Q5" s="3407"/>
      <c r="R5" s="3412"/>
      <c r="S5" s="3413"/>
      <c r="T5" s="3412"/>
      <c r="U5" s="3413"/>
      <c r="V5" s="3386"/>
      <c r="W5" s="3386"/>
      <c r="X5" s="1265"/>
      <c r="Y5" s="3412"/>
      <c r="Z5" s="3413"/>
      <c r="AA5" s="3398"/>
      <c r="AB5" s="3398"/>
      <c r="AC5" s="3398"/>
    </row>
    <row r="6" spans="1:29" ht="15.75" thickBot="1">
      <c r="A6" s="350"/>
      <c r="B6" s="351"/>
      <c r="C6" s="3466" t="s">
        <v>1919</v>
      </c>
      <c r="D6" s="3467"/>
      <c r="E6" s="3468" t="s">
        <v>1919</v>
      </c>
      <c r="F6" s="3469"/>
      <c r="G6" s="3466" t="s">
        <v>1919</v>
      </c>
      <c r="H6" s="3467"/>
      <c r="I6" s="3466" t="s">
        <v>1919</v>
      </c>
      <c r="J6" s="3467"/>
      <c r="K6" s="537" t="s">
        <v>1678</v>
      </c>
      <c r="L6" s="2486"/>
      <c r="M6" s="2487"/>
      <c r="N6" s="2487"/>
      <c r="O6" s="2487"/>
      <c r="P6" s="3408"/>
      <c r="Q6" s="3409"/>
      <c r="R6" s="3412"/>
      <c r="S6" s="3413"/>
      <c r="T6" s="3414"/>
      <c r="U6" s="3415"/>
      <c r="V6" s="3386"/>
      <c r="W6" s="3386"/>
      <c r="X6" s="1265"/>
      <c r="Y6" s="3414"/>
      <c r="Z6" s="3415"/>
      <c r="AA6" s="3399"/>
      <c r="AB6" s="3399"/>
      <c r="AC6" s="3399"/>
    </row>
    <row r="7" spans="1:29" s="102" customFormat="1" ht="15.75" thickBot="1">
      <c r="A7" s="352" t="s">
        <v>1679</v>
      </c>
      <c r="B7" s="353"/>
      <c r="C7" s="354">
        <f>'数据-取费表'!B2</f>
        <v>45854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0" t="s">
        <v>1683</v>
      </c>
      <c r="Q8" s="3421"/>
      <c r="R8" s="664" t="s">
        <v>14</v>
      </c>
      <c r="S8" s="665">
        <f t="shared" si="0"/>
        <v>0</v>
      </c>
      <c r="T8" s="664" t="s">
        <v>14</v>
      </c>
      <c r="U8" s="665">
        <f t="shared" si="1"/>
        <v>0</v>
      </c>
      <c r="V8" s="664" t="s">
        <v>14</v>
      </c>
      <c r="W8" s="665">
        <f t="shared" si="2"/>
        <v>0</v>
      </c>
      <c r="X8" s="666"/>
      <c r="Y8" s="3420" t="s">
        <v>1683</v>
      </c>
      <c r="Z8" s="342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89"/>
      <c r="M10" s="2490"/>
      <c r="N10" s="2490"/>
      <c r="O10" s="2541"/>
      <c r="P10" s="3385"/>
      <c r="Q10" s="530" t="str">
        <f t="shared" si="6"/>
        <v>土地使用年限（年）</v>
      </c>
      <c r="R10" s="664" t="s">
        <v>14</v>
      </c>
      <c r="S10" s="665">
        <f t="shared" si="0"/>
        <v>116</v>
      </c>
      <c r="T10" s="664" t="s">
        <v>14</v>
      </c>
      <c r="U10" s="665">
        <f t="shared" si="1"/>
        <v>116</v>
      </c>
      <c r="V10" s="664" t="s">
        <v>14</v>
      </c>
      <c r="W10" s="665">
        <f t="shared" si="2"/>
        <v>116</v>
      </c>
      <c r="X10" s="666"/>
      <c r="Y10" s="3260"/>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5"/>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8"/>
      <c r="Q16" s="1263"/>
      <c r="R16" s="667"/>
      <c r="S16" s="668"/>
      <c r="T16" s="667"/>
      <c r="U16" s="668"/>
      <c r="V16" s="667"/>
      <c r="W16" s="668"/>
      <c r="X16" s="1265"/>
      <c r="Y16" s="338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8"/>
      <c r="Q18" s="1263"/>
      <c r="R18" s="667"/>
      <c r="S18" s="668"/>
      <c r="T18" s="667"/>
      <c r="U18" s="668"/>
      <c r="V18" s="667"/>
      <c r="W18" s="668"/>
      <c r="X18" s="1265"/>
      <c r="Y18" s="338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8"/>
      <c r="Q19" s="1263" t="str">
        <f t="shared" ref="Q19:Q33" si="8">B19</f>
        <v>区域土地利用方向</v>
      </c>
      <c r="R19" s="667" t="s">
        <v>14</v>
      </c>
      <c r="S19" s="668">
        <f>F19</f>
        <v>100</v>
      </c>
      <c r="T19" s="667" t="s">
        <v>14</v>
      </c>
      <c r="U19" s="668">
        <f>H19</f>
        <v>100</v>
      </c>
      <c r="V19" s="667" t="s">
        <v>14</v>
      </c>
      <c r="W19" s="668">
        <f>J19</f>
        <v>100</v>
      </c>
      <c r="X19" s="1265"/>
      <c r="Y19" s="338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8"/>
      <c r="Q20" s="1263"/>
      <c r="R20" s="667"/>
      <c r="S20" s="668"/>
      <c r="T20" s="667"/>
      <c r="U20" s="668"/>
      <c r="V20" s="667"/>
      <c r="W20" s="668"/>
      <c r="X20" s="1265"/>
      <c r="Y20" s="338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8"/>
      <c r="Q21" s="1263" t="str">
        <f t="shared" si="8"/>
        <v>环境状况</v>
      </c>
      <c r="R21" s="667" t="s">
        <v>14</v>
      </c>
      <c r="S21" s="668">
        <f>F21</f>
        <v>100</v>
      </c>
      <c r="T21" s="667" t="s">
        <v>14</v>
      </c>
      <c r="U21" s="668">
        <f>H21</f>
        <v>100</v>
      </c>
      <c r="V21" s="667" t="s">
        <v>14</v>
      </c>
      <c r="W21" s="668">
        <f>J21</f>
        <v>100</v>
      </c>
      <c r="X21" s="1265"/>
      <c r="Y21" s="338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8"/>
      <c r="Q22" s="1263"/>
      <c r="R22" s="667"/>
      <c r="S22" s="668"/>
      <c r="T22" s="667"/>
      <c r="U22" s="668"/>
      <c r="V22" s="667"/>
      <c r="W22" s="668"/>
      <c r="X22" s="1265"/>
      <c r="Y22" s="338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8"/>
      <c r="Q23" s="530" t="str">
        <f t="shared" si="8"/>
        <v>公共配套设施</v>
      </c>
      <c r="R23" s="664" t="s">
        <v>14</v>
      </c>
      <c r="S23" s="665">
        <f>F23</f>
        <v>100</v>
      </c>
      <c r="T23" s="664" t="s">
        <v>14</v>
      </c>
      <c r="U23" s="665">
        <f>H23</f>
        <v>100</v>
      </c>
      <c r="V23" s="664" t="s">
        <v>14</v>
      </c>
      <c r="W23" s="665">
        <f>J23</f>
        <v>100</v>
      </c>
      <c r="X23" s="666"/>
      <c r="Y23" s="338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8"/>
      <c r="Q24" s="530"/>
      <c r="R24" s="664"/>
      <c r="S24" s="665"/>
      <c r="T24" s="664"/>
      <c r="U24" s="665"/>
      <c r="V24" s="664"/>
      <c r="W24" s="665"/>
      <c r="X24" s="666"/>
      <c r="Y24" s="338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8"/>
      <c r="Q25" s="530" t="str">
        <f t="shared" ref="Q25" si="9">B25</f>
        <v>基础设施水平</v>
      </c>
      <c r="R25" s="664" t="s">
        <v>14</v>
      </c>
      <c r="S25" s="665">
        <f>F25</f>
        <v>100</v>
      </c>
      <c r="T25" s="664" t="s">
        <v>14</v>
      </c>
      <c r="U25" s="665">
        <f>H25</f>
        <v>100</v>
      </c>
      <c r="V25" s="664" t="s">
        <v>14</v>
      </c>
      <c r="W25" s="665">
        <f>J25</f>
        <v>100</v>
      </c>
      <c r="X25" s="666"/>
      <c r="Y25" s="338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8"/>
      <c r="Q26" s="530"/>
      <c r="R26" s="664"/>
      <c r="S26" s="665"/>
      <c r="T26" s="664"/>
      <c r="U26" s="665"/>
      <c r="V26" s="664"/>
      <c r="W26" s="665"/>
      <c r="X26" s="666"/>
      <c r="Y26" s="338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8"/>
      <c r="Q28" s="1263" t="str">
        <f t="shared" si="8"/>
        <v>毗邻道路的类型与等级</v>
      </c>
      <c r="R28" s="667" t="s">
        <v>14</v>
      </c>
      <c r="S28" s="668">
        <f t="shared" si="10"/>
        <v>100</v>
      </c>
      <c r="T28" s="667" t="s">
        <v>14</v>
      </c>
      <c r="U28" s="668">
        <f t="shared" si="11"/>
        <v>100</v>
      </c>
      <c r="V28" s="667" t="s">
        <v>14</v>
      </c>
      <c r="W28" s="668">
        <f t="shared" si="12"/>
        <v>100</v>
      </c>
      <c r="X28" s="1265"/>
      <c r="Y28" s="338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8"/>
      <c r="Q29" s="1263"/>
      <c r="R29" s="667"/>
      <c r="S29" s="668"/>
      <c r="T29" s="667"/>
      <c r="U29" s="668"/>
      <c r="V29" s="667"/>
      <c r="W29" s="668"/>
      <c r="X29" s="1265"/>
      <c r="Y29" s="338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8"/>
      <c r="Q30" s="1263" t="str">
        <f t="shared" si="8"/>
        <v>土地级别</v>
      </c>
      <c r="R30" s="667" t="s">
        <v>14</v>
      </c>
      <c r="S30" s="668">
        <f t="shared" si="10"/>
        <v>100</v>
      </c>
      <c r="T30" s="667" t="s">
        <v>14</v>
      </c>
      <c r="U30" s="668">
        <f t="shared" si="11"/>
        <v>100</v>
      </c>
      <c r="V30" s="667" t="s">
        <v>14</v>
      </c>
      <c r="W30" s="668">
        <f t="shared" si="12"/>
        <v>100</v>
      </c>
      <c r="X30" s="1265"/>
      <c r="Y30" s="338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8"/>
      <c r="Q31" s="1263">
        <f t="shared" si="8"/>
        <v>111</v>
      </c>
      <c r="R31" s="667" t="s">
        <v>14</v>
      </c>
      <c r="S31" s="668">
        <f t="shared" si="10"/>
        <v>100</v>
      </c>
      <c r="T31" s="667" t="s">
        <v>14</v>
      </c>
      <c r="U31" s="668">
        <f t="shared" si="11"/>
        <v>100</v>
      </c>
      <c r="V31" s="667" t="s">
        <v>14</v>
      </c>
      <c r="W31" s="668">
        <f t="shared" si="12"/>
        <v>100</v>
      </c>
      <c r="X31" s="1265"/>
      <c r="Y31" s="338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2" t="s">
        <v>1696</v>
      </c>
      <c r="Q32" s="1263">
        <f t="shared" si="8"/>
        <v>111</v>
      </c>
      <c r="R32" s="667" t="s">
        <v>14</v>
      </c>
      <c r="S32" s="668">
        <f t="shared" si="10"/>
        <v>100</v>
      </c>
      <c r="T32" s="667" t="s">
        <v>14</v>
      </c>
      <c r="U32" s="668">
        <f t="shared" si="11"/>
        <v>100</v>
      </c>
      <c r="V32" s="667" t="s">
        <v>14</v>
      </c>
      <c r="W32" s="668">
        <f t="shared" si="12"/>
        <v>100</v>
      </c>
      <c r="X32" s="1265"/>
      <c r="Y32" s="339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2"/>
      <c r="Q33" s="1263">
        <f t="shared" si="8"/>
        <v>111</v>
      </c>
      <c r="R33" s="669" t="s">
        <v>14</v>
      </c>
      <c r="S33" s="670">
        <f t="shared" si="10"/>
        <v>100</v>
      </c>
      <c r="T33" s="669" t="s">
        <v>14</v>
      </c>
      <c r="U33" s="670">
        <f t="shared" si="11"/>
        <v>100</v>
      </c>
      <c r="V33" s="669" t="s">
        <v>14</v>
      </c>
      <c r="W33" s="670">
        <f t="shared" si="12"/>
        <v>100</v>
      </c>
      <c r="X33" s="671"/>
      <c r="Y33" s="339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2"/>
      <c r="Q34" s="1263" t="str">
        <f>B34</f>
        <v>宗地面积</v>
      </c>
      <c r="R34" s="667" t="s">
        <v>14</v>
      </c>
      <c r="S34" s="668" t="e">
        <f t="shared" si="10"/>
        <v>#N/A</v>
      </c>
      <c r="T34" s="667" t="s">
        <v>14</v>
      </c>
      <c r="U34" s="668" t="e">
        <f t="shared" si="11"/>
        <v>#N/A</v>
      </c>
      <c r="V34" s="667" t="s">
        <v>14</v>
      </c>
      <c r="W34" s="668" t="e">
        <f t="shared" si="12"/>
        <v>#N/A</v>
      </c>
      <c r="X34" s="1265"/>
      <c r="Y34" s="339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92"/>
      <c r="Q35" s="1263" t="str">
        <f t="shared" ref="Q35:Q40" si="14">B35</f>
        <v>宗地形状</v>
      </c>
      <c r="R35" s="667" t="s">
        <v>14</v>
      </c>
      <c r="S35" s="668">
        <f t="shared" si="10"/>
        <v>100</v>
      </c>
      <c r="T35" s="667" t="s">
        <v>14</v>
      </c>
      <c r="U35" s="668">
        <f t="shared" si="11"/>
        <v>100</v>
      </c>
      <c r="V35" s="667" t="s">
        <v>14</v>
      </c>
      <c r="W35" s="668">
        <f t="shared" si="12"/>
        <v>100</v>
      </c>
      <c r="X35" s="1265"/>
      <c r="Y35" s="339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92"/>
      <c r="Q36" s="1263" t="str">
        <f t="shared" si="14"/>
        <v>宗地开发程度</v>
      </c>
      <c r="R36" s="664" t="s">
        <v>14</v>
      </c>
      <c r="S36" s="665">
        <f t="shared" si="10"/>
        <v>100</v>
      </c>
      <c r="T36" s="664" t="s">
        <v>14</v>
      </c>
      <c r="U36" s="665">
        <f t="shared" si="11"/>
        <v>100</v>
      </c>
      <c r="V36" s="664" t="s">
        <v>14</v>
      </c>
      <c r="W36" s="665">
        <f t="shared" si="12"/>
        <v>100</v>
      </c>
      <c r="X36" s="666"/>
      <c r="Y36" s="339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92" t="s">
        <v>1696</v>
      </c>
      <c r="Q37" s="1263" t="str">
        <f t="shared" si="14"/>
        <v>工程地质条件</v>
      </c>
      <c r="R37" s="667" t="s">
        <v>14</v>
      </c>
      <c r="S37" s="668">
        <f t="shared" si="10"/>
        <v>100</v>
      </c>
      <c r="T37" s="667" t="s">
        <v>14</v>
      </c>
      <c r="U37" s="668">
        <f t="shared" si="11"/>
        <v>100</v>
      </c>
      <c r="V37" s="667" t="s">
        <v>14</v>
      </c>
      <c r="W37" s="668">
        <f t="shared" si="12"/>
        <v>100</v>
      </c>
      <c r="X37" s="1265"/>
      <c r="Y37" s="339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2"/>
      <c r="Q38" s="1263">
        <f t="shared" si="14"/>
        <v>111</v>
      </c>
      <c r="R38" s="667" t="s">
        <v>14</v>
      </c>
      <c r="S38" s="668">
        <f t="shared" si="10"/>
        <v>100</v>
      </c>
      <c r="T38" s="667" t="s">
        <v>14</v>
      </c>
      <c r="U38" s="668">
        <f t="shared" si="11"/>
        <v>100</v>
      </c>
      <c r="V38" s="667" t="s">
        <v>14</v>
      </c>
      <c r="W38" s="668">
        <f t="shared" si="12"/>
        <v>100</v>
      </c>
      <c r="X38" s="1265"/>
      <c r="Y38" s="339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2"/>
      <c r="Q39" s="1263">
        <f t="shared" si="14"/>
        <v>111</v>
      </c>
      <c r="R39" s="667" t="s">
        <v>14</v>
      </c>
      <c r="S39" s="668">
        <f t="shared" si="10"/>
        <v>100</v>
      </c>
      <c r="T39" s="667" t="s">
        <v>14</v>
      </c>
      <c r="U39" s="668">
        <f t="shared" si="11"/>
        <v>100</v>
      </c>
      <c r="V39" s="667" t="s">
        <v>14</v>
      </c>
      <c r="W39" s="668">
        <f t="shared" si="12"/>
        <v>100</v>
      </c>
      <c r="X39" s="1265"/>
      <c r="Y39" s="339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2"/>
      <c r="Q40" s="1263">
        <f t="shared" si="14"/>
        <v>111</v>
      </c>
      <c r="R40" s="669" t="s">
        <v>14</v>
      </c>
      <c r="S40" s="670">
        <f t="shared" si="10"/>
        <v>100</v>
      </c>
      <c r="T40" s="669" t="s">
        <v>14</v>
      </c>
      <c r="U40" s="670">
        <f t="shared" si="11"/>
        <v>100</v>
      </c>
      <c r="V40" s="669" t="s">
        <v>14</v>
      </c>
      <c r="W40" s="670">
        <f t="shared" si="12"/>
        <v>100</v>
      </c>
      <c r="X40" s="671"/>
      <c r="Y40" s="339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85" t="str">
        <f>A41</f>
        <v>成交单价</v>
      </c>
      <c r="Q41" s="3385"/>
      <c r="R41" s="3386">
        <f>E41</f>
        <v>0</v>
      </c>
      <c r="S41" s="3386"/>
      <c r="T41" s="3386">
        <f>G41</f>
        <v>0</v>
      </c>
      <c r="U41" s="3386"/>
      <c r="V41" s="3386">
        <f>I41</f>
        <v>0</v>
      </c>
      <c r="W41" s="338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5" t="str">
        <f>A42</f>
        <v>比较价值（元/平方米）</v>
      </c>
      <c r="Q42" s="3385"/>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82" t="str">
        <f>A43</f>
        <v>估价对象XX用房的比较价值（楼面单价，元/平方米）</v>
      </c>
      <c r="Q43" s="3383"/>
      <c r="R43" s="3464" t="e">
        <f>ROUND(IF(D42="简单平均",AVERAGE(R42:W42),R42*F42+T42*H42+V42*J42),0)</f>
        <v>#DIV/0!</v>
      </c>
      <c r="S43" s="3464"/>
      <c r="T43" s="3464"/>
      <c r="U43" s="3464"/>
      <c r="V43" s="3464"/>
      <c r="W43" s="346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00" t="s">
        <v>1887</v>
      </c>
      <c r="H50" s="3465"/>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0</v>
      </c>
      <c r="F51" s="611" t="e">
        <f t="shared" ref="F51:F60" si="15">ROUND(B51*E51/10000,0)</f>
        <v>#DIV/0!</v>
      </c>
      <c r="G51" s="3396"/>
      <c r="H51" s="338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一级</v>
      </c>
      <c r="I52" s="727">
        <f>SUMIF(修正!A59:A70,H52,修正!B59:B70)</f>
        <v>0.7</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一级</v>
      </c>
      <c r="I53" s="727">
        <f>SUMIF(修正!A59:A70,H53,修正!C59:C70)</f>
        <v>0.4</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一级</v>
      </c>
      <c r="I54" s="727">
        <f>SUMIF(修正!A59:A70,H54,修正!D59:D70)</f>
        <v>0.3</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SUMIF(修正!A59:A70,H56,修正!E59:E70)</f>
        <v>0.3</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SUMIF(修正!A59:A70,H57,修正!F59:F70)</f>
        <v>0.3</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0.2</v>
      </c>
      <c r="D58" s="891">
        <v>0.25</v>
      </c>
      <c r="E58" s="209">
        <f>'数据-汇总表'!E13</f>
        <v>12021.93</v>
      </c>
      <c r="F58" s="611" t="e">
        <f t="shared" si="15"/>
        <v>#DIV/0!</v>
      </c>
      <c r="G58" s="839" t="s">
        <v>1900</v>
      </c>
      <c r="H58" s="834" t="str">
        <f>IF(G58="商业",项目基本情况!B37,IF(G58="办公",项目基本情况!C37,IF(G58="住宅",项目基本情况!D37,项目基本情况!E37)))</f>
        <v>一级</v>
      </c>
      <c r="I58" s="727">
        <f>SUMIF(修正!A59:A70,H58,修正!G59:G70)</f>
        <v>0.2</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SUMIF(修正!A59:A70,H59,修正!G59:G70)</f>
        <v>0.2</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SUMIF(修正!A59:A70,H60,修正!G59:G70)</f>
        <v>0.2</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3" t="s">
        <v>2084</v>
      </c>
      <c r="D1" s="3474"/>
      <c r="E1" s="3474"/>
      <c r="F1" s="3474"/>
      <c r="G1" s="3474"/>
      <c r="H1" s="3474"/>
      <c r="I1" s="3474"/>
      <c r="J1" s="3474"/>
      <c r="K1" s="3474"/>
      <c r="L1" s="3474"/>
      <c r="M1" s="3474"/>
      <c r="N1" s="3474"/>
      <c r="O1" s="3474"/>
      <c r="P1" s="3474"/>
      <c r="Q1" s="3474"/>
      <c r="R1" s="3474"/>
      <c r="S1" s="347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7466</v>
      </c>
      <c r="C2" s="1984" t="s">
        <v>2074</v>
      </c>
      <c r="D2" s="1984" t="s">
        <v>2075</v>
      </c>
      <c r="E2" s="2397">
        <f ca="1">SUMIF(E6:E13,"&lt;&gt;#ref!",E6:E13)</f>
        <v>12021.93</v>
      </c>
      <c r="F2" s="2544"/>
      <c r="G2" s="2544"/>
      <c r="H2" s="2544"/>
      <c r="I2" s="2544"/>
      <c r="J2" s="2544"/>
      <c r="K2" s="2544"/>
      <c r="L2" s="2544"/>
      <c r="M2" s="2544"/>
      <c r="N2" s="2544"/>
      <c r="O2" s="2544"/>
      <c r="P2" s="2544"/>
    </row>
    <row r="3" spans="1:16" ht="15.75">
      <c r="A3" s="1984" t="s">
        <v>2076</v>
      </c>
      <c r="B3" s="2387">
        <f ca="1">ROUND(B2*10000/E2,0)</f>
        <v>6210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7466</v>
      </c>
      <c r="C6" s="1984" t="s">
        <v>2074</v>
      </c>
      <c r="D6" s="2544"/>
      <c r="E6" s="2397">
        <f ca="1">SUMIF(INDIRECT("'"&amp;A6&amp;"'"&amp;"!C:C"),"建筑面积",INDIRECT("'"&amp;A6&amp;"'"&amp;"!D:D"))</f>
        <v>12021.93</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487" t="s">
        <v>2598</v>
      </c>
      <c r="B20" s="3480" t="s">
        <v>2619</v>
      </c>
      <c r="C20" s="3168" t="s">
        <v>2430</v>
      </c>
      <c r="D20" s="3168"/>
      <c r="E20" s="2844">
        <v>1</v>
      </c>
      <c r="F20" s="2845" t="s">
        <v>2431</v>
      </c>
      <c r="G20" s="2845"/>
    </row>
    <row r="21" spans="1:13" ht="19.5" customHeight="1">
      <c r="A21" s="3488"/>
      <c r="B21" s="3476"/>
      <c r="C21" s="2857" t="s">
        <v>2432</v>
      </c>
      <c r="D21" s="2857"/>
      <c r="E21" s="2848">
        <v>1</v>
      </c>
      <c r="F21" s="2845" t="s">
        <v>2433</v>
      </c>
      <c r="G21" s="2845"/>
    </row>
    <row r="22" spans="1:13" ht="19.5" customHeight="1">
      <c r="A22" s="3488"/>
      <c r="B22" s="3476"/>
      <c r="C22" s="2857" t="s">
        <v>2434</v>
      </c>
      <c r="D22" s="2857"/>
      <c r="E22" s="2848">
        <v>0.9</v>
      </c>
      <c r="F22" s="2845" t="s">
        <v>2435</v>
      </c>
      <c r="G22" s="2845"/>
    </row>
    <row r="23" spans="1:13" ht="19.5" customHeight="1">
      <c r="A23" s="3488"/>
      <c r="B23" s="3476"/>
      <c r="C23" s="2857" t="s">
        <v>2436</v>
      </c>
      <c r="D23" s="2857"/>
      <c r="E23" s="2848">
        <v>0.9</v>
      </c>
      <c r="F23" s="2845" t="s">
        <v>2437</v>
      </c>
      <c r="G23" s="2845"/>
    </row>
    <row r="24" spans="1:13" ht="19.5" customHeight="1">
      <c r="A24" s="3488"/>
      <c r="B24" s="3476"/>
      <c r="C24" s="2857" t="s">
        <v>2438</v>
      </c>
      <c r="D24" s="2857"/>
      <c r="E24" s="2848">
        <v>0.8</v>
      </c>
      <c r="F24" s="2845" t="s">
        <v>2439</v>
      </c>
      <c r="G24" s="2845"/>
    </row>
    <row r="25" spans="1:13" ht="19.5" customHeight="1">
      <c r="A25" s="3488"/>
      <c r="B25" s="3476"/>
      <c r="C25" s="2857" t="s">
        <v>2440</v>
      </c>
      <c r="D25" s="2857"/>
      <c r="E25" s="2848">
        <v>0.8</v>
      </c>
      <c r="F25" s="2845"/>
      <c r="G25" s="2845"/>
    </row>
    <row r="26" spans="1:13" ht="19.5" customHeight="1">
      <c r="A26" s="3488"/>
      <c r="B26" s="3476"/>
      <c r="C26" s="2857" t="s">
        <v>3402</v>
      </c>
      <c r="D26" s="2857"/>
      <c r="E26" s="2848">
        <v>0.43</v>
      </c>
      <c r="F26" s="2845"/>
      <c r="G26" s="2845"/>
    </row>
    <row r="27" spans="1:13" ht="19.5" customHeight="1" thickBot="1">
      <c r="A27" s="3489"/>
      <c r="B27" s="3481"/>
      <c r="C27" s="3164" t="s">
        <v>3403</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482" t="s">
        <v>2622</v>
      </c>
      <c r="B29" s="3485" t="s">
        <v>2603</v>
      </c>
      <c r="C29" s="2842" t="s">
        <v>2443</v>
      </c>
      <c r="D29" s="2843"/>
      <c r="E29" s="2844">
        <v>1</v>
      </c>
      <c r="F29" s="2845" t="s">
        <v>2444</v>
      </c>
      <c r="G29" s="2845"/>
    </row>
    <row r="30" spans="1:13" ht="19.5" customHeight="1">
      <c r="A30" s="3483"/>
      <c r="B30" s="3479"/>
      <c r="C30" s="2846" t="s">
        <v>2445</v>
      </c>
      <c r="D30" s="2847"/>
      <c r="E30" s="2848">
        <v>1</v>
      </c>
      <c r="F30" s="2845" t="s">
        <v>2446</v>
      </c>
      <c r="G30" s="2845"/>
    </row>
    <row r="31" spans="1:13" ht="19.5" customHeight="1">
      <c r="A31" s="3483"/>
      <c r="B31" s="3479"/>
      <c r="C31" s="2846" t="s">
        <v>2447</v>
      </c>
      <c r="D31" s="2847"/>
      <c r="E31" s="2848">
        <v>0.8</v>
      </c>
      <c r="F31" s="2845" t="s">
        <v>2448</v>
      </c>
      <c r="G31" s="2845"/>
    </row>
    <row r="32" spans="1:13" ht="19.5" customHeight="1">
      <c r="A32" s="3483"/>
      <c r="B32" s="3479"/>
      <c r="C32" s="2846" t="s">
        <v>2449</v>
      </c>
      <c r="D32" s="2847"/>
      <c r="E32" s="2848">
        <v>0.8</v>
      </c>
      <c r="F32" s="2845" t="s">
        <v>2450</v>
      </c>
      <c r="G32" s="2845"/>
    </row>
    <row r="33" spans="1:7" ht="19.5" customHeight="1">
      <c r="A33" s="3483"/>
      <c r="B33" s="3479"/>
      <c r="C33" s="2846" t="s">
        <v>2451</v>
      </c>
      <c r="D33" s="2847"/>
      <c r="E33" s="2848">
        <v>0.8</v>
      </c>
      <c r="F33" s="2845" t="s">
        <v>2452</v>
      </c>
      <c r="G33" s="2845"/>
    </row>
    <row r="34" spans="1:7" ht="19.5" customHeight="1">
      <c r="A34" s="3483"/>
      <c r="B34" s="3479"/>
      <c r="C34" s="2846" t="s">
        <v>2453</v>
      </c>
      <c r="D34" s="2847"/>
      <c r="E34" s="2848">
        <v>0.7</v>
      </c>
      <c r="F34" s="2845" t="s">
        <v>2454</v>
      </c>
      <c r="G34" s="2845"/>
    </row>
    <row r="35" spans="1:7" ht="19.5" customHeight="1">
      <c r="A35" s="3483"/>
      <c r="B35" s="3479"/>
      <c r="C35" s="2846" t="s">
        <v>2455</v>
      </c>
      <c r="D35" s="2847"/>
      <c r="E35" s="2848">
        <v>0.8</v>
      </c>
      <c r="F35" s="2845" t="s">
        <v>2456</v>
      </c>
      <c r="G35" s="2845"/>
    </row>
    <row r="36" spans="1:7" ht="19.5" customHeight="1">
      <c r="A36" s="3483"/>
      <c r="B36" s="3479"/>
      <c r="C36" s="2846" t="s">
        <v>2457</v>
      </c>
      <c r="D36" s="2847"/>
      <c r="E36" s="2848">
        <v>0.6</v>
      </c>
      <c r="F36" s="2845" t="s">
        <v>2458</v>
      </c>
      <c r="G36" s="2845"/>
    </row>
    <row r="37" spans="1:7" ht="19.5" customHeight="1">
      <c r="A37" s="3483"/>
      <c r="B37" s="3479"/>
      <c r="C37" s="2846" t="s">
        <v>2459</v>
      </c>
      <c r="D37" s="2847"/>
      <c r="E37" s="2848">
        <v>0.2</v>
      </c>
      <c r="F37" s="2845" t="s">
        <v>2460</v>
      </c>
      <c r="G37" s="2845"/>
    </row>
    <row r="38" spans="1:7" ht="19.5" customHeight="1">
      <c r="A38" s="3483"/>
      <c r="B38" s="3479"/>
      <c r="C38" s="2846" t="s">
        <v>2461</v>
      </c>
      <c r="D38" s="2847"/>
      <c r="E38" s="2848">
        <v>0.2</v>
      </c>
      <c r="F38" s="2845" t="s">
        <v>2462</v>
      </c>
      <c r="G38" s="2845"/>
    </row>
    <row r="39" spans="1:7" ht="19.5" customHeight="1">
      <c r="A39" s="3483"/>
      <c r="B39" s="3477" t="s">
        <v>2623</v>
      </c>
      <c r="C39" s="2846" t="s">
        <v>2463</v>
      </c>
      <c r="D39" s="2847"/>
      <c r="E39" s="2848">
        <v>0.6</v>
      </c>
      <c r="F39" s="2845" t="s">
        <v>2464</v>
      </c>
      <c r="G39" s="2845"/>
    </row>
    <row r="40" spans="1:7" ht="19.5" customHeight="1">
      <c r="A40" s="3483"/>
      <c r="B40" s="3479"/>
      <c r="C40" s="2846" t="s">
        <v>2465</v>
      </c>
      <c r="D40" s="2847"/>
      <c r="E40" s="2848">
        <v>0.6</v>
      </c>
      <c r="F40" s="2845" t="s">
        <v>2466</v>
      </c>
      <c r="G40" s="2845"/>
    </row>
    <row r="41" spans="1:7" ht="19.5" customHeight="1" thickBot="1">
      <c r="A41" s="3484"/>
      <c r="B41" s="3486"/>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487" t="s">
        <v>2601</v>
      </c>
      <c r="B43" s="3485" t="s">
        <v>2625</v>
      </c>
      <c r="C43" s="2842" t="s">
        <v>2470</v>
      </c>
      <c r="D43" s="2843"/>
      <c r="E43" s="2844">
        <v>1</v>
      </c>
      <c r="F43" s="2845" t="s">
        <v>2471</v>
      </c>
      <c r="G43" s="2845"/>
    </row>
    <row r="44" spans="1:7" ht="19.5" customHeight="1">
      <c r="A44" s="3488"/>
      <c r="B44" s="3479"/>
      <c r="C44" s="2846" t="s">
        <v>2472</v>
      </c>
      <c r="D44" s="2847"/>
      <c r="E44" s="2848">
        <v>1</v>
      </c>
      <c r="F44" s="2845" t="s">
        <v>2473</v>
      </c>
      <c r="G44" s="2845"/>
    </row>
    <row r="45" spans="1:7" ht="19.5" customHeight="1">
      <c r="A45" s="3488"/>
      <c r="B45" s="3478"/>
      <c r="C45" s="2846" t="s">
        <v>2474</v>
      </c>
      <c r="D45" s="2847"/>
      <c r="E45" s="2848">
        <v>1.5</v>
      </c>
      <c r="F45" s="2845" t="s">
        <v>2475</v>
      </c>
      <c r="G45" s="2845"/>
    </row>
    <row r="46" spans="1:7" ht="19.5" customHeight="1">
      <c r="A46" s="3488"/>
      <c r="B46" s="2857" t="s">
        <v>2626</v>
      </c>
      <c r="C46" s="2846" t="s">
        <v>2627</v>
      </c>
      <c r="D46" s="2847"/>
      <c r="E46" s="2848">
        <v>2</v>
      </c>
      <c r="F46" s="2845" t="s">
        <v>2476</v>
      </c>
      <c r="G46" s="2845"/>
    </row>
    <row r="47" spans="1:7" ht="19.5" customHeight="1">
      <c r="A47" s="3488"/>
      <c r="B47" s="3477" t="s">
        <v>2628</v>
      </c>
      <c r="C47" s="2846" t="s">
        <v>2477</v>
      </c>
      <c r="D47" s="2847"/>
      <c r="E47" s="2848">
        <v>1</v>
      </c>
      <c r="F47" s="2845" t="s">
        <v>2478</v>
      </c>
      <c r="G47" s="2845"/>
    </row>
    <row r="48" spans="1:7" ht="19.5" customHeight="1">
      <c r="A48" s="3488"/>
      <c r="B48" s="3479"/>
      <c r="C48" s="2846" t="s">
        <v>2479</v>
      </c>
      <c r="D48" s="2847"/>
      <c r="E48" s="2848">
        <v>1</v>
      </c>
      <c r="F48" s="2845" t="s">
        <v>2480</v>
      </c>
      <c r="G48" s="2845"/>
    </row>
    <row r="49" spans="1:7" ht="19.5" customHeight="1">
      <c r="A49" s="3488"/>
      <c r="B49" s="3479"/>
      <c r="C49" s="2846" t="s">
        <v>2481</v>
      </c>
      <c r="D49" s="2847"/>
      <c r="E49" s="2848">
        <v>1</v>
      </c>
      <c r="F49" s="2845" t="s">
        <v>2482</v>
      </c>
      <c r="G49" s="2845"/>
    </row>
    <row r="50" spans="1:7" ht="19.5" customHeight="1">
      <c r="A50" s="3488"/>
      <c r="B50" s="3479"/>
      <c r="C50" s="2846" t="s">
        <v>2483</v>
      </c>
      <c r="D50" s="2847"/>
      <c r="E50" s="2848">
        <v>1</v>
      </c>
      <c r="F50" s="2845" t="s">
        <v>2484</v>
      </c>
      <c r="G50" s="2845"/>
    </row>
    <row r="51" spans="1:7" ht="19.5" customHeight="1">
      <c r="A51" s="3488"/>
      <c r="B51" s="3479"/>
      <c r="C51" s="2846" t="s">
        <v>2485</v>
      </c>
      <c r="D51" s="2847"/>
      <c r="E51" s="2848">
        <v>1</v>
      </c>
      <c r="F51" s="2845" t="s">
        <v>2486</v>
      </c>
      <c r="G51" s="2845"/>
    </row>
    <row r="52" spans="1:7" ht="19.5" customHeight="1">
      <c r="A52" s="3488"/>
      <c r="B52" s="3479"/>
      <c r="C52" s="2846" t="s">
        <v>2487</v>
      </c>
      <c r="D52" s="2847"/>
      <c r="E52" s="2848">
        <v>1</v>
      </c>
      <c r="F52" s="2845" t="s">
        <v>2488</v>
      </c>
      <c r="G52" s="2845"/>
    </row>
    <row r="53" spans="1:7" ht="19.5" customHeight="1" thickBot="1">
      <c r="A53" s="3489"/>
      <c r="B53" s="3486"/>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477" t="s">
        <v>2642</v>
      </c>
      <c r="C75" s="2831" t="s">
        <v>2643</v>
      </c>
      <c r="D75" s="2831" t="s">
        <v>2644</v>
      </c>
      <c r="E75" s="2857">
        <v>0.2</v>
      </c>
      <c r="F75" s="2857">
        <v>25</v>
      </c>
    </row>
    <row r="76" spans="1:7" ht="24">
      <c r="A76" s="2857">
        <v>2</v>
      </c>
      <c r="B76" s="3479"/>
      <c r="C76" s="2831" t="s">
        <v>2645</v>
      </c>
      <c r="D76" s="2831" t="s">
        <v>2646</v>
      </c>
      <c r="E76" s="2857">
        <v>0.2</v>
      </c>
      <c r="F76" s="2857">
        <v>25</v>
      </c>
    </row>
    <row r="77" spans="1:7" ht="24">
      <c r="A77" s="2857">
        <v>3</v>
      </c>
      <c r="B77" s="3479"/>
      <c r="C77" s="2831" t="s">
        <v>2647</v>
      </c>
      <c r="D77" s="2831" t="s">
        <v>2648</v>
      </c>
      <c r="E77" s="2857">
        <v>0.2</v>
      </c>
      <c r="F77" s="2857">
        <v>25</v>
      </c>
    </row>
    <row r="78" spans="1:7" ht="13.5">
      <c r="A78" s="2857">
        <v>4</v>
      </c>
      <c r="B78" s="3479"/>
      <c r="C78" s="2831" t="s">
        <v>2649</v>
      </c>
      <c r="D78" s="2831" t="s">
        <v>2650</v>
      </c>
      <c r="E78" s="2857">
        <v>0.15</v>
      </c>
      <c r="F78" s="2857">
        <v>20</v>
      </c>
    </row>
    <row r="79" spans="1:7" ht="24">
      <c r="A79" s="2857">
        <v>5</v>
      </c>
      <c r="B79" s="3479"/>
      <c r="C79" s="2831" t="s">
        <v>2651</v>
      </c>
      <c r="D79" s="2831" t="s">
        <v>2652</v>
      </c>
      <c r="E79" s="2857">
        <v>0.15</v>
      </c>
      <c r="F79" s="2857">
        <v>20</v>
      </c>
    </row>
    <row r="80" spans="1:7" ht="24">
      <c r="A80" s="2857">
        <v>6</v>
      </c>
      <c r="B80" s="3479"/>
      <c r="C80" s="2831" t="s">
        <v>2653</v>
      </c>
      <c r="D80" s="2831" t="s">
        <v>2654</v>
      </c>
      <c r="E80" s="2857">
        <v>0.15</v>
      </c>
      <c r="F80" s="2857">
        <v>20</v>
      </c>
    </row>
    <row r="81" spans="1:6" ht="24">
      <c r="A81" s="2857">
        <v>7</v>
      </c>
      <c r="B81" s="3479"/>
      <c r="C81" s="2831" t="s">
        <v>2655</v>
      </c>
      <c r="D81" s="2831" t="s">
        <v>2656</v>
      </c>
      <c r="E81" s="2857">
        <v>0.15</v>
      </c>
      <c r="F81" s="2857">
        <v>20</v>
      </c>
    </row>
    <row r="82" spans="1:6" ht="24">
      <c r="A82" s="2857">
        <v>8</v>
      </c>
      <c r="B82" s="3479"/>
      <c r="C82" s="2831" t="s">
        <v>2657</v>
      </c>
      <c r="D82" s="2831" t="s">
        <v>2658</v>
      </c>
      <c r="E82" s="2857">
        <v>0.1</v>
      </c>
      <c r="F82" s="2857">
        <v>15</v>
      </c>
    </row>
    <row r="83" spans="1:6" ht="24">
      <c r="A83" s="2857">
        <v>9</v>
      </c>
      <c r="B83" s="3479"/>
      <c r="C83" s="2831" t="s">
        <v>2659</v>
      </c>
      <c r="D83" s="2831" t="s">
        <v>2660</v>
      </c>
      <c r="E83" s="2857">
        <v>0.1</v>
      </c>
      <c r="F83" s="2857">
        <v>15</v>
      </c>
    </row>
    <row r="84" spans="1:6" ht="24">
      <c r="A84" s="2857">
        <v>10</v>
      </c>
      <c r="B84" s="3479"/>
      <c r="C84" s="2831" t="s">
        <v>2661</v>
      </c>
      <c r="D84" s="2831" t="s">
        <v>2662</v>
      </c>
      <c r="E84" s="2857">
        <v>0.1</v>
      </c>
      <c r="F84" s="2857">
        <v>15</v>
      </c>
    </row>
    <row r="85" spans="1:6" ht="24">
      <c r="A85" s="2857">
        <v>11</v>
      </c>
      <c r="B85" s="3479"/>
      <c r="C85" s="2831" t="s">
        <v>2663</v>
      </c>
      <c r="D85" s="2831" t="s">
        <v>2664</v>
      </c>
      <c r="E85" s="2857">
        <v>0.1</v>
      </c>
      <c r="F85" s="2857">
        <v>15</v>
      </c>
    </row>
    <row r="86" spans="1:6" ht="24">
      <c r="A86" s="2857">
        <v>12</v>
      </c>
      <c r="B86" s="3479"/>
      <c r="C86" s="2831" t="s">
        <v>2665</v>
      </c>
      <c r="D86" s="2831" t="s">
        <v>2666</v>
      </c>
      <c r="E86" s="2857">
        <v>0.1</v>
      </c>
      <c r="F86" s="2857">
        <v>15</v>
      </c>
    </row>
    <row r="87" spans="1:6" ht="13.5">
      <c r="A87" s="2857">
        <v>13</v>
      </c>
      <c r="B87" s="3479"/>
      <c r="C87" s="2831" t="s">
        <v>2667</v>
      </c>
      <c r="D87" s="2831" t="s">
        <v>2668</v>
      </c>
      <c r="E87" s="2857">
        <v>0.1</v>
      </c>
      <c r="F87" s="2857">
        <v>15</v>
      </c>
    </row>
    <row r="88" spans="1:6" ht="13.5">
      <c r="A88" s="2857">
        <v>14</v>
      </c>
      <c r="B88" s="3479"/>
      <c r="C88" s="2831" t="s">
        <v>2669</v>
      </c>
      <c r="D88" s="2831" t="s">
        <v>2670</v>
      </c>
      <c r="E88" s="2857">
        <v>0.1</v>
      </c>
      <c r="F88" s="2857">
        <v>15</v>
      </c>
    </row>
    <row r="89" spans="1:6" ht="13.5">
      <c r="A89" s="2857">
        <v>15</v>
      </c>
      <c r="B89" s="3479"/>
      <c r="C89" s="2831" t="s">
        <v>2671</v>
      </c>
      <c r="D89" s="2831" t="s">
        <v>2672</v>
      </c>
      <c r="E89" s="2857">
        <v>0.1</v>
      </c>
      <c r="F89" s="2857">
        <v>15</v>
      </c>
    </row>
    <row r="90" spans="1:6" ht="24">
      <c r="A90" s="2857">
        <v>16</v>
      </c>
      <c r="B90" s="3479"/>
      <c r="C90" s="2831" t="s">
        <v>2673</v>
      </c>
      <c r="D90" s="2831" t="s">
        <v>2674</v>
      </c>
      <c r="E90" s="2857">
        <v>0.1</v>
      </c>
      <c r="F90" s="2857">
        <v>15</v>
      </c>
    </row>
    <row r="91" spans="1:6" ht="24">
      <c r="A91" s="2857">
        <v>17</v>
      </c>
      <c r="B91" s="3478"/>
      <c r="C91" s="2831" t="s">
        <v>2675</v>
      </c>
      <c r="D91" s="2831" t="s">
        <v>2676</v>
      </c>
      <c r="E91" s="2857">
        <v>0.1</v>
      </c>
      <c r="F91" s="2857">
        <v>15</v>
      </c>
    </row>
    <row r="92" spans="1:6" ht="13.5">
      <c r="A92" s="2857">
        <v>18</v>
      </c>
      <c r="B92" s="3477" t="s">
        <v>2677</v>
      </c>
      <c r="C92" s="2831" t="s">
        <v>2678</v>
      </c>
      <c r="D92" s="2831" t="s">
        <v>2679</v>
      </c>
      <c r="E92" s="2857">
        <v>0.2</v>
      </c>
      <c r="F92" s="2857">
        <v>25</v>
      </c>
    </row>
    <row r="93" spans="1:6" ht="24">
      <c r="A93" s="2857">
        <v>19</v>
      </c>
      <c r="B93" s="3479"/>
      <c r="C93" s="2831" t="s">
        <v>2680</v>
      </c>
      <c r="D93" s="2831" t="s">
        <v>2681</v>
      </c>
      <c r="E93" s="2857">
        <v>0.2</v>
      </c>
      <c r="F93" s="2857">
        <v>25</v>
      </c>
    </row>
    <row r="94" spans="1:6" ht="13.5">
      <c r="A94" s="2857">
        <v>20</v>
      </c>
      <c r="B94" s="3479"/>
      <c r="C94" s="2831" t="s">
        <v>2682</v>
      </c>
      <c r="D94" s="2831" t="s">
        <v>2683</v>
      </c>
      <c r="E94" s="2857">
        <v>0.15</v>
      </c>
      <c r="F94" s="2857">
        <v>20</v>
      </c>
    </row>
    <row r="95" spans="1:6" ht="13.5">
      <c r="A95" s="2857">
        <v>21</v>
      </c>
      <c r="B95" s="3479"/>
      <c r="C95" s="2831" t="s">
        <v>2684</v>
      </c>
      <c r="D95" s="2831" t="s">
        <v>2685</v>
      </c>
      <c r="E95" s="2857">
        <v>0.15</v>
      </c>
      <c r="F95" s="2857">
        <v>20</v>
      </c>
    </row>
    <row r="96" spans="1:6" ht="13.5">
      <c r="A96" s="2857">
        <v>22</v>
      </c>
      <c r="B96" s="3479"/>
      <c r="C96" s="2831" t="s">
        <v>2686</v>
      </c>
      <c r="D96" s="2831" t="s">
        <v>2687</v>
      </c>
      <c r="E96" s="2857">
        <v>0.15</v>
      </c>
      <c r="F96" s="2857">
        <v>20</v>
      </c>
    </row>
    <row r="97" spans="1:6" ht="36">
      <c r="A97" s="2857">
        <v>23</v>
      </c>
      <c r="B97" s="3479"/>
      <c r="C97" s="2831" t="s">
        <v>2688</v>
      </c>
      <c r="D97" s="2831" t="s">
        <v>2689</v>
      </c>
      <c r="E97" s="2857">
        <v>0.15</v>
      </c>
      <c r="F97" s="2857">
        <v>20</v>
      </c>
    </row>
    <row r="98" spans="1:6" ht="13.5">
      <c r="A98" s="2857">
        <v>24</v>
      </c>
      <c r="B98" s="3479"/>
      <c r="C98" s="2831" t="s">
        <v>2690</v>
      </c>
      <c r="D98" s="2831" t="s">
        <v>2691</v>
      </c>
      <c r="E98" s="2857">
        <v>0.1</v>
      </c>
      <c r="F98" s="2857">
        <v>15</v>
      </c>
    </row>
    <row r="99" spans="1:6" ht="13.5">
      <c r="A99" s="2857">
        <v>25</v>
      </c>
      <c r="B99" s="3479"/>
      <c r="C99" s="2831" t="s">
        <v>2692</v>
      </c>
      <c r="D99" s="2831" t="s">
        <v>2693</v>
      </c>
      <c r="E99" s="2857">
        <v>0.1</v>
      </c>
      <c r="F99" s="2857">
        <v>15</v>
      </c>
    </row>
    <row r="100" spans="1:6" ht="24">
      <c r="A100" s="2857">
        <v>26</v>
      </c>
      <c r="B100" s="3479"/>
      <c r="C100" s="2831" t="s">
        <v>2694</v>
      </c>
      <c r="D100" s="2831" t="s">
        <v>2695</v>
      </c>
      <c r="E100" s="2857">
        <v>0.1</v>
      </c>
      <c r="F100" s="2857">
        <v>15</v>
      </c>
    </row>
    <row r="101" spans="1:6" ht="24">
      <c r="A101" s="2857">
        <v>27</v>
      </c>
      <c r="B101" s="3479"/>
      <c r="C101" s="2831" t="s">
        <v>2696</v>
      </c>
      <c r="D101" s="2831" t="s">
        <v>2697</v>
      </c>
      <c r="E101" s="2857">
        <v>0.1</v>
      </c>
      <c r="F101" s="2857">
        <v>15</v>
      </c>
    </row>
    <row r="102" spans="1:6" ht="13.5">
      <c r="A102" s="2857">
        <v>28</v>
      </c>
      <c r="B102" s="3479"/>
      <c r="C102" s="2831" t="s">
        <v>2698</v>
      </c>
      <c r="D102" s="2831" t="s">
        <v>2699</v>
      </c>
      <c r="E102" s="2857">
        <v>0.1</v>
      </c>
      <c r="F102" s="2857">
        <v>15</v>
      </c>
    </row>
    <row r="103" spans="1:6" ht="13.5">
      <c r="A103" s="2857">
        <v>29</v>
      </c>
      <c r="B103" s="3479"/>
      <c r="C103" s="2831" t="s">
        <v>2700</v>
      </c>
      <c r="D103" s="2831" t="s">
        <v>2701</v>
      </c>
      <c r="E103" s="2857">
        <v>0.1</v>
      </c>
      <c r="F103" s="2857">
        <v>15</v>
      </c>
    </row>
    <row r="104" spans="1:6" ht="13.5">
      <c r="A104" s="2857">
        <v>30</v>
      </c>
      <c r="B104" s="3479"/>
      <c r="C104" s="2831" t="s">
        <v>2702</v>
      </c>
      <c r="D104" s="2831" t="s">
        <v>2703</v>
      </c>
      <c r="E104" s="2857">
        <v>0.1</v>
      </c>
      <c r="F104" s="2857">
        <v>15</v>
      </c>
    </row>
    <row r="105" spans="1:6" ht="24">
      <c r="A105" s="2857">
        <v>31</v>
      </c>
      <c r="B105" s="3479"/>
      <c r="C105" s="2831" t="s">
        <v>2704</v>
      </c>
      <c r="D105" s="2831" t="s">
        <v>2705</v>
      </c>
      <c r="E105" s="2857">
        <v>0.1</v>
      </c>
      <c r="F105" s="2857">
        <v>15</v>
      </c>
    </row>
    <row r="106" spans="1:6" ht="24">
      <c r="A106" s="2857">
        <v>32</v>
      </c>
      <c r="B106" s="3479"/>
      <c r="C106" s="2831" t="s">
        <v>2706</v>
      </c>
      <c r="D106" s="2831" t="s">
        <v>2707</v>
      </c>
      <c r="E106" s="2857">
        <v>0.1</v>
      </c>
      <c r="F106" s="2857">
        <v>15</v>
      </c>
    </row>
    <row r="107" spans="1:6" ht="24">
      <c r="A107" s="2857">
        <v>33</v>
      </c>
      <c r="B107" s="3479"/>
      <c r="C107" s="2831" t="s">
        <v>2708</v>
      </c>
      <c r="D107" s="2831" t="s">
        <v>2709</v>
      </c>
      <c r="E107" s="2857">
        <v>0.1</v>
      </c>
      <c r="F107" s="2857">
        <v>15</v>
      </c>
    </row>
    <row r="108" spans="1:6" ht="24">
      <c r="A108" s="2857">
        <v>34</v>
      </c>
      <c r="B108" s="3478"/>
      <c r="C108" s="2831" t="s">
        <v>2710</v>
      </c>
      <c r="D108" s="2831" t="s">
        <v>2711</v>
      </c>
      <c r="E108" s="2857">
        <v>0.1</v>
      </c>
      <c r="F108" s="2857">
        <v>15</v>
      </c>
    </row>
    <row r="109" spans="1:6" ht="24">
      <c r="A109" s="2857">
        <v>35</v>
      </c>
      <c r="B109" s="3477" t="s">
        <v>2712</v>
      </c>
      <c r="C109" s="2857" t="s">
        <v>2713</v>
      </c>
      <c r="D109" s="2831" t="s">
        <v>2714</v>
      </c>
      <c r="E109" s="2857">
        <v>0.15</v>
      </c>
      <c r="F109" s="2857">
        <v>20</v>
      </c>
    </row>
    <row r="110" spans="1:6" ht="13.5">
      <c r="A110" s="2857">
        <v>36</v>
      </c>
      <c r="B110" s="3479"/>
      <c r="C110" s="2857" t="s">
        <v>2715</v>
      </c>
      <c r="D110" s="2831" t="s">
        <v>2716</v>
      </c>
      <c r="E110" s="2857">
        <v>0.15</v>
      </c>
      <c r="F110" s="2857">
        <v>20</v>
      </c>
    </row>
    <row r="111" spans="1:6" ht="13.5">
      <c r="A111" s="2857">
        <v>37</v>
      </c>
      <c r="B111" s="3479"/>
      <c r="C111" s="2857" t="s">
        <v>2717</v>
      </c>
      <c r="D111" s="2831" t="s">
        <v>2718</v>
      </c>
      <c r="E111" s="2857">
        <v>0.15</v>
      </c>
      <c r="F111" s="2857">
        <v>20</v>
      </c>
    </row>
    <row r="112" spans="1:6" ht="13.5">
      <c r="A112" s="2857">
        <v>38</v>
      </c>
      <c r="B112" s="3479"/>
      <c r="C112" s="2857" t="s">
        <v>2719</v>
      </c>
      <c r="D112" s="2831" t="s">
        <v>2720</v>
      </c>
      <c r="E112" s="2857">
        <v>0.1</v>
      </c>
      <c r="F112" s="2857">
        <v>15</v>
      </c>
    </row>
    <row r="113" spans="1:6" ht="24">
      <c r="A113" s="2857">
        <v>39</v>
      </c>
      <c r="B113" s="3479"/>
      <c r="C113" s="2857" t="s">
        <v>2721</v>
      </c>
      <c r="D113" s="2831" t="s">
        <v>2722</v>
      </c>
      <c r="E113" s="2857">
        <v>0.1</v>
      </c>
      <c r="F113" s="2857">
        <v>15</v>
      </c>
    </row>
    <row r="114" spans="1:6" ht="24">
      <c r="A114" s="2857">
        <v>40</v>
      </c>
      <c r="B114" s="3478"/>
      <c r="C114" s="2857" t="s">
        <v>2723</v>
      </c>
      <c r="D114" s="2831" t="s">
        <v>2724</v>
      </c>
      <c r="E114" s="2857">
        <v>0.1</v>
      </c>
      <c r="F114" s="2857">
        <v>15</v>
      </c>
    </row>
    <row r="115" spans="1:6" ht="13.5">
      <c r="A115" s="2857">
        <v>41</v>
      </c>
      <c r="B115" s="3476" t="s">
        <v>2725</v>
      </c>
      <c r="C115" s="2857" t="s">
        <v>2726</v>
      </c>
      <c r="D115" s="2831" t="s">
        <v>2727</v>
      </c>
      <c r="E115" s="2857">
        <v>0.1</v>
      </c>
      <c r="F115" s="2857">
        <v>15</v>
      </c>
    </row>
    <row r="116" spans="1:6" ht="13.5">
      <c r="A116" s="2857">
        <v>42</v>
      </c>
      <c r="B116" s="3476"/>
      <c r="C116" s="2857" t="s">
        <v>2728</v>
      </c>
      <c r="D116" s="2831" t="s">
        <v>2729</v>
      </c>
      <c r="E116" s="2857">
        <v>0.1</v>
      </c>
      <c r="F116" s="2857">
        <v>15</v>
      </c>
    </row>
    <row r="117" spans="1:6" ht="24">
      <c r="A117" s="2857">
        <v>43</v>
      </c>
      <c r="B117" s="3476"/>
      <c r="C117" s="2857" t="s">
        <v>2730</v>
      </c>
      <c r="D117" s="2831" t="s">
        <v>2731</v>
      </c>
      <c r="E117" s="2857">
        <v>0.1</v>
      </c>
      <c r="F117" s="2857">
        <v>15</v>
      </c>
    </row>
    <row r="118" spans="1:6" ht="13.5">
      <c r="A118" s="2857">
        <v>44</v>
      </c>
      <c r="B118" s="3477" t="s">
        <v>2732</v>
      </c>
      <c r="C118" s="2857" t="s">
        <v>2733</v>
      </c>
      <c r="D118" s="2831" t="s">
        <v>2734</v>
      </c>
      <c r="E118" s="2857">
        <v>0.1</v>
      </c>
      <c r="F118" s="2857">
        <v>15</v>
      </c>
    </row>
    <row r="119" spans="1:6" ht="24">
      <c r="A119" s="2857">
        <v>45</v>
      </c>
      <c r="B119" s="3478"/>
      <c r="C119" s="2831" t="s">
        <v>2735</v>
      </c>
      <c r="D119" s="2831" t="s">
        <v>2736</v>
      </c>
      <c r="E119" s="2857">
        <v>0.1</v>
      </c>
      <c r="F119" s="2857">
        <v>15</v>
      </c>
    </row>
    <row r="120" spans="1:6" ht="24">
      <c r="A120" s="2857">
        <v>46</v>
      </c>
      <c r="B120" s="3477" t="s">
        <v>2737</v>
      </c>
      <c r="C120" s="2857" t="s">
        <v>2738</v>
      </c>
      <c r="D120" s="2831" t="s">
        <v>2739</v>
      </c>
      <c r="E120" s="2857">
        <v>0.1</v>
      </c>
      <c r="F120" s="2857">
        <v>15</v>
      </c>
    </row>
    <row r="121" spans="1:6" ht="24">
      <c r="A121" s="2857">
        <v>47</v>
      </c>
      <c r="B121" s="3478"/>
      <c r="C121" s="2857" t="s">
        <v>2740</v>
      </c>
      <c r="D121" s="2831" t="s">
        <v>2741</v>
      </c>
      <c r="E121" s="2857">
        <v>0.1</v>
      </c>
      <c r="F121" s="2857">
        <v>15</v>
      </c>
    </row>
    <row r="122" spans="1:6" ht="13.5">
      <c r="A122" s="2857">
        <v>48</v>
      </c>
      <c r="B122" s="3477" t="s">
        <v>2742</v>
      </c>
      <c r="C122" s="2857" t="s">
        <v>2743</v>
      </c>
      <c r="D122" s="2831" t="s">
        <v>2744</v>
      </c>
      <c r="E122" s="2857">
        <v>0.1</v>
      </c>
      <c r="F122" s="2857">
        <v>15</v>
      </c>
    </row>
    <row r="123" spans="1:6" ht="13.5">
      <c r="A123" s="2857">
        <v>49</v>
      </c>
      <c r="B123" s="3478"/>
      <c r="C123" s="2857" t="s">
        <v>2745</v>
      </c>
      <c r="D123" s="2831" t="s">
        <v>2746</v>
      </c>
      <c r="E123" s="2857">
        <v>0.1</v>
      </c>
      <c r="F123" s="2857">
        <v>15</v>
      </c>
    </row>
    <row r="124" spans="1:6" ht="24">
      <c r="A124" s="2857">
        <v>50</v>
      </c>
      <c r="B124" s="3476" t="s">
        <v>2747</v>
      </c>
      <c r="C124" s="2857" t="s">
        <v>2748</v>
      </c>
      <c r="D124" s="2831" t="s">
        <v>2749</v>
      </c>
      <c r="E124" s="2857">
        <v>0.1</v>
      </c>
      <c r="F124" s="2857">
        <v>15</v>
      </c>
    </row>
    <row r="125" spans="1:6" ht="24">
      <c r="A125" s="2857">
        <v>51</v>
      </c>
      <c r="B125" s="3476"/>
      <c r="C125" s="2857" t="s">
        <v>2750</v>
      </c>
      <c r="D125" s="2831" t="s">
        <v>2751</v>
      </c>
      <c r="E125" s="2857">
        <v>0.1</v>
      </c>
      <c r="F125" s="2857">
        <v>15</v>
      </c>
    </row>
    <row r="126" spans="1:6" ht="24">
      <c r="A126" s="2857">
        <v>52</v>
      </c>
      <c r="B126" s="3476" t="s">
        <v>2752</v>
      </c>
      <c r="C126" s="2857" t="s">
        <v>2753</v>
      </c>
      <c r="D126" s="2831" t="s">
        <v>2754</v>
      </c>
      <c r="E126" s="2857">
        <v>0.1</v>
      </c>
      <c r="F126" s="2857">
        <v>15</v>
      </c>
    </row>
    <row r="127" spans="1:6" ht="24">
      <c r="A127" s="2857">
        <v>53</v>
      </c>
      <c r="B127" s="3476"/>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76" t="s">
        <v>2760</v>
      </c>
      <c r="C129" s="2857" t="s">
        <v>2761</v>
      </c>
      <c r="D129" s="2831" t="s">
        <v>2762</v>
      </c>
      <c r="E129" s="2857">
        <v>0.1</v>
      </c>
      <c r="F129" s="2857">
        <v>15</v>
      </c>
    </row>
    <row r="130" spans="1:6" ht="13.5">
      <c r="A130" s="2857">
        <v>56</v>
      </c>
      <c r="B130" s="3476"/>
      <c r="C130" s="2857" t="s">
        <v>2763</v>
      </c>
      <c r="D130" s="2831" t="s">
        <v>2764</v>
      </c>
      <c r="E130" s="2857">
        <v>0.1</v>
      </c>
      <c r="F130" s="2857">
        <v>15</v>
      </c>
    </row>
    <row r="131" spans="1:6" ht="24">
      <c r="A131" s="2857">
        <v>57</v>
      </c>
      <c r="B131" s="3476"/>
      <c r="C131" s="2857" t="s">
        <v>2765</v>
      </c>
      <c r="D131" s="2831" t="s">
        <v>2766</v>
      </c>
      <c r="E131" s="2857">
        <v>0.1</v>
      </c>
      <c r="F131" s="2857">
        <v>15</v>
      </c>
    </row>
    <row r="132" spans="1:6" ht="24">
      <c r="A132" s="2857">
        <v>58</v>
      </c>
      <c r="B132" s="3476" t="s">
        <v>2767</v>
      </c>
      <c r="C132" s="2857" t="s">
        <v>2768</v>
      </c>
      <c r="D132" s="2831" t="s">
        <v>2769</v>
      </c>
      <c r="E132" s="2857">
        <v>0.1</v>
      </c>
      <c r="F132" s="2857">
        <v>15</v>
      </c>
    </row>
    <row r="133" spans="1:6" ht="13.5">
      <c r="A133" s="2857">
        <v>59</v>
      </c>
      <c r="B133" s="3476"/>
      <c r="C133" s="2857" t="s">
        <v>2770</v>
      </c>
      <c r="D133" s="2831" t="s">
        <v>2771</v>
      </c>
      <c r="E133" s="2857">
        <v>0.1</v>
      </c>
      <c r="F133" s="2857">
        <v>15</v>
      </c>
    </row>
    <row r="134" spans="1:6" ht="13.5">
      <c r="A134" s="2857">
        <v>60</v>
      </c>
      <c r="B134" s="3477" t="s">
        <v>2772</v>
      </c>
      <c r="C134" s="2857" t="s">
        <v>2773</v>
      </c>
      <c r="D134" s="2831" t="s">
        <v>2774</v>
      </c>
      <c r="E134" s="2857">
        <v>0.1</v>
      </c>
      <c r="F134" s="2857">
        <v>15</v>
      </c>
    </row>
    <row r="135" spans="1:6" ht="13.5">
      <c r="A135" s="2857">
        <v>61</v>
      </c>
      <c r="B135" s="3478"/>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76" t="s">
        <v>2780</v>
      </c>
      <c r="C137" s="2857" t="s">
        <v>2781</v>
      </c>
      <c r="D137" s="2831" t="s">
        <v>2782</v>
      </c>
      <c r="E137" s="2857">
        <v>0.1</v>
      </c>
      <c r="F137" s="2857">
        <v>15</v>
      </c>
    </row>
    <row r="138" spans="1:6" ht="13.5">
      <c r="A138" s="2857">
        <v>64</v>
      </c>
      <c r="B138" s="3476"/>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1</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0.94710000000000005</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9.5" thickBot="1">
      <c r="A4" s="1391"/>
      <c r="B4" s="3175" t="s">
        <v>917</v>
      </c>
      <c r="C4" s="3175"/>
      <c r="D4" s="3175"/>
      <c r="E4" s="1391"/>
    </row>
    <row r="5" spans="1:5" ht="16.5" thickTop="1">
      <c r="B5" s="3173" t="s">
        <v>909</v>
      </c>
      <c r="C5" s="1392" t="s">
        <v>910</v>
      </c>
      <c r="D5" s="797">
        <f ca="1">结果表!H101</f>
        <v>7022</v>
      </c>
    </row>
    <row r="6" spans="1:5" ht="15.75">
      <c r="B6" s="3173"/>
      <c r="C6" s="1392" t="s">
        <v>911</v>
      </c>
      <c r="D6" s="797" t="str">
        <f ca="1">NUMBERSTRING(INT(D5*10000),2)&amp;"元整"</f>
        <v>柒仟零贰拾贰万元整</v>
      </c>
    </row>
    <row r="7" spans="1:5" ht="15.75">
      <c r="B7" s="3178"/>
      <c r="C7" s="1393" t="s">
        <v>912</v>
      </c>
      <c r="D7" s="798">
        <f ca="1">结果表!H102</f>
        <v>5841</v>
      </c>
    </row>
    <row r="8" spans="1:5" ht="15.75">
      <c r="B8" s="3179" t="str">
        <f>结果表!E103</f>
        <v>2.估价师知悉的法定优先受偿款</v>
      </c>
      <c r="C8" s="1394" t="s">
        <v>913</v>
      </c>
      <c r="D8" s="798">
        <f>结果表!H103</f>
        <v>0</v>
      </c>
    </row>
    <row r="9" spans="1:5" ht="15.75">
      <c r="B9" s="318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2" t="str">
        <f>结果表!E107</f>
        <v>3.房地产抵押价值</v>
      </c>
      <c r="C13" s="1397" t="s">
        <v>910</v>
      </c>
      <c r="D13" s="800">
        <f ca="1">结果表!H107</f>
        <v>7022</v>
      </c>
    </row>
    <row r="14" spans="1:5" ht="15.75">
      <c r="B14" s="3173"/>
      <c r="C14" s="1392" t="s">
        <v>911</v>
      </c>
      <c r="D14" s="797" t="str">
        <f ca="1">NUMBERSTRING(INT(D13*10000),2)&amp;"元整"</f>
        <v>柒仟零贰拾贰万元整</v>
      </c>
    </row>
    <row r="15" spans="1:5" ht="15">
      <c r="B15" s="3178"/>
      <c r="C15" s="1393" t="s">
        <v>921</v>
      </c>
      <c r="D15" s="806">
        <f ca="1">结果表!H108</f>
        <v>5841</v>
      </c>
    </row>
    <row r="16" spans="1:5" ht="15">
      <c r="B16" s="3179" t="str">
        <f>结果表!E109</f>
        <v>——</v>
      </c>
      <c r="C16" s="1397" t="s">
        <v>922</v>
      </c>
      <c r="D16" s="1398" t="str">
        <f>结果表!H109</f>
        <v>——</v>
      </c>
    </row>
    <row r="17" spans="1:5" ht="15.75">
      <c r="B17" s="3180"/>
      <c r="C17" s="1392" t="s">
        <v>923</v>
      </c>
      <c r="D17" s="797" t="e">
        <f>NUMBERSTRING(INT(D16*10000),2)&amp;"元整"</f>
        <v>#VALUE!</v>
      </c>
    </row>
    <row r="18" spans="1:5" ht="15">
      <c r="B18" s="3181"/>
      <c r="C18" s="1393" t="s">
        <v>912</v>
      </c>
      <c r="D18" s="806" t="str">
        <f>结果表!H110</f>
        <v>——</v>
      </c>
    </row>
    <row r="19" spans="1:5" ht="15.75">
      <c r="B19" s="3172" t="str">
        <f>结果表!E111</f>
        <v>——</v>
      </c>
      <c r="C19" s="1397" t="s">
        <v>910</v>
      </c>
      <c r="D19" s="798" t="str">
        <f>结果表!H111</f>
        <v>——</v>
      </c>
    </row>
    <row r="20" spans="1:5" ht="15.75">
      <c r="B20" s="3173"/>
      <c r="C20" s="1392" t="s">
        <v>923</v>
      </c>
      <c r="D20" s="797" t="e">
        <f>NUMBERSTRING(INT(D19*10000),2)&amp;"元整"</f>
        <v>#VALUE!</v>
      </c>
    </row>
    <row r="21" spans="1:5" ht="15.75" thickBot="1">
      <c r="B21" s="317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31484</v>
      </c>
      <c r="C2" s="2" t="s">
        <v>106</v>
      </c>
      <c r="D2" s="191"/>
      <c r="E2" s="191"/>
      <c r="F2" s="191"/>
      <c r="G2" s="191"/>
    </row>
    <row r="3" spans="1:7" s="192" customFormat="1" ht="18" customHeight="1" thickBot="1">
      <c r="A3" s="195" t="s">
        <v>58</v>
      </c>
      <c r="B3" s="196">
        <f ca="1">ROUND(B2*10000/'数据-汇总表'!E3,0)</f>
        <v>26189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240</v>
      </c>
      <c r="D10" s="795">
        <f>'数据-汇总表'!E6</f>
        <v>12021.93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240</v>
      </c>
      <c r="D19" s="204">
        <f>'数据-汇总表'!E3</f>
        <v>12021.93</v>
      </c>
      <c r="E19" s="203">
        <f>'数据-取费表'!B31</f>
        <v>200</v>
      </c>
      <c r="F19" s="223"/>
      <c r="G19" s="1" t="s">
        <v>436</v>
      </c>
    </row>
    <row r="20" spans="1:7" s="206" customFormat="1" ht="13.5" customHeight="1">
      <c r="A20" s="731" t="s">
        <v>419</v>
      </c>
      <c r="B20" s="202" t="s">
        <v>77</v>
      </c>
      <c r="C20" s="224">
        <f>ROUND((C5+C19)*F20,0)</f>
        <v>417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1283</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1063</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1063</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25526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6672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6011</v>
      </c>
      <c r="D34" s="209"/>
      <c r="E34" s="212"/>
      <c r="F34" s="249">
        <f>IF('数据-取费表'!B24=0,1,'数据-取费表'!N16)</f>
        <v>1</v>
      </c>
      <c r="G34" s="211" t="s">
        <v>89</v>
      </c>
    </row>
    <row r="35" spans="1:7" ht="13.5" customHeight="1">
      <c r="A35" s="734" t="s">
        <v>351</v>
      </c>
      <c r="B35" s="207" t="s">
        <v>33</v>
      </c>
      <c r="C35" s="212">
        <f>ROUND(C34*F35,0)</f>
        <v>301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240</v>
      </c>
      <c r="D37" s="209">
        <f>'数据-汇总表'!E3</f>
        <v>12021.93</v>
      </c>
      <c r="E37" s="241">
        <f>'数据-取费表'!B35</f>
        <v>200</v>
      </c>
      <c r="F37" s="251"/>
      <c r="G37" s="253" t="s">
        <v>92</v>
      </c>
    </row>
    <row r="38" spans="1:7" ht="13.5" customHeight="1">
      <c r="A38" s="734" t="s">
        <v>354</v>
      </c>
      <c r="B38" s="207" t="s">
        <v>36</v>
      </c>
      <c r="C38" s="212">
        <f>ROUND(C34*F38,0)</f>
        <v>120</v>
      </c>
      <c r="D38" s="212"/>
      <c r="E38" s="212"/>
      <c r="F38" s="251">
        <f>'数据-取费表'!B36</f>
        <v>0.02</v>
      </c>
      <c r="G38" s="211" t="s">
        <v>90</v>
      </c>
    </row>
    <row r="39" spans="1:7" s="206" customFormat="1" ht="13.5" customHeight="1">
      <c r="A39" s="731" t="s">
        <v>338</v>
      </c>
      <c r="B39" s="202" t="s">
        <v>77</v>
      </c>
      <c r="C39" s="224">
        <f>ROUND(C33*F20,0)</f>
        <v>133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204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200</v>
      </c>
      <c r="D42" s="230"/>
      <c r="E42" s="230"/>
      <c r="F42" s="231"/>
      <c r="G42" s="3353" t="s">
        <v>94</v>
      </c>
    </row>
    <row r="43" spans="1:7" ht="13.5" customHeight="1">
      <c r="A43" s="734" t="s">
        <v>347</v>
      </c>
      <c r="B43" s="207" t="s">
        <v>426</v>
      </c>
      <c r="C43" s="230">
        <f ca="1">ROUND(IF('数据-取费表'!B22&lt;=1,C39*F22*'数据-取费表'!B21/2,C39*(POWER((1+F22),'数据-取费表'!B21/2)-1)),0)</f>
        <v>4</v>
      </c>
      <c r="D43" s="230"/>
      <c r="E43" s="230"/>
      <c r="F43" s="231"/>
      <c r="G43" s="3354"/>
    </row>
    <row r="44" spans="1:7" ht="13.5" customHeight="1">
      <c r="A44" s="734" t="s">
        <v>348</v>
      </c>
      <c r="B44" s="207" t="s">
        <v>428</v>
      </c>
      <c r="C44" s="230">
        <f ca="1">ROUND(IF('数据-取费表'!B22&lt;=1,C40*F22*'数据-取费表'!B21/2,C40*(POWER((1+F22),'数据-取费表'!B21/2)-1)),4)</f>
        <v>5.9999999999999995E-4</v>
      </c>
      <c r="D44" s="230"/>
      <c r="E44" s="230"/>
      <c r="F44" s="231"/>
      <c r="G44" s="3355"/>
    </row>
    <row r="45" spans="1:7" s="206" customFormat="1" ht="13.5" customHeight="1">
      <c r="A45" s="731" t="s">
        <v>341</v>
      </c>
      <c r="B45" s="236" t="s">
        <v>85</v>
      </c>
      <c r="C45" s="237">
        <f>C46</f>
        <v>340</v>
      </c>
      <c r="D45" s="227">
        <f>C47</f>
        <v>1E-3</v>
      </c>
      <c r="E45" s="228" t="s">
        <v>102</v>
      </c>
      <c r="F45" s="238"/>
      <c r="G45" s="239" t="s">
        <v>434</v>
      </c>
    </row>
    <row r="46" spans="1:7" s="206" customFormat="1" ht="13.5" customHeight="1">
      <c r="A46" s="734" t="s">
        <v>349</v>
      </c>
      <c r="B46" s="240" t="s">
        <v>427</v>
      </c>
      <c r="C46" s="241">
        <f>ROUND((C33+C39)*F27,0)</f>
        <v>340</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7944</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5958</v>
      </c>
      <c r="D51" s="224"/>
      <c r="E51" s="224"/>
      <c r="F51" s="256"/>
      <c r="G51" s="226" t="s">
        <v>37</v>
      </c>
    </row>
    <row r="52" spans="1:7" s="200" customFormat="1" ht="16.5" thickBot="1">
      <c r="A52" s="257" t="s">
        <v>38</v>
      </c>
      <c r="B52" s="258"/>
      <c r="C52" s="259">
        <f ca="1">C31+C51</f>
        <v>31484</v>
      </c>
      <c r="D52" s="258"/>
      <c r="E52" s="258"/>
      <c r="F52" s="258"/>
      <c r="G52" s="260"/>
    </row>
    <row r="55" spans="1:7" ht="15">
      <c r="B55" s="262" t="s">
        <v>39</v>
      </c>
      <c r="C55" s="263"/>
    </row>
    <row r="56" spans="1:7">
      <c r="B56" s="265" t="s">
        <v>40</v>
      </c>
      <c r="C56" s="266">
        <f ca="1">ROUND(C51/C52,3)</f>
        <v>0.189</v>
      </c>
    </row>
    <row r="57" spans="1:7">
      <c r="B57" s="265" t="s">
        <v>41</v>
      </c>
      <c r="C57" s="267">
        <f ca="1">1-C56</f>
        <v>0.81099999999999994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0" t="s">
        <v>3172</v>
      </c>
      <c r="B1" s="3490"/>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491" t="s">
        <v>3223</v>
      </c>
      <c r="B1" s="3491"/>
      <c r="C1" s="3491"/>
      <c r="D1" s="3491"/>
      <c r="E1" s="3491"/>
      <c r="F1" s="3492"/>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L14" sqref="L14"/>
    </sheetView>
  </sheetViews>
  <sheetFormatPr defaultRowHeight="13.5"/>
  <cols>
    <col min="1" max="1" width="13.875" customWidth="1"/>
    <col min="11" max="17" width="0" hidden="1" customWidth="1"/>
    <col min="25" max="30" width="0" hidden="1" customWidth="1"/>
  </cols>
  <sheetData>
    <row r="1" spans="1:44">
      <c r="A1" s="2937">
        <f>基准地价修正!G23</f>
        <v>45854</v>
      </c>
      <c r="B1" s="2929" t="s">
        <v>3368</v>
      </c>
      <c r="C1" s="2930"/>
      <c r="D1" s="2930"/>
      <c r="E1" s="2930"/>
      <c r="F1" s="2930"/>
      <c r="G1" s="2930"/>
      <c r="H1" s="2930"/>
      <c r="I1" s="2930"/>
      <c r="J1" s="2896"/>
      <c r="K1" s="2930" t="s">
        <v>454</v>
      </c>
      <c r="L1" s="2930"/>
      <c r="M1" s="2930"/>
      <c r="N1" s="2930"/>
      <c r="O1" s="2930"/>
      <c r="P1" s="2930"/>
      <c r="Q1" s="2896"/>
      <c r="R1" s="3493" t="s">
        <v>456</v>
      </c>
      <c r="S1" s="3494"/>
      <c r="T1" s="3494"/>
      <c r="U1" s="3494"/>
      <c r="V1" s="3494"/>
      <c r="W1" s="3494"/>
      <c r="X1" s="2896"/>
      <c r="Y1" s="3493" t="s">
        <v>457</v>
      </c>
      <c r="Z1" s="3494"/>
      <c r="AA1" s="3494"/>
      <c r="AB1" s="3494"/>
      <c r="AC1" s="3494"/>
      <c r="AD1" s="3494"/>
    </row>
    <row r="2" spans="1:44" s="2010" customFormat="1" ht="14.2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3395</v>
      </c>
      <c r="AG2" t="s">
        <v>673</v>
      </c>
      <c r="AH2" t="s">
        <v>21</v>
      </c>
      <c r="AI2" t="s">
        <v>3396</v>
      </c>
      <c r="AJ2" t="s">
        <v>3</v>
      </c>
      <c r="AK2" t="s">
        <v>3397</v>
      </c>
      <c r="AM2" t="s">
        <v>3395</v>
      </c>
      <c r="AN2" t="s">
        <v>673</v>
      </c>
      <c r="AO2" t="s">
        <v>21</v>
      </c>
      <c r="AP2" t="s">
        <v>3396</v>
      </c>
      <c r="AQ2" t="s">
        <v>3</v>
      </c>
      <c r="AR2" t="s">
        <v>3397</v>
      </c>
    </row>
    <row r="3" spans="1:44" s="2886" customFormat="1" ht="12.75">
      <c r="A3" s="2884" t="s">
        <v>2810</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2.75">
      <c r="A6" s="2040" t="s">
        <v>3393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3392</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2.75">
      <c r="A9" s="2040" t="s">
        <v>3399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2.75">
      <c r="A10" s="2040" t="s">
        <v>3372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2.75">
      <c r="A11" s="2905" t="s">
        <v>3366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2.75">
      <c r="A12" s="2905" t="s">
        <v>3365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2.75">
      <c r="A13" s="2905" t="s">
        <v>3361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2.75">
      <c r="A14" s="2905" t="s">
        <v>3360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2.75">
      <c r="A15" s="2905" t="s">
        <v>3358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2.75">
      <c r="A16" s="2905" t="s">
        <v>3357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2.75">
      <c r="A17" s="2905" t="s">
        <v>3356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2.75">
      <c r="A18" s="2905" t="s">
        <v>3354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2.75">
      <c r="A19" s="2905" t="s">
        <v>3345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2.75">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2.75">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2.75">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2.75">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3371</v>
      </c>
    </row>
    <row r="27" spans="1:44">
      <c r="I27" s="1405" t="s">
        <v>2816</v>
      </c>
    </row>
    <row r="29" spans="1:44" s="2009" customFormat="1" ht="12.75">
      <c r="B29" s="2929" t="s">
        <v>3369</v>
      </c>
      <c r="C29" s="2930"/>
      <c r="D29" s="2930"/>
      <c r="E29" s="2930"/>
      <c r="F29" s="2930"/>
      <c r="G29" s="2930"/>
      <c r="H29" s="2930"/>
      <c r="I29" s="2930"/>
      <c r="J29" s="2896"/>
      <c r="K29" s="2930" t="s">
        <v>2817</v>
      </c>
      <c r="L29" s="2930"/>
      <c r="M29" s="2930"/>
      <c r="N29" s="2930"/>
      <c r="O29" s="2930"/>
      <c r="P29" s="2930"/>
      <c r="Q29" s="2896"/>
      <c r="R29" s="3493" t="s">
        <v>2818</v>
      </c>
      <c r="S29" s="3494"/>
      <c r="T29" s="3494"/>
      <c r="U29" s="3494"/>
      <c r="V29" s="3494"/>
      <c r="W29" s="3494"/>
      <c r="X29" s="2896"/>
      <c r="Y29" s="3493" t="s">
        <v>2819</v>
      </c>
      <c r="Z29" s="3494"/>
      <c r="AA29" s="3494"/>
      <c r="AB29" s="3494"/>
      <c r="AC29" s="3494"/>
      <c r="AD29" s="3494"/>
    </row>
    <row r="30" spans="1:44" s="2010" customFormat="1" ht="14.2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3396</v>
      </c>
      <c r="AJ30"/>
      <c r="AK30" t="s">
        <v>3397</v>
      </c>
      <c r="AN30" t="s">
        <v>673</v>
      </c>
      <c r="AO30" t="s">
        <v>21</v>
      </c>
      <c r="AP30" t="s">
        <v>3396</v>
      </c>
      <c r="AQ30"/>
      <c r="AR30" t="s">
        <v>3397</v>
      </c>
    </row>
    <row r="31" spans="1:44" s="2886" customFormat="1" ht="12.75">
      <c r="A31" s="2884" t="s">
        <v>2825</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2.75">
      <c r="A34" s="2040" t="s">
        <v>3393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3401</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3398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2.75">
      <c r="A37" s="2040" t="s">
        <v>3399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2.75">
      <c r="A38" s="2040" t="s">
        <v>3363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2.75">
      <c r="A39" s="2905" t="s">
        <v>3367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2.75">
      <c r="A40" s="2905" t="s">
        <v>3364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2.75">
      <c r="A41" s="2905" t="s">
        <v>3362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2.75">
      <c r="A42" s="2905" t="s">
        <v>3360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2.75">
      <c r="A43" s="2905" t="s">
        <v>3359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2.75">
      <c r="A44" s="2905" t="s">
        <v>3357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2.75">
      <c r="A45" s="2905" t="s">
        <v>3356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2.75">
      <c r="A46" s="2905" t="s">
        <v>3355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2.75">
      <c r="A47" s="2905" t="s">
        <v>3345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2.75">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2.75">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2.75">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2.75">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3370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8" sqref="I8:J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6" t="s">
        <v>2830</v>
      </c>
      <c r="B1" s="3506"/>
      <c r="C1" s="3506"/>
      <c r="D1" s="3506"/>
      <c r="E1" s="3506"/>
      <c r="F1" s="3506"/>
      <c r="G1" s="3507"/>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04"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05"/>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8" sqref="I8:J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45854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85"/>
      <c r="B3" s="3185"/>
      <c r="C3" s="3185"/>
      <c r="D3" s="801" t="s">
        <v>925</v>
      </c>
      <c r="E3" s="801" t="s">
        <v>931</v>
      </c>
      <c r="F3" s="801" t="s">
        <v>925</v>
      </c>
      <c r="G3" s="801" t="s">
        <v>926</v>
      </c>
      <c r="H3" s="801" t="s">
        <v>925</v>
      </c>
      <c r="I3" s="801" t="s">
        <v>926</v>
      </c>
    </row>
    <row r="4" spans="1:9" ht="15">
      <c r="A4" s="1403" t="str">
        <f>项目基本情况!S2</f>
        <v>北京市房地产</v>
      </c>
      <c r="B4" s="801">
        <f>项目基本情况!C17</f>
        <v>12021.93</v>
      </c>
      <c r="C4" s="801">
        <f>项目基本情况!C18</f>
        <v>0</v>
      </c>
      <c r="D4" s="801">
        <f ca="1">结果表!D118</f>
        <v>2163</v>
      </c>
      <c r="E4" s="801">
        <f ca="1">结果表!E118</f>
        <v>1799</v>
      </c>
      <c r="F4" s="801">
        <f ca="1">结果表!F118</f>
        <v>4859</v>
      </c>
      <c r="G4" s="801">
        <f ca="1">结果表!G118</f>
        <v>4042</v>
      </c>
      <c r="H4" s="801">
        <f ca="1">结果表!H118</f>
        <v>7022</v>
      </c>
      <c r="I4" s="801">
        <f ca="1">结果表!I118</f>
        <v>5841</v>
      </c>
    </row>
    <row r="5" spans="1:9" ht="30" customHeight="1">
      <c r="A5" s="3185" t="s">
        <v>927</v>
      </c>
      <c r="B5" s="3185"/>
      <c r="C5" s="3185"/>
      <c r="D5" s="3185" t="str">
        <f ca="1">结果表!D119</f>
        <v>贰仟壹佰陆拾叁万元整</v>
      </c>
      <c r="E5" s="3185"/>
      <c r="F5" s="3185" t="str">
        <f ca="1">结果表!F119</f>
        <v>肆仟捌佰伍拾玖万元整</v>
      </c>
      <c r="G5" s="3185"/>
      <c r="H5" s="3185" t="str">
        <f ca="1">结果表!H119</f>
        <v>柒仟零贰拾贰万元整</v>
      </c>
      <c r="I5" s="3185"/>
    </row>
    <row r="6" spans="1:9" ht="15.75">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75">
      <c r="A8" s="3184" t="str">
        <f>结果表!A122</f>
        <v>房地产抵押价值</v>
      </c>
      <c r="B8" s="3184"/>
      <c r="C8" s="3184"/>
      <c r="D8" s="3184">
        <f ca="1">结果表!D122</f>
        <v>7022</v>
      </c>
      <c r="E8" s="3184"/>
      <c r="F8" s="3184"/>
      <c r="G8" s="3184"/>
      <c r="H8" s="3184"/>
      <c r="I8" s="3184"/>
    </row>
    <row r="9" spans="1:9" ht="15">
      <c r="A9" s="3185" t="s">
        <v>927</v>
      </c>
      <c r="B9" s="3185"/>
      <c r="C9" s="3185"/>
      <c r="D9" s="3185" t="str">
        <f ca="1">结果表!D123</f>
        <v>柒仟零贰拾贰万元整</v>
      </c>
      <c r="E9" s="3185"/>
      <c r="F9" s="3185"/>
      <c r="G9" s="3185"/>
      <c r="H9" s="3185"/>
      <c r="I9" s="3185"/>
    </row>
    <row r="10" spans="1:9" ht="15.75">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75">
      <c r="A12" s="3184" t="str">
        <f>结果表!A126</f>
        <v/>
      </c>
      <c r="B12" s="3184"/>
      <c r="C12" s="3184"/>
      <c r="D12" s="3184" t="str">
        <f>结果表!D126</f>
        <v>——</v>
      </c>
      <c r="E12" s="3184"/>
      <c r="F12" s="3184"/>
      <c r="G12" s="3184"/>
      <c r="H12" s="3184"/>
      <c r="I12" s="3184"/>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7" t="s">
        <v>949</v>
      </c>
      <c r="B1" s="3197"/>
      <c r="C1" s="3197"/>
      <c r="D1" s="3197"/>
    </row>
    <row r="2" spans="1:4" ht="18">
      <c r="A2" s="3198" t="s">
        <v>933</v>
      </c>
      <c r="B2" s="3198"/>
      <c r="C2" s="3198"/>
      <c r="D2" s="319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8" t="s">
        <v>939</v>
      </c>
      <c r="B6" s="3198"/>
      <c r="C6" s="3198"/>
      <c r="D6" s="319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9" t="s">
        <v>942</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5" t="s">
        <v>956</v>
      </c>
      <c r="B15" s="3200" t="s">
        <v>109</v>
      </c>
      <c r="C15" s="3201"/>
    </row>
    <row r="16" spans="1:7" ht="13.5">
      <c r="A16" s="3206"/>
      <c r="B16" s="3200" t="s">
        <v>42</v>
      </c>
      <c r="C16" s="3201"/>
    </row>
    <row r="17" spans="1:3" ht="13.5">
      <c r="A17" s="3206"/>
      <c r="B17" s="3203" t="s">
        <v>957</v>
      </c>
      <c r="C17" s="1429" t="s">
        <v>956</v>
      </c>
    </row>
    <row r="18" spans="1:3" ht="13.5">
      <c r="A18" s="3206"/>
      <c r="B18" s="3203"/>
      <c r="C18" s="1429" t="s">
        <v>958</v>
      </c>
    </row>
    <row r="19" spans="1:3" ht="13.5">
      <c r="A19" s="3206"/>
      <c r="B19" s="3203"/>
      <c r="C19" s="1429" t="s">
        <v>959</v>
      </c>
    </row>
    <row r="20" spans="1:3" ht="13.5">
      <c r="A20" s="3207"/>
      <c r="B20" s="3202" t="s">
        <v>960</v>
      </c>
      <c r="C20" s="3201"/>
    </row>
    <row r="21" spans="1:3" ht="13.5">
      <c r="A21" s="1430" t="s">
        <v>961</v>
      </c>
      <c r="B21" s="1431"/>
      <c r="C21" s="1432"/>
    </row>
    <row r="22" spans="1:3" ht="13.5">
      <c r="A22" s="3204" t="s">
        <v>962</v>
      </c>
      <c r="B22" s="3202" t="s">
        <v>963</v>
      </c>
      <c r="C22" s="3201"/>
    </row>
    <row r="23" spans="1:3" ht="13.5">
      <c r="A23" s="3204"/>
      <c r="B23" s="3202" t="s">
        <v>964</v>
      </c>
      <c r="C23" s="3201"/>
    </row>
    <row r="24" spans="1:3" ht="13.5">
      <c r="A24" s="3204"/>
      <c r="B24" s="3202" t="s">
        <v>965</v>
      </c>
      <c r="C24" s="3201"/>
    </row>
    <row r="25" spans="1:3" ht="13.5">
      <c r="A25" s="3204"/>
      <c r="B25" s="3203" t="s">
        <v>966</v>
      </c>
      <c r="C25" s="1429" t="s">
        <v>967</v>
      </c>
    </row>
    <row r="26" spans="1:3" ht="13.5">
      <c r="A26" s="3204"/>
      <c r="B26" s="3203"/>
      <c r="C26" s="1429" t="s">
        <v>968</v>
      </c>
    </row>
    <row r="27" spans="1:3" ht="13.5">
      <c r="A27" s="3204"/>
      <c r="B27" s="3203"/>
      <c r="C27" s="1429" t="s">
        <v>969</v>
      </c>
    </row>
    <row r="28" spans="1:3" ht="13.5">
      <c r="A28" s="3204"/>
      <c r="B28" s="3203"/>
      <c r="C28" s="1429" t="s">
        <v>970</v>
      </c>
    </row>
    <row r="29" spans="1:3" ht="13.5">
      <c r="A29" s="3204"/>
      <c r="B29" s="3203"/>
      <c r="C29" s="1429" t="s">
        <v>971</v>
      </c>
    </row>
    <row r="30" spans="1:3" ht="13.5">
      <c r="A30" s="3204"/>
      <c r="B30" s="3203"/>
      <c r="C30" s="1429" t="s">
        <v>972</v>
      </c>
    </row>
    <row r="31" spans="1:3" ht="13.5">
      <c r="A31" s="3204"/>
      <c r="B31" s="3203"/>
      <c r="C31" s="1429" t="s">
        <v>973</v>
      </c>
    </row>
    <row r="32" spans="1:3" ht="13.5">
      <c r="A32" s="3204"/>
      <c r="B32" s="3203"/>
      <c r="C32" s="1429" t="s">
        <v>974</v>
      </c>
    </row>
    <row r="33" spans="1:3" ht="13.5">
      <c r="A33" s="3204"/>
      <c r="B33" s="320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45855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60"/>
      <c r="E18" s="3210" t="s">
        <v>2162</v>
      </c>
      <c r="F18" s="3209"/>
      <c r="G18" s="32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基准地价修正</vt:lpstr>
      <vt:lpstr>收益法</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2025-07-17T06:37:49Z</dcterms:modified>
</cp:coreProperties>
</file>